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ables/table5.xml" ContentType="application/vnd.openxmlformats-officedocument.spreadsheetml.table+xml"/>
  <Override PartName="/xl/comments3.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queryTables/queryTable1.xml" ContentType="application/vnd.openxmlformats-officedocument.spreadsheetml.queryTable+xml"/>
  <Override PartName="/xl/tables/table18.xml" ContentType="application/vnd.openxmlformats-officedocument.spreadsheetml.table+xml"/>
  <Override PartName="/xl/queryTables/queryTable2.xml" ContentType="application/vnd.openxmlformats-officedocument.spreadsheetml.query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git\Rumi-India\Global Data\Supply\Source\"/>
    </mc:Choice>
  </mc:AlternateContent>
  <bookViews>
    <workbookView xWindow="-110" yWindow="-110" windowWidth="22370" windowHeight="10830" tabRatio="927"/>
  </bookViews>
  <sheets>
    <sheet name="FileInfo" sheetId="93" r:id="rId1"/>
    <sheet name="Maps" sheetId="78" r:id="rId2"/>
    <sheet name="Crude" sheetId="82" r:id="rId3"/>
    <sheet name="Products" sheetId="80" r:id="rId4"/>
    <sheet name="RF_Capex_Opex" sheetId="83" r:id="rId5"/>
    <sheet name="ECT_EfficiencyCost_RF" sheetId="84" r:id="rId6"/>
    <sheet name="Assumptions_EG" sheetId="30" r:id="rId7"/>
    <sheet name="Levelised_Fixed_Costs" sheetId="48" r:id="rId8"/>
    <sheet name="Legacy_FC_VC" sheetId="3" r:id="rId9"/>
    <sheet name="ConvEff" sheetId="68" r:id="rId10"/>
    <sheet name="LegacyFC_Input_Ref" sheetId="74" r:id="rId11"/>
    <sheet name="LegacyFC_Input_PRS" sheetId="86" r:id="rId12"/>
    <sheet name="NewFC_Input" sheetId="29" r:id="rId13"/>
    <sheet name="OtherVC_Input" sheetId="75" r:id="rId14"/>
    <sheet name="ConvEff_Input" sheetId="69" r:id="rId15"/>
    <sheet name="MaxAnnualUF" sheetId="89" r:id="rId16"/>
    <sheet name="ECT_EfficiencyCostMaxAnnUF_Ref" sheetId="85" r:id="rId17"/>
    <sheet name="ECT_EfficiencyCostMaxAnnUF_PRS" sheetId="88" r:id="rId18"/>
    <sheet name="Capacity" sheetId="16" r:id="rId19"/>
    <sheet name="RE" sheetId="94" r:id="rId20"/>
    <sheet name="TS" sheetId="1" r:id="rId21"/>
    <sheet name="AP" sheetId="2" r:id="rId22"/>
    <sheet name="MH" sheetId="5" r:id="rId23"/>
    <sheet name="BR" sheetId="6" r:id="rId24"/>
    <sheet name="GJ" sheetId="7" r:id="rId25"/>
    <sheet name="RJ" sheetId="8" r:id="rId26"/>
    <sheet name="UP" sheetId="9" r:id="rId27"/>
    <sheet name="MP" sheetId="10" r:id="rId28"/>
    <sheet name="WB" sheetId="12" r:id="rId29"/>
    <sheet name="PB" sheetId="14" r:id="rId30"/>
    <sheet name="TN" sheetId="15" r:id="rId31"/>
    <sheet name="AS" sheetId="4" r:id="rId32"/>
    <sheet name="HP" sheetId="18" r:id="rId33"/>
    <sheet name="UT" sheetId="19" r:id="rId34"/>
    <sheet name="NewHydro" sheetId="31" r:id="rId35"/>
    <sheet name="NewCoalGas" sheetId="32" r:id="rId36"/>
  </sheets>
  <externalReferences>
    <externalReference r:id="rId37"/>
    <externalReference r:id="rId38"/>
    <externalReference r:id="rId39"/>
    <externalReference r:id="rId40"/>
  </externalReferences>
  <definedNames>
    <definedName name="__123Graph_A" localSheetId="11" hidden="1">[1]CE!#REF!</definedName>
    <definedName name="__123Graph_A" hidden="1">[1]CE!#REF!</definedName>
    <definedName name="__123Graph_ASTNPLF" localSheetId="11" hidden="1">[1]CE!#REF!</definedName>
    <definedName name="__123Graph_ASTNPLF" hidden="1">[1]CE!#REF!</definedName>
    <definedName name="__123Graph_B" localSheetId="11" hidden="1">[1]CE!#REF!</definedName>
    <definedName name="__123Graph_B" hidden="1">[1]CE!#REF!</definedName>
    <definedName name="__123Graph_BSTNPLF" localSheetId="11" hidden="1">[1]CE!#REF!</definedName>
    <definedName name="__123Graph_BSTNPLF" hidden="1">[1]CE!#REF!</definedName>
    <definedName name="__123Graph_C" localSheetId="11" hidden="1">[1]CE!#REF!</definedName>
    <definedName name="__123Graph_C" hidden="1">[1]CE!#REF!</definedName>
    <definedName name="__123Graph_CSTNPLF" localSheetId="11" hidden="1">[1]CE!#REF!</definedName>
    <definedName name="__123Graph_CSTNPLF" hidden="1">[1]CE!#REF!</definedName>
    <definedName name="__123Graph_X" localSheetId="11" hidden="1">[1]CE!#REF!</definedName>
    <definedName name="__123Graph_X" hidden="1">[1]CE!#REF!</definedName>
    <definedName name="__123Graph_XSTNPLF" localSheetId="11" hidden="1">[1]CE!#REF!</definedName>
    <definedName name="__123Graph_XSTNPLF" hidden="1">[1]CE!#REF!</definedName>
    <definedName name="_Fill" localSheetId="11" hidden="1">#REF!</definedName>
    <definedName name="_Fill" hidden="1">#REF!</definedName>
    <definedName name="_xlnm._FilterDatabase" localSheetId="31" hidden="1">[2]AS!$A$35:$E$260</definedName>
    <definedName name="_xlnm._FilterDatabase" localSheetId="18" hidden="1">Capacity!$A$2:$C$263</definedName>
    <definedName name="_xlnm._FilterDatabase" localSheetId="8" hidden="1">Legacy_FC_VC!$B$65:$T$291</definedName>
    <definedName name="_xlnm._FilterDatabase" localSheetId="22" hidden="1">[2]MH!$A$35:$O$118</definedName>
    <definedName name="_xlnm._FilterDatabase" localSheetId="27" hidden="1">MP!$B$33:$I$111</definedName>
    <definedName name="_xlnm._FilterDatabase" localSheetId="12" hidden="1">NewFC_Input!$A$102:$D$882</definedName>
    <definedName name="_xlnm._FilterDatabase" localSheetId="26" hidden="1">UP!$A$22:$L$124</definedName>
    <definedName name="_Order1" hidden="1">255</definedName>
    <definedName name="ExternalData_1" localSheetId="17" hidden="1">ECT_EfficiencyCostMaxAnnUF_PRS!$A$1:$I$3752</definedName>
    <definedName name="ExternalData_1" localSheetId="16" hidden="1">ECT_EfficiencyCostMaxAnnUF_Ref!$A$1:$I$3752</definedName>
    <definedName name="new" localSheetId="11" hidden="1">[3]CE!#REF!</definedName>
    <definedName name="new" hidden="1">[3]CE!#REF!</definedName>
    <definedName name="xxxx" localSheetId="11" hidden="1">[4]CE!#REF!</definedName>
    <definedName name="xxxx" hidden="1">[4]CE!#REF!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7" i="32" l="1"/>
  <c r="L6" i="32"/>
  <c r="K7" i="32"/>
  <c r="K6" i="32"/>
  <c r="C7" i="32"/>
  <c r="D5" i="32"/>
  <c r="C3" i="32"/>
  <c r="D2" i="32" l="1"/>
  <c r="D3" i="32" s="1"/>
  <c r="D18" i="68" l="1"/>
  <c r="D45" i="30" l="1"/>
  <c r="D44" i="30"/>
  <c r="H176" i="94" l="1"/>
  <c r="L176" i="94" s="1"/>
  <c r="K176" i="94"/>
  <c r="K177" i="94"/>
  <c r="L177" i="94"/>
  <c r="K178" i="94"/>
  <c r="L178" i="94"/>
  <c r="H179" i="94"/>
  <c r="K179" i="94"/>
  <c r="L179" i="94"/>
  <c r="H180" i="94"/>
  <c r="K180" i="94"/>
  <c r="L180" i="94"/>
  <c r="K181" i="94"/>
  <c r="L181" i="94"/>
  <c r="H182" i="94"/>
  <c r="K182" i="94"/>
  <c r="L182" i="94"/>
  <c r="H183" i="94"/>
  <c r="K183" i="94"/>
  <c r="L183" i="94"/>
  <c r="H184" i="94"/>
  <c r="K184" i="94"/>
  <c r="L184" i="94"/>
  <c r="K185" i="94"/>
  <c r="L185" i="94"/>
  <c r="H186" i="94"/>
  <c r="K186" i="94"/>
  <c r="L186" i="94"/>
  <c r="H187" i="94"/>
  <c r="K187" i="94"/>
  <c r="L187" i="94"/>
  <c r="H188" i="94"/>
  <c r="L188" i="94" s="1"/>
  <c r="K188" i="94"/>
  <c r="H189" i="94"/>
  <c r="K189" i="94"/>
  <c r="L189" i="94"/>
  <c r="H190" i="94"/>
  <c r="L190" i="94" s="1"/>
  <c r="K190" i="94"/>
  <c r="K191" i="94"/>
  <c r="L191" i="94"/>
  <c r="H192" i="94"/>
  <c r="K192" i="94"/>
  <c r="L192" i="94"/>
  <c r="K193" i="94"/>
  <c r="L193" i="94"/>
  <c r="K194" i="94"/>
  <c r="L194" i="94"/>
  <c r="H195" i="94"/>
  <c r="K195" i="94"/>
  <c r="L195" i="94"/>
  <c r="H196" i="94"/>
  <c r="K196" i="94"/>
  <c r="L196" i="94"/>
  <c r="H197" i="94"/>
  <c r="L197" i="94" s="1"/>
  <c r="K197" i="94"/>
  <c r="K198" i="94"/>
  <c r="L198" i="94"/>
  <c r="H199" i="94"/>
  <c r="K199" i="94"/>
  <c r="L199" i="94"/>
  <c r="H200" i="94"/>
  <c r="L200" i="94" s="1"/>
  <c r="K200" i="94"/>
  <c r="K201" i="94"/>
  <c r="L201" i="94"/>
  <c r="H202" i="94"/>
  <c r="K202" i="94"/>
  <c r="L202" i="94"/>
  <c r="H203" i="94"/>
  <c r="L203" i="94" s="1"/>
  <c r="K203" i="94"/>
  <c r="H204" i="94"/>
  <c r="K204" i="94"/>
  <c r="L204" i="94"/>
  <c r="K205" i="94"/>
  <c r="L205" i="94"/>
  <c r="K206" i="94"/>
  <c r="L206" i="94"/>
  <c r="K207" i="94"/>
  <c r="L207" i="94"/>
  <c r="K208" i="94"/>
  <c r="L208" i="94"/>
  <c r="H209" i="94"/>
  <c r="L209" i="94" s="1"/>
  <c r="K209" i="94"/>
  <c r="K210" i="94"/>
  <c r="L210" i="94"/>
  <c r="K211" i="94"/>
  <c r="L211" i="94"/>
  <c r="L212" i="94"/>
  <c r="C213" i="94"/>
  <c r="D213" i="94"/>
  <c r="E213" i="94"/>
  <c r="F213" i="94"/>
  <c r="G213" i="94"/>
  <c r="I213" i="94"/>
  <c r="J213" i="94"/>
  <c r="K213" i="94"/>
  <c r="F310" i="94"/>
  <c r="E310" i="94"/>
  <c r="D310" i="94"/>
  <c r="C310" i="94"/>
  <c r="B310" i="94"/>
  <c r="F309" i="94"/>
  <c r="E309" i="94"/>
  <c r="D309" i="94"/>
  <c r="C309" i="94"/>
  <c r="B309" i="94"/>
  <c r="F308" i="94"/>
  <c r="E308" i="94"/>
  <c r="D308" i="94"/>
  <c r="C308" i="94"/>
  <c r="B308" i="94"/>
  <c r="F307" i="94"/>
  <c r="E307" i="94"/>
  <c r="D307" i="94"/>
  <c r="C307" i="94"/>
  <c r="B307" i="94"/>
  <c r="F306" i="94"/>
  <c r="M330" i="16" s="1"/>
  <c r="D231" i="16" s="1"/>
  <c r="E306" i="94"/>
  <c r="D306" i="94"/>
  <c r="C306" i="94"/>
  <c r="B306" i="94"/>
  <c r="F305" i="94"/>
  <c r="E305" i="94"/>
  <c r="D305" i="94"/>
  <c r="C305" i="94"/>
  <c r="B305" i="94"/>
  <c r="F304" i="94"/>
  <c r="E304" i="94"/>
  <c r="D304" i="94"/>
  <c r="G304" i="94" s="1"/>
  <c r="C304" i="94"/>
  <c r="B304" i="94"/>
  <c r="F303" i="94"/>
  <c r="E303" i="94"/>
  <c r="D303" i="94"/>
  <c r="G303" i="94" s="1"/>
  <c r="C303" i="94"/>
  <c r="B303" i="94"/>
  <c r="F302" i="94"/>
  <c r="E302" i="94"/>
  <c r="D302" i="94"/>
  <c r="C302" i="94"/>
  <c r="B302" i="94"/>
  <c r="F301" i="94"/>
  <c r="E301" i="94"/>
  <c r="D301" i="94"/>
  <c r="C301" i="94"/>
  <c r="B301" i="94"/>
  <c r="F300" i="94"/>
  <c r="M326" i="16" s="1"/>
  <c r="D212" i="16" s="1"/>
  <c r="E300" i="94"/>
  <c r="D300" i="94"/>
  <c r="G300" i="94" s="1"/>
  <c r="C300" i="94"/>
  <c r="B300" i="94"/>
  <c r="F299" i="94"/>
  <c r="E299" i="94"/>
  <c r="D299" i="94"/>
  <c r="C299" i="94"/>
  <c r="B299" i="94"/>
  <c r="F298" i="94"/>
  <c r="E298" i="94"/>
  <c r="D298" i="94"/>
  <c r="C298" i="94"/>
  <c r="B298" i="94"/>
  <c r="J337" i="16" s="1"/>
  <c r="D133" i="16" s="1"/>
  <c r="F297" i="94"/>
  <c r="E297" i="94"/>
  <c r="D297" i="94"/>
  <c r="C297" i="94"/>
  <c r="K340" i="16" s="1"/>
  <c r="D165" i="16" s="1"/>
  <c r="B297" i="94"/>
  <c r="F296" i="94"/>
  <c r="E296" i="94"/>
  <c r="D296" i="94"/>
  <c r="C296" i="94"/>
  <c r="B296" i="94"/>
  <c r="F295" i="94"/>
  <c r="E295" i="94"/>
  <c r="D295" i="94"/>
  <c r="C295" i="94"/>
  <c r="G295" i="94" s="1"/>
  <c r="B295" i="94"/>
  <c r="F294" i="94"/>
  <c r="E294" i="94"/>
  <c r="D294" i="94"/>
  <c r="C294" i="94"/>
  <c r="B294" i="94"/>
  <c r="F293" i="94"/>
  <c r="E293" i="94"/>
  <c r="L347" i="16" s="1"/>
  <c r="D198" i="16" s="1"/>
  <c r="D293" i="94"/>
  <c r="C293" i="94"/>
  <c r="B293" i="94"/>
  <c r="F292" i="94"/>
  <c r="E292" i="94"/>
  <c r="D292" i="94"/>
  <c r="C292" i="94"/>
  <c r="B292" i="94"/>
  <c r="F291" i="94"/>
  <c r="E291" i="94"/>
  <c r="L355" i="16" s="1"/>
  <c r="D291" i="94"/>
  <c r="C291" i="94"/>
  <c r="B291" i="94"/>
  <c r="F290" i="94"/>
  <c r="M351" i="16" s="1"/>
  <c r="E290" i="94"/>
  <c r="D290" i="94"/>
  <c r="C290" i="94"/>
  <c r="B290" i="94"/>
  <c r="F289" i="94"/>
  <c r="E289" i="94"/>
  <c r="D289" i="94"/>
  <c r="C289" i="94"/>
  <c r="K353" i="16" s="1"/>
  <c r="B289" i="94"/>
  <c r="F288" i="94"/>
  <c r="E288" i="94"/>
  <c r="D288" i="94"/>
  <c r="C288" i="94"/>
  <c r="B288" i="94"/>
  <c r="F287" i="94"/>
  <c r="E287" i="94"/>
  <c r="D287" i="94"/>
  <c r="G287" i="94" s="1"/>
  <c r="C287" i="94"/>
  <c r="B287" i="94"/>
  <c r="F286" i="94"/>
  <c r="E286" i="94"/>
  <c r="D286" i="94"/>
  <c r="C286" i="94"/>
  <c r="B286" i="94"/>
  <c r="J339" i="16" s="1"/>
  <c r="D135" i="16" s="1"/>
  <c r="F285" i="94"/>
  <c r="E285" i="94"/>
  <c r="D285" i="94"/>
  <c r="C285" i="94"/>
  <c r="K338" i="16" s="1"/>
  <c r="D163" i="16" s="1"/>
  <c r="B285" i="94"/>
  <c r="F284" i="94"/>
  <c r="E284" i="94"/>
  <c r="D284" i="94"/>
  <c r="G284" i="94" s="1"/>
  <c r="C284" i="94"/>
  <c r="B284" i="94"/>
  <c r="F283" i="94"/>
  <c r="E283" i="94"/>
  <c r="L323" i="16" s="1"/>
  <c r="D180" i="16" s="1"/>
  <c r="D283" i="94"/>
  <c r="C283" i="94"/>
  <c r="B283" i="94"/>
  <c r="F282" i="94"/>
  <c r="E282" i="94"/>
  <c r="D282" i="94"/>
  <c r="C282" i="94"/>
  <c r="B282" i="94"/>
  <c r="J322" i="16" s="1"/>
  <c r="D121" i="16" s="1"/>
  <c r="F281" i="94"/>
  <c r="E281" i="94"/>
  <c r="D281" i="94"/>
  <c r="C281" i="94"/>
  <c r="K321" i="16" s="1"/>
  <c r="D149" i="16" s="1"/>
  <c r="B281" i="94"/>
  <c r="F280" i="94"/>
  <c r="E280" i="94"/>
  <c r="D280" i="94"/>
  <c r="C280" i="94"/>
  <c r="K331" i="16" s="1"/>
  <c r="B280" i="94"/>
  <c r="F279" i="94"/>
  <c r="E279" i="94"/>
  <c r="D279" i="94"/>
  <c r="C279" i="94"/>
  <c r="G279" i="94" s="1"/>
  <c r="B279" i="94"/>
  <c r="F278" i="94"/>
  <c r="E278" i="94"/>
  <c r="D278" i="94"/>
  <c r="C278" i="94"/>
  <c r="B278" i="94"/>
  <c r="F277" i="94"/>
  <c r="E277" i="94"/>
  <c r="L343" i="16" s="1"/>
  <c r="D195" i="16" s="1"/>
  <c r="D277" i="94"/>
  <c r="C277" i="94"/>
  <c r="K343" i="16" s="1"/>
  <c r="B277" i="94"/>
  <c r="J343" i="16" s="1"/>
  <c r="D137" i="16" s="1"/>
  <c r="F276" i="94"/>
  <c r="E276" i="94"/>
  <c r="D276" i="94"/>
  <c r="C276" i="94"/>
  <c r="B276" i="94"/>
  <c r="F275" i="94"/>
  <c r="E275" i="94"/>
  <c r="D275" i="94"/>
  <c r="G275" i="94" s="1"/>
  <c r="C275" i="94"/>
  <c r="B275" i="94"/>
  <c r="J350" i="16" s="1"/>
  <c r="F274" i="94"/>
  <c r="E274" i="94"/>
  <c r="D274" i="94"/>
  <c r="C274" i="94"/>
  <c r="B274" i="94"/>
  <c r="V320" i="16"/>
  <c r="W320" i="16" s="1"/>
  <c r="V321" i="16"/>
  <c r="W321" i="16" s="1"/>
  <c r="V322" i="16"/>
  <c r="W322" i="16" s="1"/>
  <c r="V323" i="16"/>
  <c r="W323" i="16" s="1"/>
  <c r="J324" i="16"/>
  <c r="V324" i="16"/>
  <c r="W324" i="16"/>
  <c r="K328" i="16"/>
  <c r="K334" i="16"/>
  <c r="D160" i="16" s="1"/>
  <c r="J335" i="16"/>
  <c r="K335" i="16"/>
  <c r="L335" i="16"/>
  <c r="D203" i="16" s="1"/>
  <c r="M335" i="16"/>
  <c r="D232" i="16" s="1"/>
  <c r="J336" i="16"/>
  <c r="D132" i="16" s="1"/>
  <c r="J338" i="16"/>
  <c r="J340" i="16"/>
  <c r="D136" i="16" s="1"/>
  <c r="J341" i="16"/>
  <c r="K341" i="16"/>
  <c r="L341" i="16"/>
  <c r="M341" i="16"/>
  <c r="J342" i="16"/>
  <c r="D146" i="16" s="1"/>
  <c r="K342" i="16"/>
  <c r="D175" i="16" s="1"/>
  <c r="M345" i="16"/>
  <c r="J346" i="16"/>
  <c r="K346" i="16"/>
  <c r="L346" i="16"/>
  <c r="M346" i="16"/>
  <c r="M347" i="16"/>
  <c r="D227" i="16" s="1"/>
  <c r="J348" i="16"/>
  <c r="M353" i="16"/>
  <c r="M355" i="16"/>
  <c r="J356" i="16"/>
  <c r="K356" i="16"/>
  <c r="L356" i="16"/>
  <c r="M356" i="16"/>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23" i="16"/>
  <c r="D145" i="16"/>
  <c r="D172" i="16"/>
  <c r="D235" i="16"/>
  <c r="D236" i="16"/>
  <c r="D237" i="16"/>
  <c r="D238" i="16"/>
  <c r="D239"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M12" i="94"/>
  <c r="N12" i="94"/>
  <c r="O12" i="94"/>
  <c r="P12" i="94"/>
  <c r="Q12" i="94"/>
  <c r="R12" i="94"/>
  <c r="S12" i="94"/>
  <c r="M13" i="94"/>
  <c r="N13" i="94"/>
  <c r="O13" i="94"/>
  <c r="P13" i="94"/>
  <c r="Q13" i="94"/>
  <c r="R13" i="94"/>
  <c r="S13" i="94"/>
  <c r="M14" i="94"/>
  <c r="N14" i="94"/>
  <c r="O14" i="94"/>
  <c r="P14" i="94"/>
  <c r="Q14" i="94"/>
  <c r="R14" i="94"/>
  <c r="S14" i="94"/>
  <c r="M15" i="94"/>
  <c r="N15" i="94"/>
  <c r="O15" i="94"/>
  <c r="P15" i="94"/>
  <c r="Q15" i="94"/>
  <c r="R15" i="94"/>
  <c r="S15" i="94"/>
  <c r="M16" i="94"/>
  <c r="N16" i="94"/>
  <c r="O16" i="94"/>
  <c r="P16" i="94"/>
  <c r="Q16" i="94"/>
  <c r="R16" i="94"/>
  <c r="S16" i="94"/>
  <c r="M17" i="94"/>
  <c r="N17" i="94"/>
  <c r="O17" i="94"/>
  <c r="P17" i="94"/>
  <c r="Q17" i="94"/>
  <c r="R17" i="94"/>
  <c r="S17" i="94"/>
  <c r="M18" i="94"/>
  <c r="N18" i="94"/>
  <c r="O18" i="94"/>
  <c r="P18" i="94"/>
  <c r="Q18" i="94"/>
  <c r="R18" i="94"/>
  <c r="S18" i="94"/>
  <c r="M19" i="94"/>
  <c r="N19" i="94"/>
  <c r="O19" i="94"/>
  <c r="P19" i="94"/>
  <c r="Q19" i="94"/>
  <c r="R19" i="94"/>
  <c r="S19" i="94"/>
  <c r="M20" i="94"/>
  <c r="N20" i="94"/>
  <c r="O20" i="94"/>
  <c r="P20" i="94"/>
  <c r="Q20" i="94"/>
  <c r="R20" i="94"/>
  <c r="S20" i="94"/>
  <c r="M21" i="94"/>
  <c r="N21" i="94"/>
  <c r="O21" i="94"/>
  <c r="P21" i="94"/>
  <c r="Q21" i="94"/>
  <c r="R21" i="94"/>
  <c r="S21" i="94"/>
  <c r="M22" i="94"/>
  <c r="N22" i="94"/>
  <c r="O22" i="94"/>
  <c r="P22" i="94"/>
  <c r="Q22" i="94"/>
  <c r="R22" i="94"/>
  <c r="S22" i="94"/>
  <c r="M23" i="94"/>
  <c r="N23" i="94"/>
  <c r="O23" i="94"/>
  <c r="P23" i="94"/>
  <c r="Q23" i="94"/>
  <c r="R23" i="94"/>
  <c r="S23" i="94"/>
  <c r="M24" i="94"/>
  <c r="N24" i="94"/>
  <c r="O24" i="94"/>
  <c r="P24" i="94"/>
  <c r="Q24" i="94"/>
  <c r="R24" i="94"/>
  <c r="S24" i="94"/>
  <c r="M25" i="94"/>
  <c r="N25" i="94"/>
  <c r="O25" i="94"/>
  <c r="P25" i="94"/>
  <c r="Q25" i="94"/>
  <c r="R25" i="94"/>
  <c r="S25" i="94"/>
  <c r="M26" i="94"/>
  <c r="N26" i="94"/>
  <c r="O26" i="94"/>
  <c r="P26" i="94"/>
  <c r="Q26" i="94"/>
  <c r="R26" i="94"/>
  <c r="S26" i="94"/>
  <c r="M27" i="94"/>
  <c r="N27" i="94"/>
  <c r="O27" i="94"/>
  <c r="P27" i="94"/>
  <c r="Q27" i="94"/>
  <c r="R27" i="94"/>
  <c r="S27" i="94"/>
  <c r="M28" i="94"/>
  <c r="N28" i="94"/>
  <c r="O28" i="94"/>
  <c r="P28" i="94"/>
  <c r="Q28" i="94"/>
  <c r="R28" i="94"/>
  <c r="S28" i="94"/>
  <c r="M29" i="94"/>
  <c r="N29" i="94"/>
  <c r="O29" i="94"/>
  <c r="P29" i="94"/>
  <c r="Q29" i="94"/>
  <c r="R29" i="94"/>
  <c r="S29" i="94"/>
  <c r="M30" i="94"/>
  <c r="N30" i="94"/>
  <c r="O30" i="94"/>
  <c r="P30" i="94"/>
  <c r="Q30" i="94"/>
  <c r="R30" i="94"/>
  <c r="S30" i="94"/>
  <c r="M31" i="94"/>
  <c r="N31" i="94"/>
  <c r="O31" i="94"/>
  <c r="P31" i="94"/>
  <c r="Q31" i="94"/>
  <c r="R31" i="94"/>
  <c r="S31" i="94"/>
  <c r="M32" i="94"/>
  <c r="N32" i="94"/>
  <c r="O32" i="94"/>
  <c r="P32" i="94"/>
  <c r="Q32" i="94"/>
  <c r="R32" i="94"/>
  <c r="S32" i="94"/>
  <c r="M33" i="94"/>
  <c r="N33" i="94"/>
  <c r="O33" i="94"/>
  <c r="P33" i="94"/>
  <c r="Q33" i="94"/>
  <c r="R33" i="94"/>
  <c r="S33" i="94"/>
  <c r="M34" i="94"/>
  <c r="N34" i="94"/>
  <c r="O34" i="94"/>
  <c r="P34" i="94"/>
  <c r="Q34" i="94"/>
  <c r="R34" i="94"/>
  <c r="S34" i="94"/>
  <c r="M35" i="94"/>
  <c r="N35" i="94"/>
  <c r="O35" i="94"/>
  <c r="P35" i="94"/>
  <c r="Q35" i="94"/>
  <c r="R35" i="94"/>
  <c r="S35" i="94"/>
  <c r="M36" i="94"/>
  <c r="N36" i="94"/>
  <c r="O36" i="94"/>
  <c r="P36" i="94"/>
  <c r="Q36" i="94"/>
  <c r="R36" i="94"/>
  <c r="S36" i="94"/>
  <c r="M37" i="94"/>
  <c r="N37" i="94"/>
  <c r="O37" i="94"/>
  <c r="P37" i="94"/>
  <c r="Q37" i="94"/>
  <c r="R37" i="94"/>
  <c r="S37" i="94"/>
  <c r="M38" i="94"/>
  <c r="N38" i="94"/>
  <c r="O38" i="94"/>
  <c r="P38" i="94"/>
  <c r="Q38" i="94"/>
  <c r="R38" i="94"/>
  <c r="S38" i="94"/>
  <c r="M39" i="94"/>
  <c r="N39" i="94"/>
  <c r="O39" i="94"/>
  <c r="P39" i="94"/>
  <c r="Q39" i="94"/>
  <c r="R39" i="94"/>
  <c r="S39" i="94"/>
  <c r="M40" i="94"/>
  <c r="N40" i="94"/>
  <c r="O40" i="94"/>
  <c r="P40" i="94"/>
  <c r="Q40" i="94"/>
  <c r="R40" i="94"/>
  <c r="S40" i="94"/>
  <c r="M41" i="94"/>
  <c r="N41" i="94"/>
  <c r="O41" i="94"/>
  <c r="P41" i="94"/>
  <c r="Q41" i="94"/>
  <c r="R41" i="94"/>
  <c r="S41" i="94"/>
  <c r="M42" i="94"/>
  <c r="N42" i="94"/>
  <c r="O42" i="94"/>
  <c r="P42" i="94"/>
  <c r="Q42" i="94"/>
  <c r="R42" i="94"/>
  <c r="S42" i="94"/>
  <c r="M43" i="94"/>
  <c r="N43" i="94"/>
  <c r="O43" i="94"/>
  <c r="P43" i="94"/>
  <c r="Q43" i="94"/>
  <c r="R43" i="94"/>
  <c r="S43" i="94"/>
  <c r="M44" i="94"/>
  <c r="N44" i="94"/>
  <c r="O44" i="94"/>
  <c r="P44" i="94"/>
  <c r="Q44" i="94"/>
  <c r="R44" i="94"/>
  <c r="S44" i="94"/>
  <c r="M45" i="94"/>
  <c r="N45" i="94"/>
  <c r="O45" i="94"/>
  <c r="P45" i="94"/>
  <c r="Q45" i="94"/>
  <c r="R45" i="94"/>
  <c r="S45" i="94"/>
  <c r="M46" i="94"/>
  <c r="N46" i="94"/>
  <c r="O46" i="94"/>
  <c r="P46" i="94"/>
  <c r="Q46" i="94"/>
  <c r="R46" i="94"/>
  <c r="S46" i="94"/>
  <c r="M47" i="94"/>
  <c r="N47" i="94"/>
  <c r="O47" i="94"/>
  <c r="P47" i="94"/>
  <c r="Q47" i="94"/>
  <c r="R47" i="94"/>
  <c r="S47" i="94"/>
  <c r="M48" i="94"/>
  <c r="N48" i="94"/>
  <c r="O48" i="94"/>
  <c r="P48" i="94"/>
  <c r="Q48" i="94"/>
  <c r="R48" i="94"/>
  <c r="S48" i="94"/>
  <c r="M49" i="94"/>
  <c r="N49" i="94"/>
  <c r="O49" i="94"/>
  <c r="P49" i="94"/>
  <c r="Q49" i="94"/>
  <c r="R49" i="94"/>
  <c r="S49" i="94"/>
  <c r="K350" i="16"/>
  <c r="L350" i="16"/>
  <c r="M350" i="16"/>
  <c r="J349" i="16"/>
  <c r="L349" i="16"/>
  <c r="D199" i="16" s="1"/>
  <c r="M349" i="16"/>
  <c r="D228" i="16" s="1"/>
  <c r="M343" i="16"/>
  <c r="D224" i="16" s="1"/>
  <c r="J333" i="16"/>
  <c r="K333" i="16"/>
  <c r="D159" i="16" s="1"/>
  <c r="M333" i="16"/>
  <c r="D217" i="16" s="1"/>
  <c r="J329" i="16"/>
  <c r="D127" i="16" s="1"/>
  <c r="L329" i="16"/>
  <c r="D185" i="16" s="1"/>
  <c r="M329" i="16"/>
  <c r="J331" i="16"/>
  <c r="D128" i="16" s="1"/>
  <c r="M331" i="16"/>
  <c r="D215" i="16" s="1"/>
  <c r="J321" i="16"/>
  <c r="L321" i="16"/>
  <c r="D178" i="16" s="1"/>
  <c r="M321" i="16"/>
  <c r="D207" i="16" s="1"/>
  <c r="K322" i="16"/>
  <c r="M322" i="16"/>
  <c r="D208" i="16" s="1"/>
  <c r="J323" i="16"/>
  <c r="K323" i="16"/>
  <c r="D151" i="16" s="1"/>
  <c r="M323" i="16"/>
  <c r="D209" i="16" s="1"/>
  <c r="J344" i="16"/>
  <c r="D138" i="16" s="1"/>
  <c r="K344" i="16"/>
  <c r="L344" i="16"/>
  <c r="D196" i="16" s="1"/>
  <c r="M344" i="16"/>
  <c r="D225" i="16" s="1"/>
  <c r="L338" i="16"/>
  <c r="D192" i="16" s="1"/>
  <c r="M338" i="16"/>
  <c r="D221" i="16" s="1"/>
  <c r="K339" i="16"/>
  <c r="M339" i="16"/>
  <c r="D222" i="16" s="1"/>
  <c r="J332" i="16"/>
  <c r="D129" i="16" s="1"/>
  <c r="M332" i="16"/>
  <c r="D216" i="16" s="1"/>
  <c r="J334" i="16"/>
  <c r="M334" i="16"/>
  <c r="D218" i="16" s="1"/>
  <c r="J353" i="16"/>
  <c r="L353" i="16"/>
  <c r="J351" i="16"/>
  <c r="K351" i="16"/>
  <c r="J355" i="16"/>
  <c r="K355" i="16"/>
  <c r="J354" i="16"/>
  <c r="K354" i="16"/>
  <c r="L354" i="16"/>
  <c r="M354" i="16"/>
  <c r="J347" i="16"/>
  <c r="D140" i="16" s="1"/>
  <c r="K347" i="16"/>
  <c r="D169" i="16" s="1"/>
  <c r="K324" i="16"/>
  <c r="D152" i="16" s="1"/>
  <c r="L324" i="16"/>
  <c r="M324" i="16"/>
  <c r="D210" i="16" s="1"/>
  <c r="J325" i="16"/>
  <c r="L325" i="16"/>
  <c r="D182" i="16" s="1"/>
  <c r="M325" i="16"/>
  <c r="D211" i="16" s="1"/>
  <c r="K348" i="16"/>
  <c r="M348" i="16"/>
  <c r="L340" i="16"/>
  <c r="D194" i="16" s="1"/>
  <c r="M340" i="16"/>
  <c r="D223" i="16" s="1"/>
  <c r="K337" i="16"/>
  <c r="D162" i="16" s="1"/>
  <c r="M337" i="16"/>
  <c r="D220" i="16" s="1"/>
  <c r="J352" i="16"/>
  <c r="K352" i="16"/>
  <c r="M352" i="16"/>
  <c r="J326" i="16"/>
  <c r="K326" i="16"/>
  <c r="D154" i="16" s="1"/>
  <c r="L326" i="16"/>
  <c r="D183" i="16" s="1"/>
  <c r="J327" i="16"/>
  <c r="K327" i="16"/>
  <c r="D155" i="16" s="1"/>
  <c r="L327" i="16"/>
  <c r="D184" i="16" s="1"/>
  <c r="M327" i="16"/>
  <c r="D213" i="16" s="1"/>
  <c r="J345" i="16"/>
  <c r="K345" i="16"/>
  <c r="J328" i="16"/>
  <c r="D143" i="16" s="1"/>
  <c r="M328" i="16"/>
  <c r="J330" i="16"/>
  <c r="K330" i="16"/>
  <c r="L330" i="16"/>
  <c r="D202" i="16" s="1"/>
  <c r="J320" i="16"/>
  <c r="D119" i="16" s="1"/>
  <c r="K320" i="16"/>
  <c r="D148" i="16" s="1"/>
  <c r="L320" i="16"/>
  <c r="M320" i="16"/>
  <c r="D206" i="16" s="1"/>
  <c r="L342" i="16"/>
  <c r="D204" i="16" s="1"/>
  <c r="M342" i="16"/>
  <c r="D233" i="16" s="1"/>
  <c r="C29" i="68"/>
  <c r="D29" i="68"/>
  <c r="C31" i="68"/>
  <c r="D31" i="68"/>
  <c r="B3" i="89"/>
  <c r="C3" i="89"/>
  <c r="B4" i="89"/>
  <c r="C4" i="89"/>
  <c r="B5" i="89"/>
  <c r="C5" i="89"/>
  <c r="B6" i="89"/>
  <c r="C6" i="89"/>
  <c r="B7" i="89"/>
  <c r="C7" i="89"/>
  <c r="B8" i="89"/>
  <c r="C8" i="89"/>
  <c r="B9" i="89"/>
  <c r="C9" i="89"/>
  <c r="B10" i="89"/>
  <c r="C10" i="89"/>
  <c r="B12" i="89"/>
  <c r="C12" i="89"/>
  <c r="B13" i="89"/>
  <c r="C13" i="89"/>
  <c r="B14" i="89"/>
  <c r="C14" i="89"/>
  <c r="B15" i="89"/>
  <c r="C15" i="89"/>
  <c r="B16" i="89"/>
  <c r="C16" i="89"/>
  <c r="C49" i="89"/>
  <c r="C57" i="89" s="1"/>
  <c r="C48" i="89"/>
  <c r="C56" i="89" s="1"/>
  <c r="C47" i="89"/>
  <c r="C55" i="89" s="1"/>
  <c r="L328" i="16" l="1"/>
  <c r="AC328" i="16" s="1"/>
  <c r="F311" i="94"/>
  <c r="G276" i="94"/>
  <c r="G280" i="94"/>
  <c r="G286" i="94"/>
  <c r="L332" i="16"/>
  <c r="G288" i="94"/>
  <c r="G292" i="94"/>
  <c r="L348" i="16"/>
  <c r="AC348" i="16" s="1"/>
  <c r="G302" i="94"/>
  <c r="G308" i="94"/>
  <c r="G291" i="94"/>
  <c r="G294" i="94"/>
  <c r="G299" i="94"/>
  <c r="G307" i="94"/>
  <c r="E29" i="68"/>
  <c r="L213" i="94"/>
  <c r="L331" i="16"/>
  <c r="D186" i="16" s="1"/>
  <c r="E311" i="94"/>
  <c r="G277" i="94"/>
  <c r="G293" i="94"/>
  <c r="G309" i="94"/>
  <c r="L345" i="16"/>
  <c r="D197" i="16" s="1"/>
  <c r="M336" i="16"/>
  <c r="D219" i="16" s="1"/>
  <c r="L352" i="16"/>
  <c r="AC352" i="16" s="1"/>
  <c r="AC341" i="16"/>
  <c r="AC335" i="16"/>
  <c r="G289" i="94"/>
  <c r="G305" i="94"/>
  <c r="D168" i="16"/>
  <c r="D226" i="16"/>
  <c r="G282" i="94"/>
  <c r="G283" i="94"/>
  <c r="G296" i="94"/>
  <c r="G298" i="94"/>
  <c r="K329" i="16"/>
  <c r="D156" i="16" s="1"/>
  <c r="L334" i="16"/>
  <c r="D189" i="16" s="1"/>
  <c r="G285" i="94"/>
  <c r="G301" i="94"/>
  <c r="H213" i="94"/>
  <c r="K349" i="16"/>
  <c r="D170" i="16" s="1"/>
  <c r="B311" i="94"/>
  <c r="G278" i="94"/>
  <c r="G310" i="94"/>
  <c r="L339" i="16"/>
  <c r="D193" i="16" s="1"/>
  <c r="C311" i="94"/>
  <c r="L333" i="16"/>
  <c r="D188" i="16" s="1"/>
  <c r="G281" i="94"/>
  <c r="G297" i="94"/>
  <c r="D311" i="94"/>
  <c r="G290" i="94"/>
  <c r="G306" i="94"/>
  <c r="L336" i="16"/>
  <c r="D190" i="16" s="1"/>
  <c r="G274" i="94"/>
  <c r="AC354" i="16"/>
  <c r="D229" i="16"/>
  <c r="K336" i="16"/>
  <c r="AC326" i="16"/>
  <c r="D125" i="16"/>
  <c r="D124" i="16"/>
  <c r="D150" i="16"/>
  <c r="D205" i="16"/>
  <c r="D230" i="16"/>
  <c r="D234" i="16"/>
  <c r="D141" i="16"/>
  <c r="D173" i="16"/>
  <c r="D176" i="16"/>
  <c r="D147" i="16"/>
  <c r="D144" i="16"/>
  <c r="AC343" i="16"/>
  <c r="D166" i="16"/>
  <c r="AC324" i="16"/>
  <c r="D181" i="16"/>
  <c r="D171" i="16"/>
  <c r="AC334" i="16"/>
  <c r="D131" i="16"/>
  <c r="J357" i="16"/>
  <c r="AC329" i="16"/>
  <c r="D214" i="16"/>
  <c r="AC327" i="16"/>
  <c r="D126" i="16"/>
  <c r="D130" i="16"/>
  <c r="AC320" i="16"/>
  <c r="D177" i="16"/>
  <c r="AC344" i="16"/>
  <c r="D167" i="16"/>
  <c r="D120" i="16"/>
  <c r="AC321" i="16"/>
  <c r="AC350" i="16"/>
  <c r="AC331" i="16"/>
  <c r="L322" i="16"/>
  <c r="D179" i="16" s="1"/>
  <c r="D201" i="16"/>
  <c r="D174" i="16"/>
  <c r="AC356" i="16"/>
  <c r="AC353" i="16"/>
  <c r="D161" i="16"/>
  <c r="K332" i="16"/>
  <c r="D158" i="16" s="1"/>
  <c r="L351" i="16"/>
  <c r="AC351" i="16" s="1"/>
  <c r="D139" i="16"/>
  <c r="AC342" i="16"/>
  <c r="AC338" i="16"/>
  <c r="L337" i="16"/>
  <c r="D142" i="16"/>
  <c r="D134" i="16"/>
  <c r="D157" i="16"/>
  <c r="AC346" i="16"/>
  <c r="AC330" i="16"/>
  <c r="D164" i="16"/>
  <c r="AC355" i="16"/>
  <c r="AC347" i="16"/>
  <c r="AC323" i="16"/>
  <c r="D187" i="16"/>
  <c r="AC340" i="16"/>
  <c r="D122" i="16"/>
  <c r="E31" i="68"/>
  <c r="C58" i="89"/>
  <c r="C28" i="89" s="1"/>
  <c r="C11" i="89" s="1"/>
  <c r="AC345" i="16" l="1"/>
  <c r="AC349" i="16"/>
  <c r="AC339" i="16"/>
  <c r="M357" i="16"/>
  <c r="AC333" i="16"/>
  <c r="AC336" i="16"/>
  <c r="G311" i="94"/>
  <c r="D312" i="94" s="1"/>
  <c r="D200" i="16"/>
  <c r="L357" i="16"/>
  <c r="AC322" i="16"/>
  <c r="AC337" i="16"/>
  <c r="D191" i="16"/>
  <c r="AC332" i="16"/>
  <c r="C312" i="94" l="1"/>
  <c r="G312" i="94"/>
  <c r="E312" i="94"/>
  <c r="F312" i="94"/>
  <c r="B312" i="94"/>
  <c r="E46" i="30" l="1"/>
  <c r="E45" i="30"/>
  <c r="E44" i="30"/>
  <c r="E43" i="30"/>
  <c r="C46" i="30"/>
  <c r="D46" i="30" s="1"/>
  <c r="S24" i="3" l="1"/>
  <c r="L23" i="3" s="1"/>
  <c r="J23" i="3" l="1"/>
  <c r="M23" i="3"/>
  <c r="K23" i="3"/>
  <c r="N23" i="3"/>
  <c r="R24" i="3"/>
  <c r="E23" i="3" s="1"/>
  <c r="C23" i="3" l="1"/>
  <c r="F23" i="3"/>
  <c r="D23" i="3"/>
  <c r="G23" i="3"/>
  <c r="B45" i="48"/>
  <c r="B44" i="48"/>
  <c r="B43" i="48"/>
  <c r="B42" i="48"/>
  <c r="B41" i="48"/>
  <c r="C60" i="48"/>
  <c r="B60" i="48"/>
  <c r="C59" i="48"/>
  <c r="B59" i="48"/>
  <c r="C58" i="48"/>
  <c r="B58" i="48"/>
  <c r="C57" i="48"/>
  <c r="B57" i="48"/>
  <c r="C56" i="48"/>
  <c r="B56" i="48"/>
  <c r="C68" i="48"/>
  <c r="C67" i="48"/>
  <c r="C66" i="48"/>
  <c r="C65" i="48"/>
  <c r="C64" i="48"/>
  <c r="B68" i="48"/>
  <c r="B67" i="48"/>
  <c r="B66" i="48"/>
  <c r="B65" i="48"/>
  <c r="B64" i="48"/>
  <c r="F3" i="84" l="1"/>
  <c r="F4" i="84"/>
  <c r="F5" i="84"/>
  <c r="F6" i="84"/>
  <c r="F7" i="84"/>
  <c r="F8" i="84"/>
  <c r="F9" i="84"/>
  <c r="F10" i="84"/>
  <c r="F11" i="84"/>
  <c r="F12" i="84"/>
  <c r="F13" i="84"/>
  <c r="F14" i="84"/>
  <c r="F15" i="84"/>
  <c r="F16" i="84"/>
  <c r="F17" i="84"/>
  <c r="F18" i="84"/>
  <c r="F19" i="84"/>
  <c r="F20" i="84"/>
  <c r="F21" i="84"/>
  <c r="F22" i="84"/>
  <c r="F23" i="84"/>
  <c r="F24" i="84"/>
  <c r="F25" i="84"/>
  <c r="F26" i="84"/>
  <c r="F27" i="84"/>
  <c r="F28" i="84"/>
  <c r="F29" i="84"/>
  <c r="F30" i="84"/>
  <c r="F31" i="84"/>
  <c r="F32" i="84"/>
  <c r="F33" i="84"/>
  <c r="F34" i="84"/>
  <c r="F35" i="84"/>
  <c r="F36" i="84"/>
  <c r="F37" i="84"/>
  <c r="F38" i="84"/>
  <c r="F39" i="84"/>
  <c r="F40" i="84"/>
  <c r="F41" i="84"/>
  <c r="F42" i="84"/>
  <c r="F43" i="84"/>
  <c r="F44" i="84"/>
  <c r="F45" i="84"/>
  <c r="F46" i="84"/>
  <c r="F47" i="84"/>
  <c r="F48" i="84"/>
  <c r="F49" i="84"/>
  <c r="F50" i="84"/>
  <c r="F51" i="84"/>
  <c r="F52" i="84"/>
  <c r="F53" i="84"/>
  <c r="F54" i="84"/>
  <c r="F55" i="84"/>
  <c r="F56" i="84"/>
  <c r="F57" i="84"/>
  <c r="F58" i="84"/>
  <c r="F59" i="84"/>
  <c r="F60" i="84"/>
  <c r="F61" i="84"/>
  <c r="F62" i="84"/>
  <c r="F63" i="84"/>
  <c r="F64" i="84"/>
  <c r="F65" i="84"/>
  <c r="F66" i="84"/>
  <c r="F67" i="84"/>
  <c r="F68" i="84"/>
  <c r="F69" i="84"/>
  <c r="F70" i="84"/>
  <c r="F71" i="84"/>
  <c r="F72" i="84"/>
  <c r="F73" i="84"/>
  <c r="F74" i="84"/>
  <c r="F75" i="84"/>
  <c r="F76" i="84"/>
  <c r="F77" i="84"/>
  <c r="F78" i="84"/>
  <c r="F79" i="84"/>
  <c r="F80" i="84"/>
  <c r="F81" i="84"/>
  <c r="F82" i="84"/>
  <c r="F83" i="84"/>
  <c r="F84" i="84"/>
  <c r="F85" i="84"/>
  <c r="F86" i="84"/>
  <c r="F87" i="84"/>
  <c r="F88" i="84"/>
  <c r="F89" i="84"/>
  <c r="F90" i="84"/>
  <c r="F91" i="84"/>
  <c r="F92" i="84"/>
  <c r="F93" i="84"/>
  <c r="F94" i="84"/>
  <c r="F95" i="84"/>
  <c r="F96" i="84"/>
  <c r="F97" i="84"/>
  <c r="F98" i="84"/>
  <c r="F99" i="84"/>
  <c r="F100" i="84"/>
  <c r="F101" i="84"/>
  <c r="F102" i="84"/>
  <c r="F103" i="84"/>
  <c r="F104" i="84"/>
  <c r="F105" i="84"/>
  <c r="F106" i="84"/>
  <c r="F107" i="84"/>
  <c r="F108" i="84"/>
  <c r="F109" i="84"/>
  <c r="F110" i="84"/>
  <c r="F111" i="84"/>
  <c r="F112" i="84"/>
  <c r="F113" i="84"/>
  <c r="F114" i="84"/>
  <c r="F115" i="84"/>
  <c r="F116" i="84"/>
  <c r="F117" i="84"/>
  <c r="F118" i="84"/>
  <c r="F119" i="84"/>
  <c r="F120" i="84"/>
  <c r="F121" i="84"/>
  <c r="F122" i="84"/>
  <c r="F123" i="84"/>
  <c r="F124" i="84"/>
  <c r="F125" i="84"/>
  <c r="F126" i="84"/>
  <c r="F127" i="84"/>
  <c r="F128" i="84"/>
  <c r="F129" i="84"/>
  <c r="F130" i="84"/>
  <c r="F131" i="84"/>
  <c r="F132" i="84"/>
  <c r="F133" i="84"/>
  <c r="F134" i="84"/>
  <c r="F135" i="84"/>
  <c r="F136" i="84"/>
  <c r="F137" i="84"/>
  <c r="F138" i="84"/>
  <c r="F139" i="84"/>
  <c r="F140" i="84"/>
  <c r="F141" i="84"/>
  <c r="F142" i="84"/>
  <c r="F143" i="84"/>
  <c r="F144" i="84"/>
  <c r="F145" i="84"/>
  <c r="F146" i="84"/>
  <c r="F147" i="84"/>
  <c r="F148" i="84"/>
  <c r="F149" i="84"/>
  <c r="F150" i="84"/>
  <c r="F151" i="84"/>
  <c r="F152" i="84"/>
  <c r="F153" i="84"/>
  <c r="F154" i="84"/>
  <c r="F155" i="84"/>
  <c r="F156" i="84"/>
  <c r="F157" i="84"/>
  <c r="F158" i="84"/>
  <c r="F159" i="84"/>
  <c r="F160" i="84"/>
  <c r="F161" i="84"/>
  <c r="F162" i="84"/>
  <c r="F163" i="84"/>
  <c r="F164" i="84"/>
  <c r="F165" i="84"/>
  <c r="F166" i="84"/>
  <c r="F167" i="84"/>
  <c r="F168" i="84"/>
  <c r="F169" i="84"/>
  <c r="F170" i="84"/>
  <c r="F171" i="84"/>
  <c r="F172" i="84"/>
  <c r="F173" i="84"/>
  <c r="F174" i="84"/>
  <c r="F175" i="84"/>
  <c r="F176" i="84"/>
  <c r="F177" i="84"/>
  <c r="F178" i="84"/>
  <c r="F179" i="84"/>
  <c r="F180" i="84"/>
  <c r="F181" i="84"/>
  <c r="F182" i="84"/>
  <c r="F183" i="84"/>
  <c r="F184" i="84"/>
  <c r="F185" i="84"/>
  <c r="F186" i="84"/>
  <c r="F187" i="84"/>
  <c r="F188" i="84"/>
  <c r="F189" i="84"/>
  <c r="F190" i="84"/>
  <c r="F191" i="84"/>
  <c r="F192" i="84"/>
  <c r="F193" i="84"/>
  <c r="F194" i="84"/>
  <c r="F195" i="84"/>
  <c r="F196" i="84"/>
  <c r="F197" i="84"/>
  <c r="F198" i="84"/>
  <c r="F199" i="84"/>
  <c r="F200" i="84"/>
  <c r="F201" i="84"/>
  <c r="F202" i="84"/>
  <c r="F203" i="84"/>
  <c r="F204" i="84"/>
  <c r="F205" i="84"/>
  <c r="F206" i="84"/>
  <c r="F207" i="84"/>
  <c r="F208" i="84"/>
  <c r="F209" i="84"/>
  <c r="F210" i="84"/>
  <c r="F211" i="84"/>
  <c r="F212" i="84"/>
  <c r="F213" i="84"/>
  <c r="F214" i="84"/>
  <c r="F215" i="84"/>
  <c r="F216" i="84"/>
  <c r="F217" i="84"/>
  <c r="F218" i="84"/>
  <c r="F219" i="84"/>
  <c r="F220" i="84"/>
  <c r="F221" i="84"/>
  <c r="F222" i="84"/>
  <c r="F223" i="84"/>
  <c r="F224" i="84"/>
  <c r="F225" i="84"/>
  <c r="F226" i="84"/>
  <c r="F227" i="84"/>
  <c r="F228" i="84"/>
  <c r="F229" i="84"/>
  <c r="F230" i="84"/>
  <c r="F231" i="84"/>
  <c r="F232" i="84"/>
  <c r="F233" i="84"/>
  <c r="F234" i="84"/>
  <c r="F235" i="84"/>
  <c r="F236" i="84"/>
  <c r="F237" i="84"/>
  <c r="F238" i="84"/>
  <c r="F239" i="84"/>
  <c r="F240" i="84"/>
  <c r="F241" i="84"/>
  <c r="F242" i="84"/>
  <c r="F243" i="84"/>
  <c r="F244" i="84"/>
  <c r="F245" i="84"/>
  <c r="F246" i="84"/>
  <c r="F247" i="84"/>
  <c r="F248" i="84"/>
  <c r="F249" i="84"/>
  <c r="F250" i="84"/>
  <c r="F251" i="84"/>
  <c r="F252" i="84"/>
  <c r="F253" i="84"/>
  <c r="F254" i="84"/>
  <c r="F255" i="84"/>
  <c r="F256" i="84"/>
  <c r="F257" i="84"/>
  <c r="F258" i="84"/>
  <c r="F259" i="84"/>
  <c r="F260" i="84"/>
  <c r="F261" i="84"/>
  <c r="F262" i="84"/>
  <c r="F263" i="84"/>
  <c r="F264" i="84"/>
  <c r="F265" i="84"/>
  <c r="F266" i="84"/>
  <c r="F267" i="84"/>
  <c r="F268" i="84"/>
  <c r="F269" i="84"/>
  <c r="F270" i="84"/>
  <c r="F271" i="84"/>
  <c r="F272" i="84"/>
  <c r="F273" i="84"/>
  <c r="F274" i="84"/>
  <c r="F275" i="84"/>
  <c r="F276" i="84"/>
  <c r="F277" i="84"/>
  <c r="F278" i="84"/>
  <c r="F279" i="84"/>
  <c r="F280" i="84"/>
  <c r="F281" i="84"/>
  <c r="F282" i="84"/>
  <c r="F283" i="84"/>
  <c r="F284" i="84"/>
  <c r="F285" i="84"/>
  <c r="F286" i="84"/>
  <c r="F287" i="84"/>
  <c r="F288" i="84"/>
  <c r="F289" i="84"/>
  <c r="F290" i="84"/>
  <c r="F291" i="84"/>
  <c r="F292" i="84"/>
  <c r="F293" i="84"/>
  <c r="F294" i="84"/>
  <c r="F295" i="84"/>
  <c r="F296" i="84"/>
  <c r="F297" i="84"/>
  <c r="F298" i="84"/>
  <c r="F299" i="84"/>
  <c r="F300" i="84"/>
  <c r="F301" i="84"/>
  <c r="F302" i="84"/>
  <c r="F303" i="84"/>
  <c r="F304" i="84"/>
  <c r="F305" i="84"/>
  <c r="F306" i="84"/>
  <c r="F307" i="84"/>
  <c r="F308" i="84"/>
  <c r="F309" i="84"/>
  <c r="F310" i="84"/>
  <c r="F311" i="84"/>
  <c r="F312" i="84"/>
  <c r="F313" i="84"/>
  <c r="F314" i="84"/>
  <c r="F315" i="84"/>
  <c r="F316" i="84"/>
  <c r="F317" i="84"/>
  <c r="F318" i="84"/>
  <c r="F319" i="84"/>
  <c r="F320" i="84"/>
  <c r="F321" i="84"/>
  <c r="F322" i="84"/>
  <c r="F323" i="84"/>
  <c r="F324" i="84"/>
  <c r="F325" i="84"/>
  <c r="F326" i="84"/>
  <c r="F327" i="84"/>
  <c r="F328" i="84"/>
  <c r="F329" i="84"/>
  <c r="F330" i="84"/>
  <c r="F331" i="84"/>
  <c r="F332" i="84"/>
  <c r="F333" i="84"/>
  <c r="F334" i="84"/>
  <c r="F335" i="84"/>
  <c r="F336" i="84"/>
  <c r="F337" i="84"/>
  <c r="F338" i="84"/>
  <c r="F339" i="84"/>
  <c r="F340" i="84"/>
  <c r="F341" i="84"/>
  <c r="F342" i="84"/>
  <c r="F343" i="84"/>
  <c r="F344" i="84"/>
  <c r="F345" i="84"/>
  <c r="F346" i="84"/>
  <c r="F347" i="84"/>
  <c r="F348" i="84"/>
  <c r="F349" i="84"/>
  <c r="F350" i="84"/>
  <c r="F351" i="84"/>
  <c r="F352" i="84"/>
  <c r="F353" i="84"/>
  <c r="F354" i="84"/>
  <c r="F355" i="84"/>
  <c r="F356" i="84"/>
  <c r="F357" i="84"/>
  <c r="F358" i="84"/>
  <c r="F359" i="84"/>
  <c r="F360" i="84"/>
  <c r="F361" i="84"/>
  <c r="F362" i="84"/>
  <c r="F363" i="84"/>
  <c r="F364" i="84"/>
  <c r="F365" i="84"/>
  <c r="F366" i="84"/>
  <c r="F367" i="84"/>
  <c r="F368" i="84"/>
  <c r="F369" i="84"/>
  <c r="F370" i="84"/>
  <c r="F371" i="84"/>
  <c r="F372" i="84"/>
  <c r="F373" i="84"/>
  <c r="F374" i="84"/>
  <c r="F375" i="84"/>
  <c r="F376" i="84"/>
  <c r="F377" i="84"/>
  <c r="F378" i="84"/>
  <c r="F379" i="84"/>
  <c r="F380" i="84"/>
  <c r="F381" i="84"/>
  <c r="F382" i="84"/>
  <c r="F383" i="84"/>
  <c r="F384" i="84"/>
  <c r="F385" i="84"/>
  <c r="F386" i="84"/>
  <c r="F387" i="84"/>
  <c r="B18" i="83"/>
  <c r="M7" i="83"/>
  <c r="E6" i="82"/>
  <c r="E7" i="82"/>
  <c r="E5" i="82"/>
  <c r="N31" i="83" l="1"/>
  <c r="N30" i="83"/>
  <c r="N29" i="83"/>
  <c r="N28" i="83"/>
  <c r="N27" i="83"/>
  <c r="N26" i="83"/>
  <c r="N25" i="83"/>
  <c r="N24" i="83"/>
  <c r="K23" i="83"/>
  <c r="M23" i="83" s="1"/>
  <c r="I8" i="83"/>
  <c r="E8" i="83"/>
  <c r="E9" i="83" s="1"/>
  <c r="D8" i="83"/>
  <c r="D9" i="83" s="1"/>
  <c r="F7" i="83"/>
  <c r="H6" i="83"/>
  <c r="I5" i="83"/>
  <c r="F4" i="83"/>
  <c r="F8" i="83" s="1"/>
  <c r="M2" i="83"/>
  <c r="J24" i="82"/>
  <c r="E24" i="82"/>
  <c r="J23" i="82"/>
  <c r="J22" i="82"/>
  <c r="O15" i="82"/>
  <c r="M15" i="82"/>
  <c r="O14" i="82"/>
  <c r="M14" i="82"/>
  <c r="O13" i="82"/>
  <c r="M13" i="82"/>
  <c r="Q7" i="82"/>
  <c r="R7" i="82" s="1"/>
  <c r="N7" i="82"/>
  <c r="O7" i="82" s="1"/>
  <c r="P15" i="82" s="1"/>
  <c r="K7" i="82"/>
  <c r="M7" i="82" s="1"/>
  <c r="P7" i="82" s="1"/>
  <c r="H7" i="82"/>
  <c r="I7" i="82"/>
  <c r="Q6" i="82"/>
  <c r="R6" i="82" s="1"/>
  <c r="N6" i="82"/>
  <c r="O6" i="82" s="1"/>
  <c r="P14" i="82" s="1"/>
  <c r="K6" i="82"/>
  <c r="M6" i="82" s="1"/>
  <c r="H6" i="82"/>
  <c r="J6" i="82" s="1"/>
  <c r="Q5" i="82"/>
  <c r="R5" i="82" s="1"/>
  <c r="N5" i="82"/>
  <c r="O5" i="82" s="1"/>
  <c r="P13" i="82" s="1"/>
  <c r="K5" i="82"/>
  <c r="M5" i="82" s="1"/>
  <c r="H5" i="82"/>
  <c r="J5" i="82" s="1"/>
  <c r="I57" i="80"/>
  <c r="I55" i="80"/>
  <c r="I54" i="80"/>
  <c r="I53" i="80"/>
  <c r="H44" i="80"/>
  <c r="F44" i="80"/>
  <c r="D44" i="80"/>
  <c r="B44" i="80"/>
  <c r="I43" i="80"/>
  <c r="G43" i="80"/>
  <c r="E43" i="80"/>
  <c r="C43" i="80"/>
  <c r="I42" i="80"/>
  <c r="G42" i="80"/>
  <c r="E42" i="80"/>
  <c r="C42" i="80"/>
  <c r="H41" i="80"/>
  <c r="F41" i="80"/>
  <c r="D41" i="80"/>
  <c r="B41" i="80"/>
  <c r="E28" i="80"/>
  <c r="D28" i="80"/>
  <c r="C28" i="80"/>
  <c r="B28" i="80"/>
  <c r="F20" i="80"/>
  <c r="F13" i="80"/>
  <c r="F5" i="80"/>
  <c r="G5" i="80" s="1"/>
  <c r="H5" i="80" s="1"/>
  <c r="O5" i="84" s="1"/>
  <c r="G28" i="78"/>
  <c r="G27" i="78"/>
  <c r="G26" i="78"/>
  <c r="G25" i="78"/>
  <c r="G24" i="78"/>
  <c r="G23" i="78"/>
  <c r="G22" i="78"/>
  <c r="G21" i="78"/>
  <c r="R13" i="82" l="1"/>
  <c r="D27" i="80"/>
  <c r="D31" i="80" s="1"/>
  <c r="R14" i="82"/>
  <c r="D45" i="80"/>
  <c r="H45" i="80"/>
  <c r="E27" i="80"/>
  <c r="E30" i="80" s="1"/>
  <c r="F9" i="83"/>
  <c r="R15" i="82"/>
  <c r="C27" i="80"/>
  <c r="C30" i="80" s="1"/>
  <c r="B27" i="80"/>
  <c r="B31" i="80" s="1"/>
  <c r="B45" i="80"/>
  <c r="J53" i="80"/>
  <c r="C58" i="80"/>
  <c r="B54" i="80" s="1"/>
  <c r="J54" i="80"/>
  <c r="G20" i="80"/>
  <c r="H20" i="80" s="1"/>
  <c r="Q5" i="84" s="1"/>
  <c r="F45" i="80"/>
  <c r="J55" i="80"/>
  <c r="D12" i="83"/>
  <c r="D13" i="83" s="1"/>
  <c r="L23" i="83"/>
  <c r="N23" i="83" s="1"/>
  <c r="M32" i="83" s="1"/>
  <c r="G13" i="80"/>
  <c r="H13" i="80" s="1"/>
  <c r="P5" i="84" s="1"/>
  <c r="J7" i="82"/>
  <c r="B19" i="83"/>
  <c r="H8" i="83"/>
  <c r="S5" i="82"/>
  <c r="P5" i="82"/>
  <c r="N13" i="82" s="1"/>
  <c r="Q13" i="82" s="1"/>
  <c r="S6" i="82"/>
  <c r="S7" i="82"/>
  <c r="N15" i="82" s="1"/>
  <c r="Q15" i="82" s="1"/>
  <c r="P6" i="82"/>
  <c r="D30" i="80"/>
  <c r="F28" i="80"/>
  <c r="G28" i="80" s="1"/>
  <c r="H28" i="80" s="1"/>
  <c r="C31" i="80"/>
  <c r="C32" i="80" s="1"/>
  <c r="D29" i="80" l="1"/>
  <c r="S13" i="82"/>
  <c r="S15" i="82"/>
  <c r="N6" i="84" s="1"/>
  <c r="B57" i="80"/>
  <c r="B55" i="80"/>
  <c r="E31" i="80"/>
  <c r="E32" i="80" s="1"/>
  <c r="C29" i="80"/>
  <c r="E29" i="80"/>
  <c r="D15" i="83"/>
  <c r="B53" i="80"/>
  <c r="F27" i="80"/>
  <c r="G27" i="80" s="1"/>
  <c r="H27" i="80" s="1"/>
  <c r="B30" i="80"/>
  <c r="B32" i="80" s="1"/>
  <c r="B29" i="80"/>
  <c r="K53" i="80"/>
  <c r="L53" i="80" s="1"/>
  <c r="S5" i="84" s="1"/>
  <c r="D32" i="80"/>
  <c r="B27" i="83"/>
  <c r="B24" i="83"/>
  <c r="B23" i="83"/>
  <c r="B25" i="83"/>
  <c r="B26" i="83"/>
  <c r="N14" i="82"/>
  <c r="Q14" i="82" s="1"/>
  <c r="S14" i="82" s="1"/>
  <c r="N5" i="84" s="1"/>
  <c r="D14" i="83"/>
  <c r="F31" i="80" l="1"/>
  <c r="G31" i="80" s="1"/>
  <c r="H31" i="80" s="1"/>
  <c r="D16" i="83"/>
  <c r="G181" i="84" s="1"/>
  <c r="F29" i="80"/>
  <c r="F30" i="80"/>
  <c r="G30" i="80" s="1"/>
  <c r="H30" i="80" s="1"/>
  <c r="G85" i="84"/>
  <c r="G133" i="84"/>
  <c r="G141" i="84"/>
  <c r="G189" i="84"/>
  <c r="G233" i="84"/>
  <c r="G277" i="84"/>
  <c r="G285" i="84"/>
  <c r="G329" i="84"/>
  <c r="G34" i="84"/>
  <c r="G42" i="84"/>
  <c r="G86" i="84"/>
  <c r="G130" i="84"/>
  <c r="G138" i="84"/>
  <c r="G182" i="84"/>
  <c r="G226" i="84"/>
  <c r="G234" i="84"/>
  <c r="G270" i="84"/>
  <c r="G298" i="84"/>
  <c r="G306" i="84"/>
  <c r="G342" i="84"/>
  <c r="G27" i="84"/>
  <c r="G35" i="84"/>
  <c r="G71" i="84"/>
  <c r="G99" i="84"/>
  <c r="G107" i="84"/>
  <c r="G143" i="84"/>
  <c r="G171" i="84"/>
  <c r="G179" i="84"/>
  <c r="G215" i="84"/>
  <c r="G243" i="84"/>
  <c r="G251" i="84"/>
  <c r="G287" i="84"/>
  <c r="G315" i="84"/>
  <c r="G323" i="84"/>
  <c r="G76" i="84"/>
  <c r="G188" i="84"/>
  <c r="G220" i="84"/>
  <c r="G348" i="84"/>
  <c r="G376" i="84"/>
  <c r="G384" i="84"/>
  <c r="G144" i="84"/>
  <c r="G256" i="84"/>
  <c r="G288" i="84"/>
  <c r="G365" i="84"/>
  <c r="G20" i="84"/>
  <c r="G52" i="84"/>
  <c r="G196" i="84"/>
  <c r="G308" i="84"/>
  <c r="G340" i="84"/>
  <c r="G366" i="84"/>
  <c r="G40" i="84"/>
  <c r="G232" i="84"/>
  <c r="G280" i="84"/>
  <c r="G312" i="84"/>
  <c r="G367" i="84"/>
  <c r="G72" i="84"/>
  <c r="G371" i="84"/>
  <c r="G152" i="84"/>
  <c r="Q9" i="84"/>
  <c r="O9" i="84"/>
  <c r="P9" i="84"/>
  <c r="P10" i="84" s="1"/>
  <c r="S9" i="84"/>
  <c r="G29" i="80"/>
  <c r="B20" i="83" l="1"/>
  <c r="G387" i="84"/>
  <c r="G136" i="84"/>
  <c r="G8" i="84"/>
  <c r="G351" i="84"/>
  <c r="G359" i="84"/>
  <c r="G379" i="84"/>
  <c r="G104" i="84"/>
  <c r="G370" i="84"/>
  <c r="G362" i="84"/>
  <c r="G324" i="84"/>
  <c r="G212" i="84"/>
  <c r="G148" i="84"/>
  <c r="G36" i="84"/>
  <c r="G369" i="84"/>
  <c r="G353" i="84"/>
  <c r="G272" i="84"/>
  <c r="G160" i="84"/>
  <c r="G96" i="84"/>
  <c r="G380" i="84"/>
  <c r="G352" i="84"/>
  <c r="G316" i="84"/>
  <c r="G204" i="84"/>
  <c r="G92" i="84"/>
  <c r="G28" i="84"/>
  <c r="G319" i="84"/>
  <c r="G291" i="84"/>
  <c r="G275" i="84"/>
  <c r="G247" i="84"/>
  <c r="G219" i="84"/>
  <c r="G203" i="84"/>
  <c r="G175" i="84"/>
  <c r="G147" i="84"/>
  <c r="G131" i="84"/>
  <c r="G103" i="84"/>
  <c r="G75" i="84"/>
  <c r="G59" i="84"/>
  <c r="G31" i="84"/>
  <c r="G3" i="84"/>
  <c r="G330" i="84"/>
  <c r="G302" i="84"/>
  <c r="G274" i="84"/>
  <c r="G258" i="84"/>
  <c r="G230" i="84"/>
  <c r="G186" i="84"/>
  <c r="G178" i="84"/>
  <c r="G134" i="84"/>
  <c r="G90" i="84"/>
  <c r="G82" i="84"/>
  <c r="G38" i="84"/>
  <c r="G333" i="84"/>
  <c r="G325" i="84"/>
  <c r="G281" i="84"/>
  <c r="G237" i="84"/>
  <c r="G229" i="84"/>
  <c r="G185" i="84"/>
  <c r="G137" i="84"/>
  <c r="G93" i="84"/>
  <c r="G77" i="84"/>
  <c r="G29" i="84"/>
  <c r="G53" i="84"/>
  <c r="G97" i="84"/>
  <c r="G121" i="84"/>
  <c r="G145" i="84"/>
  <c r="G169" i="84"/>
  <c r="G193" i="84"/>
  <c r="G217" i="84"/>
  <c r="G241" i="84"/>
  <c r="G265" i="84"/>
  <c r="G289" i="84"/>
  <c r="G313" i="84"/>
  <c r="G337" i="84"/>
  <c r="G22" i="84"/>
  <c r="G46" i="84"/>
  <c r="G70" i="84"/>
  <c r="G94" i="84"/>
  <c r="G118" i="84"/>
  <c r="G142" i="84"/>
  <c r="G166" i="84"/>
  <c r="G190" i="84"/>
  <c r="G214" i="84"/>
  <c r="G238" i="84"/>
  <c r="G262" i="84"/>
  <c r="G286" i="84"/>
  <c r="G310" i="84"/>
  <c r="G334" i="84"/>
  <c r="G15" i="84"/>
  <c r="G39" i="84"/>
  <c r="G63" i="84"/>
  <c r="G87" i="84"/>
  <c r="G111" i="84"/>
  <c r="G135" i="84"/>
  <c r="G159" i="84"/>
  <c r="G183" i="84"/>
  <c r="G207" i="84"/>
  <c r="G231" i="84"/>
  <c r="G255" i="84"/>
  <c r="G279" i="84"/>
  <c r="G303" i="84"/>
  <c r="G327" i="84"/>
  <c r="G44" i="84"/>
  <c r="G140" i="84"/>
  <c r="G236" i="84"/>
  <c r="G332" i="84"/>
  <c r="G364" i="84"/>
  <c r="G16" i="84"/>
  <c r="G112" i="84"/>
  <c r="G208" i="84"/>
  <c r="G304" i="84"/>
  <c r="G357" i="84"/>
  <c r="G381" i="84"/>
  <c r="G68" i="84"/>
  <c r="G164" i="84"/>
  <c r="G260" i="84"/>
  <c r="G9" i="84"/>
  <c r="G61" i="84"/>
  <c r="G101" i="84"/>
  <c r="G125" i="84"/>
  <c r="G149" i="84"/>
  <c r="G173" i="84"/>
  <c r="G197" i="84"/>
  <c r="G221" i="84"/>
  <c r="G245" i="84"/>
  <c r="G269" i="84"/>
  <c r="G293" i="84"/>
  <c r="G317" i="84"/>
  <c r="G341" i="84"/>
  <c r="G26" i="84"/>
  <c r="G50" i="84"/>
  <c r="G74" i="84"/>
  <c r="G98" i="84"/>
  <c r="G122" i="84"/>
  <c r="G146" i="84"/>
  <c r="G170" i="84"/>
  <c r="G194" i="84"/>
  <c r="G218" i="84"/>
  <c r="G242" i="84"/>
  <c r="G266" i="84"/>
  <c r="G290" i="84"/>
  <c r="G314" i="84"/>
  <c r="G338" i="84"/>
  <c r="G19" i="84"/>
  <c r="G43" i="84"/>
  <c r="G67" i="84"/>
  <c r="G91" i="84"/>
  <c r="G115" i="84"/>
  <c r="G139" i="84"/>
  <c r="G163" i="84"/>
  <c r="G187" i="84"/>
  <c r="G211" i="84"/>
  <c r="G235" i="84"/>
  <c r="G259" i="84"/>
  <c r="G283" i="84"/>
  <c r="G307" i="84"/>
  <c r="G331" i="84"/>
  <c r="G60" i="84"/>
  <c r="G156" i="84"/>
  <c r="G252" i="84"/>
  <c r="G344" i="84"/>
  <c r="G368" i="84"/>
  <c r="G32" i="84"/>
  <c r="G128" i="84"/>
  <c r="G224" i="84"/>
  <c r="G320" i="84"/>
  <c r="G361" i="84"/>
  <c r="G385" i="84"/>
  <c r="G84" i="84"/>
  <c r="G180" i="84"/>
  <c r="G276" i="84"/>
  <c r="G350" i="84"/>
  <c r="G374" i="84"/>
  <c r="G168" i="84"/>
  <c r="G88" i="84"/>
  <c r="G248" i="84"/>
  <c r="G216" i="84"/>
  <c r="G264" i="84"/>
  <c r="G375" i="84"/>
  <c r="G17" i="84"/>
  <c r="G69" i="84"/>
  <c r="G105" i="84"/>
  <c r="G129" i="84"/>
  <c r="G153" i="84"/>
  <c r="G177" i="84"/>
  <c r="G201" i="84"/>
  <c r="G225" i="84"/>
  <c r="G249" i="84"/>
  <c r="G273" i="84"/>
  <c r="G297" i="84"/>
  <c r="G321" i="84"/>
  <c r="G6" i="84"/>
  <c r="G30" i="84"/>
  <c r="G54" i="84"/>
  <c r="G78" i="84"/>
  <c r="G102" i="84"/>
  <c r="G126" i="84"/>
  <c r="G150" i="84"/>
  <c r="G174" i="84"/>
  <c r="G198" i="84"/>
  <c r="G222" i="84"/>
  <c r="G355" i="84"/>
  <c r="G343" i="84"/>
  <c r="G184" i="84"/>
  <c r="G363" i="84"/>
  <c r="G386" i="84"/>
  <c r="G358" i="84"/>
  <c r="G292" i="84"/>
  <c r="G132" i="84"/>
  <c r="G4" i="84"/>
  <c r="G349" i="84"/>
  <c r="G240" i="84"/>
  <c r="G80" i="84"/>
  <c r="G372" i="84"/>
  <c r="G300" i="84"/>
  <c r="G172" i="84"/>
  <c r="G12" i="84"/>
  <c r="G311" i="84"/>
  <c r="G271" i="84"/>
  <c r="G239" i="84"/>
  <c r="G167" i="84"/>
  <c r="G127" i="84"/>
  <c r="G95" i="84"/>
  <c r="G55" i="84"/>
  <c r="G23" i="84"/>
  <c r="G326" i="84"/>
  <c r="G294" i="84"/>
  <c r="G254" i="84"/>
  <c r="G210" i="84"/>
  <c r="G162" i="84"/>
  <c r="G114" i="84"/>
  <c r="G66" i="84"/>
  <c r="G18" i="84"/>
  <c r="G309" i="84"/>
  <c r="G261" i="84"/>
  <c r="G213" i="84"/>
  <c r="G165" i="84"/>
  <c r="G117" i="84"/>
  <c r="G45" i="84"/>
  <c r="Q10" i="84"/>
  <c r="H178" i="84" s="1"/>
  <c r="G328" i="84"/>
  <c r="G24" i="84"/>
  <c r="G120" i="84"/>
  <c r="G347" i="84"/>
  <c r="G382" i="84"/>
  <c r="G354" i="84"/>
  <c r="G244" i="84"/>
  <c r="G116" i="84"/>
  <c r="G377" i="84"/>
  <c r="G345" i="84"/>
  <c r="G192" i="84"/>
  <c r="G64" i="84"/>
  <c r="G360" i="84"/>
  <c r="G284" i="84"/>
  <c r="G124" i="84"/>
  <c r="G339" i="84"/>
  <c r="G299" i="84"/>
  <c r="G267" i="84"/>
  <c r="G227" i="84"/>
  <c r="G195" i="84"/>
  <c r="G155" i="84"/>
  <c r="G123" i="84"/>
  <c r="G83" i="84"/>
  <c r="G51" i="84"/>
  <c r="G11" i="84"/>
  <c r="G322" i="84"/>
  <c r="G282" i="84"/>
  <c r="G250" i="84"/>
  <c r="G206" i="84"/>
  <c r="G158" i="84"/>
  <c r="G110" i="84"/>
  <c r="G62" i="84"/>
  <c r="G14" i="84"/>
  <c r="G305" i="84"/>
  <c r="G257" i="84"/>
  <c r="G209" i="84"/>
  <c r="G161" i="84"/>
  <c r="G113" i="84"/>
  <c r="G37" i="84"/>
  <c r="G200" i="84"/>
  <c r="G383" i="84"/>
  <c r="G56" i="84"/>
  <c r="G296" i="84"/>
  <c r="G378" i="84"/>
  <c r="G346" i="84"/>
  <c r="G228" i="84"/>
  <c r="G100" i="84"/>
  <c r="G373" i="84"/>
  <c r="G336" i="84"/>
  <c r="G176" i="84"/>
  <c r="G48" i="84"/>
  <c r="G356" i="84"/>
  <c r="G268" i="84"/>
  <c r="G108" i="84"/>
  <c r="G335" i="84"/>
  <c r="G295" i="84"/>
  <c r="G263" i="84"/>
  <c r="G223" i="84"/>
  <c r="G191" i="84"/>
  <c r="G151" i="84"/>
  <c r="G119" i="84"/>
  <c r="G79" i="84"/>
  <c r="G47" i="84"/>
  <c r="G7" i="84"/>
  <c r="G318" i="84"/>
  <c r="G278" i="84"/>
  <c r="G246" i="84"/>
  <c r="G202" i="84"/>
  <c r="G154" i="84"/>
  <c r="G106" i="84"/>
  <c r="G58" i="84"/>
  <c r="G10" i="84"/>
  <c r="G301" i="84"/>
  <c r="G253" i="84"/>
  <c r="G205" i="84"/>
  <c r="G157" i="84"/>
  <c r="G109" i="84"/>
  <c r="G25" i="84"/>
  <c r="G199" i="84"/>
  <c r="G81" i="84"/>
  <c r="G65" i="84"/>
  <c r="G49" i="84"/>
  <c r="G33" i="84"/>
  <c r="G13" i="84"/>
  <c r="G89" i="84"/>
  <c r="G73" i="84"/>
  <c r="G57" i="84"/>
  <c r="G41" i="84"/>
  <c r="G21" i="84"/>
  <c r="G5" i="84"/>
  <c r="F32" i="80"/>
  <c r="F33" i="80" s="1"/>
  <c r="H82" i="84"/>
  <c r="H86" i="84"/>
  <c r="H90" i="84"/>
  <c r="H94" i="84"/>
  <c r="H98" i="84"/>
  <c r="H102" i="84"/>
  <c r="H106" i="84"/>
  <c r="H110" i="84"/>
  <c r="H114" i="84"/>
  <c r="H118" i="84"/>
  <c r="H122" i="84"/>
  <c r="H126" i="84"/>
  <c r="H130" i="84"/>
  <c r="H134" i="84"/>
  <c r="H138" i="84"/>
  <c r="H142" i="84"/>
  <c r="H146" i="84"/>
  <c r="H150" i="84"/>
  <c r="H154" i="84"/>
  <c r="H83" i="84"/>
  <c r="H87" i="84"/>
  <c r="H91" i="84"/>
  <c r="H95" i="84"/>
  <c r="H99" i="84"/>
  <c r="H103" i="84"/>
  <c r="H107" i="84"/>
  <c r="H111" i="84"/>
  <c r="H115" i="84"/>
  <c r="H119" i="84"/>
  <c r="H123" i="84"/>
  <c r="H127" i="84"/>
  <c r="H131" i="84"/>
  <c r="H135" i="84"/>
  <c r="H139" i="84"/>
  <c r="H143" i="84"/>
  <c r="H147" i="84"/>
  <c r="H151" i="84"/>
  <c r="H155" i="84"/>
  <c r="H80" i="84"/>
  <c r="H84" i="84"/>
  <c r="H88" i="84"/>
  <c r="H92" i="84"/>
  <c r="H96" i="84"/>
  <c r="H100" i="84"/>
  <c r="H104" i="84"/>
  <c r="H108" i="84"/>
  <c r="H112" i="84"/>
  <c r="H116" i="84"/>
  <c r="H120" i="84"/>
  <c r="H124" i="84"/>
  <c r="H128" i="84"/>
  <c r="H132" i="84"/>
  <c r="H136" i="84"/>
  <c r="H140" i="84"/>
  <c r="H144" i="84"/>
  <c r="H148" i="84"/>
  <c r="H152" i="84"/>
  <c r="H156" i="84"/>
  <c r="H85" i="84"/>
  <c r="H101" i="84"/>
  <c r="H117" i="84"/>
  <c r="H133" i="84"/>
  <c r="H149" i="84"/>
  <c r="H81" i="84"/>
  <c r="H129" i="84"/>
  <c r="H89" i="84"/>
  <c r="H105" i="84"/>
  <c r="H121" i="84"/>
  <c r="H137" i="84"/>
  <c r="H153" i="84"/>
  <c r="H113" i="84"/>
  <c r="H93" i="84"/>
  <c r="H109" i="84"/>
  <c r="H125" i="84"/>
  <c r="H141" i="84"/>
  <c r="H97" i="84"/>
  <c r="H145" i="84"/>
  <c r="H167" i="84"/>
  <c r="H179" i="84"/>
  <c r="H207" i="84"/>
  <c r="H188" i="84"/>
  <c r="H208" i="84"/>
  <c r="H220" i="84"/>
  <c r="H223" i="84"/>
  <c r="H221" i="84"/>
  <c r="H233" i="84"/>
  <c r="H173" i="84"/>
  <c r="H226" i="84"/>
  <c r="H215" i="84"/>
  <c r="O10" i="84"/>
  <c r="S10" i="84"/>
  <c r="C27" i="83"/>
  <c r="C23" i="83"/>
  <c r="C26" i="83"/>
  <c r="C25" i="83"/>
  <c r="C24" i="83"/>
  <c r="H29" i="80"/>
  <c r="R6" i="84"/>
  <c r="R9" i="84" s="1"/>
  <c r="R10" i="84" s="1"/>
  <c r="G32" i="80"/>
  <c r="G33" i="80" s="1"/>
  <c r="H32" i="80"/>
  <c r="H230" i="84" l="1"/>
  <c r="H204" i="84"/>
  <c r="H157" i="84"/>
  <c r="H225" i="84"/>
  <c r="H185" i="84"/>
  <c r="H211" i="84"/>
  <c r="H212" i="84"/>
  <c r="H196" i="84"/>
  <c r="H184" i="84"/>
  <c r="H203" i="84"/>
  <c r="H171" i="84"/>
  <c r="H162" i="84"/>
  <c r="H222" i="84"/>
  <c r="H177" i="84"/>
  <c r="H180" i="84"/>
  <c r="H219" i="84"/>
  <c r="H214" i="84"/>
  <c r="H205" i="84"/>
  <c r="H209" i="84"/>
  <c r="H228" i="84"/>
  <c r="H165" i="84"/>
  <c r="H172" i="84"/>
  <c r="H187" i="84"/>
  <c r="H194" i="84"/>
  <c r="H217" i="84"/>
  <c r="H206" i="84"/>
  <c r="H231" i="84"/>
  <c r="H210" i="84"/>
  <c r="H161" i="84"/>
  <c r="H201" i="84"/>
  <c r="H224" i="84"/>
  <c r="H200" i="84"/>
  <c r="H168" i="84"/>
  <c r="H183" i="84"/>
  <c r="H190" i="84"/>
  <c r="H164" i="84"/>
  <c r="H186" i="84"/>
  <c r="H193" i="84"/>
  <c r="H189" i="84"/>
  <c r="H229" i="84"/>
  <c r="H169" i="84"/>
  <c r="H216" i="84"/>
  <c r="H192" i="84"/>
  <c r="H160" i="84"/>
  <c r="H175" i="84"/>
  <c r="H170" i="84"/>
  <c r="H227" i="84"/>
  <c r="H197" i="84"/>
  <c r="H199" i="84"/>
  <c r="H218" i="84"/>
  <c r="H213" i="84"/>
  <c r="H232" i="84"/>
  <c r="H181" i="84"/>
  <c r="H176" i="84"/>
  <c r="H191" i="84"/>
  <c r="H202" i="84"/>
  <c r="H174" i="84"/>
  <c r="H198" i="84"/>
  <c r="H166" i="84"/>
  <c r="H158" i="84"/>
  <c r="H195" i="84"/>
  <c r="H163" i="84"/>
  <c r="H182" i="84"/>
  <c r="H159" i="84"/>
  <c r="H236" i="84"/>
  <c r="H240" i="84"/>
  <c r="H244" i="84"/>
  <c r="H248" i="84"/>
  <c r="H252" i="84"/>
  <c r="H256" i="84"/>
  <c r="H260" i="84"/>
  <c r="H264" i="84"/>
  <c r="H268" i="84"/>
  <c r="H272" i="84"/>
  <c r="H276" i="84"/>
  <c r="H280" i="84"/>
  <c r="H284" i="84"/>
  <c r="H288" i="84"/>
  <c r="H292" i="84"/>
  <c r="H296" i="84"/>
  <c r="H300" i="84"/>
  <c r="H304" i="84"/>
  <c r="H308" i="84"/>
  <c r="H235" i="84"/>
  <c r="H247" i="84"/>
  <c r="H259" i="84"/>
  <c r="H267" i="84"/>
  <c r="H279" i="84"/>
  <c r="H291" i="84"/>
  <c r="H303" i="84"/>
  <c r="H237" i="84"/>
  <c r="H241" i="84"/>
  <c r="H245" i="84"/>
  <c r="H249" i="84"/>
  <c r="H253" i="84"/>
  <c r="H257" i="84"/>
  <c r="H261" i="84"/>
  <c r="H265" i="84"/>
  <c r="H269" i="84"/>
  <c r="H273" i="84"/>
  <c r="H277" i="84"/>
  <c r="H281" i="84"/>
  <c r="H285" i="84"/>
  <c r="H289" i="84"/>
  <c r="H293" i="84"/>
  <c r="H297" i="84"/>
  <c r="H301" i="84"/>
  <c r="H305" i="84"/>
  <c r="H309" i="84"/>
  <c r="H239" i="84"/>
  <c r="H251" i="84"/>
  <c r="H263" i="84"/>
  <c r="H275" i="84"/>
  <c r="H287" i="84"/>
  <c r="H299" i="84"/>
  <c r="H234" i="84"/>
  <c r="H238" i="84"/>
  <c r="H242" i="84"/>
  <c r="H246" i="84"/>
  <c r="H250" i="84"/>
  <c r="H254" i="84"/>
  <c r="H258" i="84"/>
  <c r="H262" i="84"/>
  <c r="H266" i="84"/>
  <c r="H270" i="84"/>
  <c r="H274" i="84"/>
  <c r="H278" i="84"/>
  <c r="H282" i="84"/>
  <c r="H286" i="84"/>
  <c r="H290" i="84"/>
  <c r="H294" i="84"/>
  <c r="H298" i="84"/>
  <c r="H302" i="84"/>
  <c r="H306" i="84"/>
  <c r="H310" i="84"/>
  <c r="H243" i="84"/>
  <c r="H255" i="84"/>
  <c r="H271" i="84"/>
  <c r="H283" i="84"/>
  <c r="H295" i="84"/>
  <c r="H307" i="84"/>
  <c r="H6" i="84"/>
  <c r="H10" i="84"/>
  <c r="H14" i="84"/>
  <c r="H18" i="84"/>
  <c r="H22" i="84"/>
  <c r="H26" i="84"/>
  <c r="H30" i="84"/>
  <c r="H34" i="84"/>
  <c r="H38" i="84"/>
  <c r="H42" i="84"/>
  <c r="H46" i="84"/>
  <c r="H50" i="84"/>
  <c r="H54" i="84"/>
  <c r="H58" i="84"/>
  <c r="H62" i="84"/>
  <c r="H66" i="84"/>
  <c r="H70" i="84"/>
  <c r="H74" i="84"/>
  <c r="H78" i="84"/>
  <c r="H3" i="84"/>
  <c r="H7" i="84"/>
  <c r="H11" i="84"/>
  <c r="H15" i="84"/>
  <c r="H19" i="84"/>
  <c r="H23" i="84"/>
  <c r="H27" i="84"/>
  <c r="H31" i="84"/>
  <c r="H35" i="84"/>
  <c r="H39" i="84"/>
  <c r="H43" i="84"/>
  <c r="H47" i="84"/>
  <c r="H51" i="84"/>
  <c r="H55" i="84"/>
  <c r="H59" i="84"/>
  <c r="H63" i="84"/>
  <c r="H67" i="84"/>
  <c r="H71" i="84"/>
  <c r="H75" i="84"/>
  <c r="H79" i="84"/>
  <c r="H4" i="84"/>
  <c r="H8" i="84"/>
  <c r="H12" i="84"/>
  <c r="H16" i="84"/>
  <c r="H20" i="84"/>
  <c r="H24" i="84"/>
  <c r="H28" i="84"/>
  <c r="H32" i="84"/>
  <c r="H36" i="84"/>
  <c r="H40" i="84"/>
  <c r="H44" i="84"/>
  <c r="H48" i="84"/>
  <c r="H52" i="84"/>
  <c r="H56" i="84"/>
  <c r="H60" i="84"/>
  <c r="H64" i="84"/>
  <c r="H68" i="84"/>
  <c r="H72" i="84"/>
  <c r="H76" i="84"/>
  <c r="H5" i="84"/>
  <c r="H21" i="84"/>
  <c r="H37" i="84"/>
  <c r="H53" i="84"/>
  <c r="H69" i="84"/>
  <c r="H17" i="84"/>
  <c r="H9" i="84"/>
  <c r="H25" i="84"/>
  <c r="H41" i="84"/>
  <c r="H57" i="84"/>
  <c r="H73" i="84"/>
  <c r="H49" i="84"/>
  <c r="H65" i="84"/>
  <c r="H13" i="84"/>
  <c r="H29" i="84"/>
  <c r="H45" i="84"/>
  <c r="H61" i="84"/>
  <c r="H77" i="84"/>
  <c r="H33" i="84"/>
  <c r="H312" i="84"/>
  <c r="H316" i="84"/>
  <c r="H320" i="84"/>
  <c r="H324" i="84"/>
  <c r="H328" i="84"/>
  <c r="H332" i="84"/>
  <c r="H336" i="84"/>
  <c r="H340" i="84"/>
  <c r="H344" i="84"/>
  <c r="H348" i="84"/>
  <c r="H352" i="84"/>
  <c r="H356" i="84"/>
  <c r="H360" i="84"/>
  <c r="H364" i="84"/>
  <c r="H368" i="84"/>
  <c r="H372" i="84"/>
  <c r="H376" i="84"/>
  <c r="H380" i="84"/>
  <c r="H384" i="84"/>
  <c r="H315" i="84"/>
  <c r="H327" i="84"/>
  <c r="H339" i="84"/>
  <c r="H351" i="84"/>
  <c r="H359" i="84"/>
  <c r="H313" i="84"/>
  <c r="H317" i="84"/>
  <c r="H321" i="84"/>
  <c r="H325" i="84"/>
  <c r="H329" i="84"/>
  <c r="H333" i="84"/>
  <c r="H337" i="84"/>
  <c r="H341" i="84"/>
  <c r="H345" i="84"/>
  <c r="H349" i="84"/>
  <c r="H353" i="84"/>
  <c r="H357" i="84"/>
  <c r="H361" i="84"/>
  <c r="H365" i="84"/>
  <c r="H369" i="84"/>
  <c r="H373" i="84"/>
  <c r="H377" i="84"/>
  <c r="H381" i="84"/>
  <c r="H385" i="84"/>
  <c r="H311" i="84"/>
  <c r="H323" i="84"/>
  <c r="H335" i="84"/>
  <c r="H347" i="84"/>
  <c r="H363" i="84"/>
  <c r="H314" i="84"/>
  <c r="H318" i="84"/>
  <c r="H322" i="84"/>
  <c r="H326" i="84"/>
  <c r="H330" i="84"/>
  <c r="H334" i="84"/>
  <c r="H338" i="84"/>
  <c r="H342" i="84"/>
  <c r="H346" i="84"/>
  <c r="H350" i="84"/>
  <c r="H354" i="84"/>
  <c r="H358" i="84"/>
  <c r="H362" i="84"/>
  <c r="H366" i="84"/>
  <c r="H370" i="84"/>
  <c r="H374" i="84"/>
  <c r="H378" i="84"/>
  <c r="H382" i="84"/>
  <c r="H386" i="84"/>
  <c r="H319" i="84"/>
  <c r="H331" i="84"/>
  <c r="H343" i="84"/>
  <c r="H355" i="84"/>
  <c r="H375" i="84"/>
  <c r="H379" i="84"/>
  <c r="H367" i="84"/>
  <c r="H383" i="84"/>
  <c r="H371" i="84"/>
  <c r="H387" i="84"/>
  <c r="H33" i="80"/>
  <c r="C10" i="75" l="1"/>
  <c r="D10" i="75" s="1"/>
  <c r="E10" i="75" s="1"/>
  <c r="F10" i="75" s="1"/>
  <c r="G10" i="75" s="1"/>
  <c r="H10" i="75" s="1"/>
  <c r="I10" i="75" s="1"/>
  <c r="J10" i="75" s="1"/>
  <c r="K10" i="75" s="1"/>
  <c r="L10" i="75" s="1"/>
  <c r="M10" i="75" s="1"/>
  <c r="C9" i="75"/>
  <c r="D9" i="75" s="1"/>
  <c r="E9" i="75" s="1"/>
  <c r="F9" i="75" s="1"/>
  <c r="G9" i="75" s="1"/>
  <c r="H9" i="75" s="1"/>
  <c r="I9" i="75" s="1"/>
  <c r="J9" i="75" s="1"/>
  <c r="K9" i="75" s="1"/>
  <c r="L9" i="75" s="1"/>
  <c r="M9" i="75" s="1"/>
  <c r="C8" i="75"/>
  <c r="D8" i="75" s="1"/>
  <c r="E8" i="75" s="1"/>
  <c r="F8" i="75" s="1"/>
  <c r="G8" i="75" s="1"/>
  <c r="H8" i="75" s="1"/>
  <c r="I8" i="75" s="1"/>
  <c r="J8" i="75" s="1"/>
  <c r="K8" i="75" s="1"/>
  <c r="L8" i="75" s="1"/>
  <c r="M8" i="75" s="1"/>
  <c r="C7" i="75"/>
  <c r="D7" i="75" s="1"/>
  <c r="E7" i="75" s="1"/>
  <c r="F7" i="75" s="1"/>
  <c r="G7" i="75" s="1"/>
  <c r="H7" i="75" s="1"/>
  <c r="I7" i="75" s="1"/>
  <c r="J7" i="75" s="1"/>
  <c r="K7" i="75" s="1"/>
  <c r="L7" i="75" s="1"/>
  <c r="M7" i="75" s="1"/>
  <c r="C6" i="75"/>
  <c r="D6" i="75" s="1"/>
  <c r="E6" i="75" s="1"/>
  <c r="F6" i="75" s="1"/>
  <c r="G6" i="75" s="1"/>
  <c r="H6" i="75" s="1"/>
  <c r="I6" i="75" s="1"/>
  <c r="J6" i="75" s="1"/>
  <c r="K6" i="75" s="1"/>
  <c r="L6" i="75" s="1"/>
  <c r="M6" i="75" s="1"/>
  <c r="C5" i="75"/>
  <c r="D5" i="75" s="1"/>
  <c r="E5" i="75" s="1"/>
  <c r="F5" i="75" s="1"/>
  <c r="G5" i="75" s="1"/>
  <c r="H5" i="75" s="1"/>
  <c r="I5" i="75" s="1"/>
  <c r="J5" i="75" s="1"/>
  <c r="K5" i="75" s="1"/>
  <c r="L5" i="75" s="1"/>
  <c r="M5" i="75" s="1"/>
  <c r="B6" i="69"/>
  <c r="C6" i="69" s="1"/>
  <c r="D6" i="69" s="1"/>
  <c r="E6" i="69" s="1"/>
  <c r="F6" i="69" s="1"/>
  <c r="G6" i="69" s="1"/>
  <c r="H6" i="69" s="1"/>
  <c r="I6" i="69" s="1"/>
  <c r="J6" i="69" s="1"/>
  <c r="K6" i="69" s="1"/>
  <c r="L6" i="69" s="1"/>
  <c r="M6" i="69" s="1"/>
  <c r="B7" i="69"/>
  <c r="C7" i="69" s="1"/>
  <c r="D7" i="69" s="1"/>
  <c r="E7" i="69" s="1"/>
  <c r="F7" i="69" s="1"/>
  <c r="G7" i="69" s="1"/>
  <c r="H7" i="69" s="1"/>
  <c r="I7" i="69" s="1"/>
  <c r="J7" i="69" s="1"/>
  <c r="K7" i="69" s="1"/>
  <c r="L7" i="69" s="1"/>
  <c r="M7" i="69" s="1"/>
  <c r="B8" i="69"/>
  <c r="C8" i="69" s="1"/>
  <c r="D8" i="69" s="1"/>
  <c r="E8" i="69" s="1"/>
  <c r="F8" i="69" s="1"/>
  <c r="G8" i="69" s="1"/>
  <c r="H8" i="69" s="1"/>
  <c r="I8" i="69" s="1"/>
  <c r="J8" i="69" s="1"/>
  <c r="K8" i="69" s="1"/>
  <c r="L8" i="69" s="1"/>
  <c r="M8" i="69" s="1"/>
  <c r="B9" i="69"/>
  <c r="C9" i="69" s="1"/>
  <c r="D9" i="69" s="1"/>
  <c r="E9" i="69" s="1"/>
  <c r="F9" i="69" s="1"/>
  <c r="G9" i="69" s="1"/>
  <c r="H9" i="69" s="1"/>
  <c r="I9" i="69" s="1"/>
  <c r="J9" i="69" s="1"/>
  <c r="K9" i="69" s="1"/>
  <c r="L9" i="69" s="1"/>
  <c r="M9" i="69" s="1"/>
  <c r="B10" i="69"/>
  <c r="C10" i="69" s="1"/>
  <c r="D10" i="69" s="1"/>
  <c r="E10" i="69" s="1"/>
  <c r="F10" i="69" s="1"/>
  <c r="G10" i="69" s="1"/>
  <c r="H10" i="69" s="1"/>
  <c r="I10" i="69" s="1"/>
  <c r="J10" i="69" s="1"/>
  <c r="K10" i="69" s="1"/>
  <c r="L10" i="69" s="1"/>
  <c r="M10" i="69" s="1"/>
  <c r="N290" i="3" l="1"/>
  <c r="N289" i="3"/>
  <c r="N288" i="3"/>
  <c r="N287" i="3"/>
  <c r="N286" i="3"/>
  <c r="N285" i="3"/>
  <c r="N281" i="3"/>
  <c r="N280" i="3"/>
  <c r="N279" i="3"/>
  <c r="N278" i="3"/>
  <c r="N277" i="3"/>
  <c r="N276" i="3"/>
  <c r="N272" i="3"/>
  <c r="N271" i="3"/>
  <c r="N270" i="3"/>
  <c r="N269" i="3"/>
  <c r="N268" i="3"/>
  <c r="N267" i="3"/>
  <c r="N263" i="3"/>
  <c r="N262" i="3"/>
  <c r="N261" i="3"/>
  <c r="N260" i="3"/>
  <c r="N259" i="3"/>
  <c r="N258" i="3"/>
  <c r="N254" i="3"/>
  <c r="N253" i="3"/>
  <c r="N252" i="3"/>
  <c r="N251" i="3"/>
  <c r="N250" i="3"/>
  <c r="N249" i="3"/>
  <c r="N245" i="3"/>
  <c r="N244" i="3"/>
  <c r="N243" i="3"/>
  <c r="N242" i="3"/>
  <c r="N241" i="3"/>
  <c r="N240" i="3"/>
  <c r="N236" i="3"/>
  <c r="N235" i="3"/>
  <c r="N234" i="3"/>
  <c r="N233" i="3"/>
  <c r="N232" i="3"/>
  <c r="N231" i="3"/>
  <c r="N227" i="3"/>
  <c r="N226" i="3"/>
  <c r="N225" i="3"/>
  <c r="N224" i="3"/>
  <c r="N223" i="3"/>
  <c r="N222" i="3"/>
  <c r="N218" i="3"/>
  <c r="N217" i="3"/>
  <c r="N216" i="3"/>
  <c r="N215" i="3"/>
  <c r="N214" i="3"/>
  <c r="N213" i="3"/>
  <c r="N209" i="3"/>
  <c r="N208" i="3"/>
  <c r="N207" i="3"/>
  <c r="N206" i="3"/>
  <c r="N205" i="3"/>
  <c r="N204" i="3"/>
  <c r="N200" i="3"/>
  <c r="N199" i="3"/>
  <c r="N198" i="3"/>
  <c r="N197" i="3"/>
  <c r="N196" i="3"/>
  <c r="N195" i="3"/>
  <c r="N191" i="3"/>
  <c r="N190" i="3"/>
  <c r="N189" i="3"/>
  <c r="N188" i="3"/>
  <c r="N187" i="3"/>
  <c r="N186" i="3"/>
  <c r="N182" i="3"/>
  <c r="N181" i="3"/>
  <c r="N180" i="3"/>
  <c r="N179" i="3"/>
  <c r="N178" i="3"/>
  <c r="N177" i="3"/>
  <c r="N173" i="3"/>
  <c r="N172" i="3"/>
  <c r="N171" i="3"/>
  <c r="N170" i="3"/>
  <c r="N169" i="3"/>
  <c r="N168" i="3"/>
  <c r="N164" i="3"/>
  <c r="N163" i="3"/>
  <c r="N162" i="3"/>
  <c r="N161" i="3"/>
  <c r="N160" i="3"/>
  <c r="N159" i="3"/>
  <c r="N155" i="3"/>
  <c r="N154" i="3"/>
  <c r="N153" i="3"/>
  <c r="N152" i="3"/>
  <c r="N151" i="3"/>
  <c r="N150" i="3"/>
  <c r="N146" i="3"/>
  <c r="N145" i="3"/>
  <c r="N144" i="3"/>
  <c r="N143" i="3"/>
  <c r="N142" i="3"/>
  <c r="N141" i="3"/>
  <c r="N137" i="3"/>
  <c r="N136" i="3"/>
  <c r="N135" i="3"/>
  <c r="N134" i="3"/>
  <c r="N133" i="3"/>
  <c r="N132" i="3"/>
  <c r="N128" i="3"/>
  <c r="N127" i="3"/>
  <c r="N126" i="3"/>
  <c r="N125" i="3"/>
  <c r="N124" i="3"/>
  <c r="N123" i="3"/>
  <c r="N119" i="3"/>
  <c r="N118" i="3"/>
  <c r="N117" i="3"/>
  <c r="N116" i="3"/>
  <c r="N115" i="3"/>
  <c r="N114" i="3"/>
  <c r="N110" i="3"/>
  <c r="N109" i="3"/>
  <c r="N108" i="3"/>
  <c r="N107" i="3"/>
  <c r="N106" i="3"/>
  <c r="N105" i="3"/>
  <c r="N101" i="3"/>
  <c r="N100" i="3"/>
  <c r="N99" i="3"/>
  <c r="N98" i="3"/>
  <c r="N97" i="3"/>
  <c r="N96" i="3"/>
  <c r="N92" i="3"/>
  <c r="N91" i="3"/>
  <c r="N90" i="3"/>
  <c r="N89" i="3"/>
  <c r="N88" i="3"/>
  <c r="N87" i="3"/>
  <c r="N83" i="3"/>
  <c r="N82" i="3"/>
  <c r="N81" i="3"/>
  <c r="N80" i="3"/>
  <c r="N79" i="3"/>
  <c r="N78" i="3"/>
  <c r="N74" i="3"/>
  <c r="N73" i="3"/>
  <c r="N72" i="3"/>
  <c r="N71" i="3"/>
  <c r="N70" i="3"/>
  <c r="N69" i="3"/>
  <c r="C20" i="30" l="1"/>
  <c r="C19" i="30"/>
  <c r="C17" i="30"/>
  <c r="I51" i="3"/>
  <c r="I52" i="3"/>
  <c r="I53" i="3"/>
  <c r="I54" i="3"/>
  <c r="I55" i="3"/>
  <c r="D71" i="30" l="1"/>
  <c r="C22" i="30"/>
  <c r="C21" i="30"/>
  <c r="C18" i="30"/>
  <c r="H279" i="3" l="1"/>
  <c r="G50" i="48" l="1"/>
  <c r="H50" i="48" s="1"/>
  <c r="I50" i="48" s="1"/>
  <c r="J50" i="48" s="1"/>
  <c r="K50" i="48" s="1"/>
  <c r="L50" i="48" s="1"/>
  <c r="M50" i="48" s="1"/>
  <c r="N50" i="48" s="1"/>
  <c r="O50" i="48" s="1"/>
  <c r="P50" i="48" s="1"/>
  <c r="Q50" i="48" s="1"/>
  <c r="R50" i="48" s="1"/>
  <c r="S50" i="48" s="1"/>
  <c r="T50" i="48" s="1"/>
  <c r="U50" i="48" s="1"/>
  <c r="V50" i="48" s="1"/>
  <c r="W50" i="48" s="1"/>
  <c r="X50" i="48" s="1"/>
  <c r="Y50" i="48" s="1"/>
  <c r="Z50" i="48" s="1"/>
  <c r="AA50" i="48" s="1"/>
  <c r="AB50" i="48" s="1"/>
  <c r="AC50" i="48" s="1"/>
  <c r="AD50" i="48" s="1"/>
  <c r="AE50" i="48" s="1"/>
  <c r="AF50" i="48" s="1"/>
  <c r="AG50" i="48" s="1"/>
  <c r="AH50" i="48" s="1"/>
  <c r="AI50" i="48" s="1"/>
  <c r="AJ50" i="48" s="1"/>
  <c r="AK50" i="48" s="1"/>
  <c r="AL50" i="48" s="1"/>
  <c r="AM50" i="48" s="1"/>
  <c r="AN50" i="48" s="1"/>
  <c r="AO50" i="48" s="1"/>
  <c r="AP50" i="48" s="1"/>
  <c r="AQ50" i="48" s="1"/>
  <c r="AR50" i="48" s="1"/>
  <c r="AS50" i="48" s="1"/>
  <c r="AT50" i="48" s="1"/>
  <c r="G51" i="48" l="1"/>
  <c r="H51" i="48" s="1"/>
  <c r="I51" i="48" s="1"/>
  <c r="J51" i="48" s="1"/>
  <c r="K51" i="48" s="1"/>
  <c r="L51" i="48" s="1"/>
  <c r="M51" i="48" s="1"/>
  <c r="N51" i="48" s="1"/>
  <c r="O51" i="48" s="1"/>
  <c r="P51" i="48" s="1"/>
  <c r="Q51" i="48" s="1"/>
  <c r="R51" i="48" s="1"/>
  <c r="S51" i="48" s="1"/>
  <c r="T51" i="48" s="1"/>
  <c r="U51" i="48" s="1"/>
  <c r="V51" i="48" s="1"/>
  <c r="W51" i="48" s="1"/>
  <c r="X51" i="48" s="1"/>
  <c r="Y51" i="48" s="1"/>
  <c r="Z51" i="48" s="1"/>
  <c r="AA51" i="48" s="1"/>
  <c r="AB51" i="48" s="1"/>
  <c r="AC51" i="48" s="1"/>
  <c r="AD51" i="48" s="1"/>
  <c r="AE51" i="48" s="1"/>
  <c r="AF51" i="48" s="1"/>
  <c r="AG51" i="48" s="1"/>
  <c r="AH51" i="48" s="1"/>
  <c r="AI51" i="48" s="1"/>
  <c r="AJ51" i="48" s="1"/>
  <c r="AK51" i="48" s="1"/>
  <c r="AL51" i="48" s="1"/>
  <c r="AM51" i="48" s="1"/>
  <c r="AN51" i="48" s="1"/>
  <c r="AO51" i="48" s="1"/>
  <c r="AP51" i="48" s="1"/>
  <c r="AQ51" i="48" s="1"/>
  <c r="AR51" i="48" s="1"/>
  <c r="AS51" i="48" s="1"/>
  <c r="AT51" i="48" s="1"/>
  <c r="G52" i="48"/>
  <c r="H52" i="48" s="1"/>
  <c r="I52" i="48" s="1"/>
  <c r="J52" i="48" s="1"/>
  <c r="K52" i="48" s="1"/>
  <c r="L52" i="48" s="1"/>
  <c r="M52" i="48" s="1"/>
  <c r="N52" i="48" s="1"/>
  <c r="O52" i="48" s="1"/>
  <c r="P52" i="48" s="1"/>
  <c r="Q52" i="48" s="1"/>
  <c r="R52" i="48" s="1"/>
  <c r="S52" i="48" s="1"/>
  <c r="T52" i="48" s="1"/>
  <c r="U52" i="48" s="1"/>
  <c r="V52" i="48" s="1"/>
  <c r="W52" i="48" s="1"/>
  <c r="X52" i="48" s="1"/>
  <c r="Y52" i="48" s="1"/>
  <c r="Z52" i="48" s="1"/>
  <c r="E58" i="48" l="1"/>
  <c r="F58" i="48"/>
  <c r="G58" i="48"/>
  <c r="H58" i="48"/>
  <c r="I58" i="48"/>
  <c r="J58" i="48"/>
  <c r="K58" i="48"/>
  <c r="L58" i="48"/>
  <c r="M58" i="48"/>
  <c r="N58" i="48"/>
  <c r="O58" i="48"/>
  <c r="P58" i="48"/>
  <c r="Q58" i="48"/>
  <c r="R58" i="48"/>
  <c r="S58" i="48"/>
  <c r="T58" i="48"/>
  <c r="U58" i="48"/>
  <c r="V58" i="48"/>
  <c r="W58" i="48"/>
  <c r="X58" i="48"/>
  <c r="Y58" i="48"/>
  <c r="Z58" i="48"/>
  <c r="AA58" i="48"/>
  <c r="AB58" i="48"/>
  <c r="AC58" i="48"/>
  <c r="AD58" i="48"/>
  <c r="AE58" i="48"/>
  <c r="AF58" i="48"/>
  <c r="AG58" i="48"/>
  <c r="AH58" i="48"/>
  <c r="AI58" i="48"/>
  <c r="AJ58" i="48"/>
  <c r="AK58" i="48"/>
  <c r="AL58" i="48"/>
  <c r="AM58" i="48"/>
  <c r="AN58" i="48"/>
  <c r="AO58" i="48"/>
  <c r="AP58" i="48"/>
  <c r="AQ58" i="48"/>
  <c r="E59" i="48"/>
  <c r="F59" i="48"/>
  <c r="G59" i="48"/>
  <c r="H59" i="48"/>
  <c r="I59" i="48"/>
  <c r="J59" i="48"/>
  <c r="K59" i="48"/>
  <c r="L59" i="48"/>
  <c r="M59" i="48"/>
  <c r="N59" i="48"/>
  <c r="O59" i="48"/>
  <c r="P59" i="48"/>
  <c r="Q59" i="48"/>
  <c r="R59" i="48"/>
  <c r="S59" i="48"/>
  <c r="T59" i="48"/>
  <c r="U59" i="48"/>
  <c r="V59" i="48"/>
  <c r="W59" i="48"/>
  <c r="X59" i="48"/>
  <c r="Y59" i="48"/>
  <c r="Z59" i="48"/>
  <c r="AA59" i="48"/>
  <c r="AB59" i="48"/>
  <c r="E60" i="48"/>
  <c r="F60" i="48"/>
  <c r="G60" i="48"/>
  <c r="H60" i="48"/>
  <c r="I60" i="48"/>
  <c r="J60" i="48"/>
  <c r="K60" i="48"/>
  <c r="L60" i="48"/>
  <c r="M60" i="48"/>
  <c r="N60" i="48"/>
  <c r="O60" i="48"/>
  <c r="P60" i="48"/>
  <c r="Q60" i="48"/>
  <c r="R60" i="48"/>
  <c r="S60" i="48"/>
  <c r="T60" i="48"/>
  <c r="U60" i="48"/>
  <c r="V60" i="48"/>
  <c r="W60" i="48"/>
  <c r="X60" i="48"/>
  <c r="Y60" i="48"/>
  <c r="Z60" i="48"/>
  <c r="AA60" i="48"/>
  <c r="AB60" i="48"/>
  <c r="E57" i="48"/>
  <c r="F57" i="48"/>
  <c r="G57" i="48"/>
  <c r="H57" i="48"/>
  <c r="I57" i="48"/>
  <c r="J57" i="48"/>
  <c r="K57" i="48"/>
  <c r="L57" i="48"/>
  <c r="M57" i="48"/>
  <c r="N57" i="48"/>
  <c r="O57" i="48"/>
  <c r="P57" i="48"/>
  <c r="Q57" i="48"/>
  <c r="R57" i="48"/>
  <c r="S57" i="48"/>
  <c r="T57" i="48"/>
  <c r="U57" i="48"/>
  <c r="V57" i="48"/>
  <c r="W57" i="48"/>
  <c r="X57" i="48"/>
  <c r="Y57" i="48"/>
  <c r="Z57" i="48"/>
  <c r="AA57" i="48"/>
  <c r="AB57" i="48"/>
  <c r="D57" i="48"/>
  <c r="D58" i="48"/>
  <c r="D59" i="48"/>
  <c r="D60" i="48"/>
  <c r="E56" i="48"/>
  <c r="F56" i="48"/>
  <c r="G56" i="48"/>
  <c r="H56" i="48"/>
  <c r="I56" i="48"/>
  <c r="J56" i="48"/>
  <c r="K56" i="48"/>
  <c r="L56" i="48"/>
  <c r="M56" i="48"/>
  <c r="N56" i="48"/>
  <c r="O56" i="48"/>
  <c r="P56" i="48"/>
  <c r="Q56" i="48"/>
  <c r="R56" i="48"/>
  <c r="S56" i="48"/>
  <c r="T56" i="48"/>
  <c r="U56" i="48"/>
  <c r="V56" i="48"/>
  <c r="W56" i="48"/>
  <c r="X56" i="48"/>
  <c r="Y56" i="48"/>
  <c r="Z56" i="48"/>
  <c r="AA56" i="48"/>
  <c r="AB56" i="48"/>
  <c r="D56" i="48"/>
  <c r="C10" i="30" l="1"/>
  <c r="D9" i="68" l="1"/>
  <c r="C2" i="69" l="1"/>
  <c r="D2" i="69"/>
  <c r="E2" i="69" s="1"/>
  <c r="F2" i="69" s="1"/>
  <c r="G2" i="69" s="1"/>
  <c r="H2" i="69" s="1"/>
  <c r="I2" i="69" s="1"/>
  <c r="J2" i="69" s="1"/>
  <c r="K2" i="69" s="1"/>
  <c r="L2" i="69" s="1"/>
  <c r="M2" i="69" s="1"/>
  <c r="C19" i="68"/>
  <c r="C20" i="68"/>
  <c r="D20" i="68" s="1"/>
  <c r="D11" i="68" s="1"/>
  <c r="D21" i="68"/>
  <c r="C4" i="69" l="1"/>
  <c r="D4" i="69" s="1"/>
  <c r="E4" i="69" s="1"/>
  <c r="F4" i="69" s="1"/>
  <c r="G4" i="69" s="1"/>
  <c r="H4" i="69" s="1"/>
  <c r="I4" i="69" s="1"/>
  <c r="J4" i="69" s="1"/>
  <c r="K4" i="69" s="1"/>
  <c r="L4" i="69" s="1"/>
  <c r="M4" i="69" s="1"/>
  <c r="D19" i="68"/>
  <c r="D12" i="68"/>
  <c r="B5" i="69" s="1"/>
  <c r="C5" i="69" s="1"/>
  <c r="D5" i="69" s="1"/>
  <c r="E5" i="69" s="1"/>
  <c r="F5" i="69" s="1"/>
  <c r="G5" i="69" s="1"/>
  <c r="H5" i="69" s="1"/>
  <c r="I5" i="69" s="1"/>
  <c r="J5" i="69" s="1"/>
  <c r="K5" i="69" s="1"/>
  <c r="L5" i="69" s="1"/>
  <c r="M5" i="69" s="1"/>
  <c r="C17" i="68" l="1"/>
  <c r="D17" i="68" s="1"/>
  <c r="D7" i="68" s="1"/>
  <c r="B2" i="69" s="1"/>
  <c r="D8" i="68"/>
  <c r="B3" i="69" s="1"/>
  <c r="D10" i="68"/>
  <c r="C3" i="69" l="1"/>
  <c r="D3" i="69" s="1"/>
  <c r="E3" i="69" s="1"/>
  <c r="F3" i="69" s="1"/>
  <c r="G3" i="69" s="1"/>
  <c r="H3" i="69" s="1"/>
  <c r="I3" i="69" s="1"/>
  <c r="J3" i="69" s="1"/>
  <c r="K3" i="69" s="1"/>
  <c r="L3" i="69" s="1"/>
  <c r="M3" i="69" s="1"/>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66" i="3"/>
  <c r="AD277" i="16" l="1"/>
  <c r="AD278" i="16"/>
  <c r="AD279" i="16"/>
  <c r="AD280" i="16"/>
  <c r="Y271" i="16"/>
  <c r="Y272" i="16"/>
  <c r="Y273" i="16"/>
  <c r="Y274" i="16"/>
  <c r="Y275" i="16"/>
  <c r="Y276" i="16"/>
  <c r="Y277" i="16"/>
  <c r="Y278" i="16"/>
  <c r="Y279" i="16"/>
  <c r="Y280" i="16"/>
  <c r="Y281" i="16"/>
  <c r="Y282" i="16"/>
  <c r="Y283" i="16"/>
  <c r="Y284" i="16"/>
  <c r="Y285" i="16"/>
  <c r="Y286" i="16"/>
  <c r="Y287" i="16"/>
  <c r="Y288" i="16"/>
  <c r="Y289" i="16"/>
  <c r="Y290" i="16"/>
  <c r="Y291" i="16"/>
  <c r="Y292" i="16"/>
  <c r="Y293" i="16"/>
  <c r="Y294" i="16"/>
  <c r="Y295" i="16"/>
  <c r="Y296" i="16"/>
  <c r="Y297" i="16"/>
  <c r="Y298" i="16"/>
  <c r="Y299" i="16"/>
  <c r="Y300" i="16"/>
  <c r="Y301" i="16"/>
  <c r="Y302" i="16"/>
  <c r="Y303" i="16"/>
  <c r="Y304" i="16"/>
  <c r="Y270" i="16"/>
  <c r="V271" i="16"/>
  <c r="V272" i="16"/>
  <c r="V273" i="16"/>
  <c r="V274" i="16"/>
  <c r="V275" i="16"/>
  <c r="V276" i="16"/>
  <c r="V277" i="16"/>
  <c r="V278" i="16"/>
  <c r="V279" i="16"/>
  <c r="V280" i="16"/>
  <c r="V281" i="16"/>
  <c r="V282" i="16"/>
  <c r="V283" i="16"/>
  <c r="V284" i="16"/>
  <c r="V285" i="16"/>
  <c r="V286" i="16"/>
  <c r="V287" i="16"/>
  <c r="V288" i="16"/>
  <c r="V289" i="16"/>
  <c r="V290" i="16"/>
  <c r="V291" i="16"/>
  <c r="V292" i="16"/>
  <c r="V293" i="16"/>
  <c r="V294" i="16"/>
  <c r="V295" i="16"/>
  <c r="V296" i="16"/>
  <c r="V297" i="16"/>
  <c r="V298" i="16"/>
  <c r="V299" i="16"/>
  <c r="V300" i="16"/>
  <c r="V301" i="16"/>
  <c r="V302" i="16"/>
  <c r="V303" i="16"/>
  <c r="V304" i="16"/>
  <c r="V270" i="16"/>
  <c r="S271" i="16"/>
  <c r="S272" i="16"/>
  <c r="S273" i="16"/>
  <c r="S274" i="16"/>
  <c r="S275" i="16"/>
  <c r="S276" i="16"/>
  <c r="S277" i="16"/>
  <c r="S278" i="16"/>
  <c r="S279" i="16"/>
  <c r="S280" i="16"/>
  <c r="S281" i="16"/>
  <c r="S282" i="16"/>
  <c r="S283" i="16"/>
  <c r="S284" i="16"/>
  <c r="S285" i="16"/>
  <c r="S286" i="16"/>
  <c r="S287" i="16"/>
  <c r="S288" i="16"/>
  <c r="S289" i="16"/>
  <c r="S290" i="16"/>
  <c r="S291" i="16"/>
  <c r="S292" i="16"/>
  <c r="S293" i="16"/>
  <c r="S294" i="16"/>
  <c r="S295" i="16"/>
  <c r="S296" i="16"/>
  <c r="S297" i="16"/>
  <c r="S298" i="16"/>
  <c r="S299" i="16"/>
  <c r="S300" i="16"/>
  <c r="S301" i="16"/>
  <c r="S302" i="16"/>
  <c r="S303" i="16"/>
  <c r="S304" i="16"/>
  <c r="S270" i="16"/>
  <c r="AD289" i="16"/>
  <c r="AD290" i="16"/>
  <c r="AD291" i="16"/>
  <c r="AD292" i="16"/>
  <c r="AD288" i="16"/>
  <c r="AD283" i="16"/>
  <c r="AD284" i="16"/>
  <c r="AD285" i="16"/>
  <c r="AD286" i="16"/>
  <c r="AD282" i="16"/>
  <c r="AD276" i="16"/>
  <c r="AD271" i="16"/>
  <c r="AD272" i="16"/>
  <c r="AD273" i="16"/>
  <c r="AD274" i="16"/>
  <c r="AD270" i="16"/>
  <c r="AE289" i="16" l="1"/>
  <c r="Z282" i="16" s="1"/>
  <c r="AE290" i="16"/>
  <c r="Z291" i="16" s="1"/>
  <c r="AE292" i="16"/>
  <c r="Z303" i="16" s="1"/>
  <c r="AE291" i="16"/>
  <c r="AF291" i="16" s="1"/>
  <c r="AE286" i="16"/>
  <c r="W298" i="16" s="1"/>
  <c r="AE283" i="16"/>
  <c r="AF283" i="16" s="1"/>
  <c r="AE282" i="16"/>
  <c r="W275" i="16" s="1"/>
  <c r="AE279" i="16"/>
  <c r="AF279" i="16" s="1"/>
  <c r="AE278" i="16"/>
  <c r="T291" i="16" s="1"/>
  <c r="AE277" i="16"/>
  <c r="T285" i="16" s="1"/>
  <c r="AE285" i="16"/>
  <c r="W295" i="16" s="1"/>
  <c r="AE284" i="16"/>
  <c r="W288" i="16" s="1"/>
  <c r="AE280" i="16"/>
  <c r="T299" i="16" s="1"/>
  <c r="AE276" i="16"/>
  <c r="T275" i="16" s="1"/>
  <c r="AE271" i="16"/>
  <c r="AE272" i="16"/>
  <c r="AE273" i="16"/>
  <c r="AE274" i="16"/>
  <c r="AE270" i="16"/>
  <c r="R341" i="16" l="1"/>
  <c r="R340" i="16"/>
  <c r="R339" i="16"/>
  <c r="R338" i="16"/>
  <c r="R337" i="16"/>
  <c r="R336" i="16"/>
  <c r="R342" i="16"/>
  <c r="R333" i="16"/>
  <c r="R334" i="16"/>
  <c r="R332" i="16"/>
  <c r="R331" i="16"/>
  <c r="R330" i="16"/>
  <c r="R329" i="16"/>
  <c r="R335" i="16"/>
  <c r="R325" i="16"/>
  <c r="R322" i="16"/>
  <c r="R326" i="16"/>
  <c r="R323" i="16"/>
  <c r="R320" i="16"/>
  <c r="R324" i="16"/>
  <c r="R328" i="16"/>
  <c r="R321" i="16"/>
  <c r="R327" i="16"/>
  <c r="R349" i="16"/>
  <c r="R350" i="16"/>
  <c r="R355" i="16"/>
  <c r="R354" i="16"/>
  <c r="R353" i="16"/>
  <c r="R352" i="16"/>
  <c r="R351" i="16"/>
  <c r="R348" i="16"/>
  <c r="R347" i="16"/>
  <c r="R346" i="16"/>
  <c r="R345" i="16"/>
  <c r="R344" i="16"/>
  <c r="R343" i="16"/>
  <c r="AF290" i="16"/>
  <c r="J291" i="16" s="1"/>
  <c r="Z290" i="16"/>
  <c r="Z280" i="16"/>
  <c r="AF289" i="16"/>
  <c r="J282" i="16" s="1"/>
  <c r="Z285" i="16"/>
  <c r="Z287" i="16"/>
  <c r="Z289" i="16"/>
  <c r="Z279" i="16"/>
  <c r="Z283" i="16"/>
  <c r="Z281" i="16"/>
  <c r="Z284" i="16"/>
  <c r="W302" i="16"/>
  <c r="Z286" i="16"/>
  <c r="Z288" i="16"/>
  <c r="W279" i="16"/>
  <c r="F279" i="16" s="1"/>
  <c r="Z304" i="16"/>
  <c r="W284" i="16"/>
  <c r="F284" i="16" s="1"/>
  <c r="W283" i="16"/>
  <c r="F283" i="16" s="1"/>
  <c r="Z301" i="16"/>
  <c r="Z302" i="16"/>
  <c r="W303" i="16"/>
  <c r="W281" i="16"/>
  <c r="F281" i="16" s="1"/>
  <c r="Z300" i="16"/>
  <c r="Z296" i="16"/>
  <c r="J296" i="16" s="1"/>
  <c r="W299" i="16"/>
  <c r="AF292" i="16"/>
  <c r="J303" i="16" s="1"/>
  <c r="Z299" i="16"/>
  <c r="Z298" i="16"/>
  <c r="W280" i="16"/>
  <c r="F280" i="16" s="1"/>
  <c r="W285" i="16"/>
  <c r="F285" i="16" s="1"/>
  <c r="W282" i="16"/>
  <c r="F282" i="16" s="1"/>
  <c r="W304" i="16"/>
  <c r="Z293" i="16"/>
  <c r="J293" i="16" s="1"/>
  <c r="Z294" i="16"/>
  <c r="J294" i="16" s="1"/>
  <c r="Z297" i="16"/>
  <c r="J297" i="16" s="1"/>
  <c r="W300" i="16"/>
  <c r="AF286" i="16"/>
  <c r="F298" i="16" s="1"/>
  <c r="W301" i="16"/>
  <c r="Z292" i="16"/>
  <c r="J292" i="16" s="1"/>
  <c r="Z295" i="16"/>
  <c r="J295" i="16" s="1"/>
  <c r="W293" i="16"/>
  <c r="W271" i="16"/>
  <c r="T304" i="16"/>
  <c r="T287" i="16"/>
  <c r="T289" i="16"/>
  <c r="T279" i="16"/>
  <c r="T296" i="16"/>
  <c r="E296" i="16" s="1"/>
  <c r="AF284" i="16"/>
  <c r="F288" i="16" s="1"/>
  <c r="W290" i="16"/>
  <c r="W286" i="16"/>
  <c r="W276" i="16"/>
  <c r="T284" i="16"/>
  <c r="T280" i="16"/>
  <c r="AF285" i="16"/>
  <c r="F295" i="16" s="1"/>
  <c r="W294" i="16"/>
  <c r="W292" i="16"/>
  <c r="W272" i="16"/>
  <c r="AF277" i="16"/>
  <c r="W296" i="16"/>
  <c r="W274" i="16"/>
  <c r="W278" i="16"/>
  <c r="W291" i="16"/>
  <c r="W273" i="16"/>
  <c r="AF278" i="16"/>
  <c r="E291" i="16" s="1"/>
  <c r="T286" i="16"/>
  <c r="W297" i="16"/>
  <c r="W289" i="16"/>
  <c r="T302" i="16"/>
  <c r="AF282" i="16"/>
  <c r="F275" i="16" s="1"/>
  <c r="W277" i="16"/>
  <c r="W287" i="16"/>
  <c r="W270" i="16"/>
  <c r="T294" i="16"/>
  <c r="E294" i="16" s="1"/>
  <c r="T283" i="16"/>
  <c r="T281" i="16"/>
  <c r="T293" i="16"/>
  <c r="E293" i="16" s="1"/>
  <c r="T295" i="16"/>
  <c r="E295" i="16" s="1"/>
  <c r="T303" i="16"/>
  <c r="T297" i="16"/>
  <c r="E297" i="16" s="1"/>
  <c r="T292" i="16"/>
  <c r="E292" i="16" s="1"/>
  <c r="T288" i="16"/>
  <c r="T290" i="16"/>
  <c r="T301" i="16"/>
  <c r="T272" i="16"/>
  <c r="T274" i="16"/>
  <c r="T273" i="16"/>
  <c r="T270" i="16"/>
  <c r="T282" i="16"/>
  <c r="T300" i="16"/>
  <c r="T271" i="16"/>
  <c r="T298" i="16"/>
  <c r="T276" i="16"/>
  <c r="T277" i="16"/>
  <c r="AF276" i="16"/>
  <c r="E275" i="16" s="1"/>
  <c r="T278" i="16"/>
  <c r="AF280" i="16"/>
  <c r="R292" i="16"/>
  <c r="R293" i="16"/>
  <c r="R294" i="16"/>
  <c r="R295" i="16"/>
  <c r="R296" i="16"/>
  <c r="R297" i="16"/>
  <c r="R282" i="16"/>
  <c r="R284" i="16"/>
  <c r="R285" i="16"/>
  <c r="R283" i="16"/>
  <c r="R279" i="16"/>
  <c r="R280" i="16"/>
  <c r="R281" i="16"/>
  <c r="R276" i="16"/>
  <c r="R270" i="16"/>
  <c r="R275" i="16"/>
  <c r="R277" i="16"/>
  <c r="R278" i="16"/>
  <c r="R271" i="16"/>
  <c r="R274" i="16"/>
  <c r="R272" i="16"/>
  <c r="R273" i="16"/>
  <c r="AF274" i="16"/>
  <c r="R299" i="16"/>
  <c r="R300" i="16"/>
  <c r="R301" i="16"/>
  <c r="R302" i="16"/>
  <c r="R303" i="16"/>
  <c r="R298" i="16"/>
  <c r="R304" i="16"/>
  <c r="R290" i="16"/>
  <c r="R286" i="16"/>
  <c r="R287" i="16"/>
  <c r="R289" i="16"/>
  <c r="R288" i="16"/>
  <c r="R291" i="16"/>
  <c r="AF273" i="16"/>
  <c r="AF272" i="16"/>
  <c r="AF271" i="16"/>
  <c r="H347" i="16" l="1"/>
  <c r="H349" i="16"/>
  <c r="D83" i="16" s="1"/>
  <c r="H333" i="16"/>
  <c r="H348" i="16"/>
  <c r="H342" i="16"/>
  <c r="H351" i="16"/>
  <c r="H335" i="16"/>
  <c r="H336" i="16"/>
  <c r="H352" i="16"/>
  <c r="H329" i="16"/>
  <c r="H337" i="16"/>
  <c r="H343" i="16"/>
  <c r="H353" i="16"/>
  <c r="H330" i="16"/>
  <c r="H338" i="16"/>
  <c r="H344" i="16"/>
  <c r="H354" i="16"/>
  <c r="H331" i="16"/>
  <c r="H339" i="16"/>
  <c r="H345" i="16"/>
  <c r="H355" i="16"/>
  <c r="H332" i="16"/>
  <c r="D71" i="16" s="1"/>
  <c r="H340" i="16"/>
  <c r="D78" i="16" s="1"/>
  <c r="J285" i="16"/>
  <c r="H346" i="16"/>
  <c r="H350" i="16"/>
  <c r="H334" i="16"/>
  <c r="H341" i="16"/>
  <c r="J290" i="16"/>
  <c r="J289" i="16"/>
  <c r="J288" i="16"/>
  <c r="J287" i="16"/>
  <c r="AG290" i="16" s="1"/>
  <c r="J286" i="16"/>
  <c r="D80" i="16"/>
  <c r="D87" i="16"/>
  <c r="D79" i="16"/>
  <c r="D88" i="16"/>
  <c r="D73" i="16"/>
  <c r="D72" i="16"/>
  <c r="D77" i="16"/>
  <c r="D82" i="16"/>
  <c r="D70" i="16"/>
  <c r="D76" i="16"/>
  <c r="D86" i="16"/>
  <c r="D75" i="16"/>
  <c r="D81" i="16"/>
  <c r="D74" i="16"/>
  <c r="J279" i="16"/>
  <c r="J284" i="16"/>
  <c r="J280" i="16"/>
  <c r="J281" i="16"/>
  <c r="J283" i="16"/>
  <c r="F302" i="16"/>
  <c r="E304" i="16"/>
  <c r="I289" i="16"/>
  <c r="I294" i="16"/>
  <c r="AG291" i="16"/>
  <c r="J299" i="16"/>
  <c r="I290" i="16"/>
  <c r="I284" i="16"/>
  <c r="I297" i="16"/>
  <c r="I293" i="16"/>
  <c r="AG283" i="16"/>
  <c r="F303" i="16"/>
  <c r="I287" i="16"/>
  <c r="I283" i="16"/>
  <c r="F304" i="16"/>
  <c r="J300" i="16"/>
  <c r="I286" i="16"/>
  <c r="I299" i="16"/>
  <c r="I285" i="16"/>
  <c r="I292" i="16"/>
  <c r="F301" i="16"/>
  <c r="J298" i="16"/>
  <c r="I282" i="16"/>
  <c r="J302" i="16"/>
  <c r="I304" i="16"/>
  <c r="I298" i="16"/>
  <c r="F300" i="16"/>
  <c r="J304" i="16"/>
  <c r="I291" i="16"/>
  <c r="I303" i="16"/>
  <c r="I281" i="16"/>
  <c r="I296" i="16"/>
  <c r="F293" i="16"/>
  <c r="J301" i="16"/>
  <c r="I288" i="16"/>
  <c r="I302" i="16"/>
  <c r="I280" i="16"/>
  <c r="I295" i="16"/>
  <c r="I279" i="16"/>
  <c r="I301" i="16"/>
  <c r="I300" i="16"/>
  <c r="F299" i="16"/>
  <c r="AG279" i="16"/>
  <c r="F287" i="16"/>
  <c r="F273" i="16"/>
  <c r="F297" i="16"/>
  <c r="F296" i="16"/>
  <c r="F271" i="16"/>
  <c r="E271" i="16"/>
  <c r="E290" i="16"/>
  <c r="E289" i="16"/>
  <c r="E288" i="16"/>
  <c r="E286" i="16"/>
  <c r="E298" i="16"/>
  <c r="E301" i="16"/>
  <c r="E302" i="16"/>
  <c r="E300" i="16"/>
  <c r="E299" i="16"/>
  <c r="E279" i="16"/>
  <c r="E278" i="16"/>
  <c r="E270" i="16"/>
  <c r="E303" i="16"/>
  <c r="E283" i="16"/>
  <c r="E287" i="16"/>
  <c r="E276" i="16"/>
  <c r="E272" i="16"/>
  <c r="F277" i="16"/>
  <c r="F272" i="16"/>
  <c r="E277" i="16"/>
  <c r="E274" i="16"/>
  <c r="F278" i="16"/>
  <c r="F292" i="16"/>
  <c r="F276" i="16"/>
  <c r="F274" i="16"/>
  <c r="F286" i="16"/>
  <c r="E281" i="16"/>
  <c r="E285" i="16"/>
  <c r="F294" i="16"/>
  <c r="F290" i="16"/>
  <c r="E280" i="16"/>
  <c r="E282" i="16"/>
  <c r="F270" i="16"/>
  <c r="F289" i="16"/>
  <c r="F291" i="16"/>
  <c r="E284" i="16"/>
  <c r="E273" i="16"/>
  <c r="X321" i="16" l="1"/>
  <c r="D69" i="16"/>
  <c r="D84" i="16"/>
  <c r="X322" i="16"/>
  <c r="X324" i="16"/>
  <c r="X323" i="16"/>
  <c r="AG289" i="16"/>
  <c r="AG282" i="16"/>
  <c r="AG286" i="16"/>
  <c r="AG284" i="16"/>
  <c r="AG285" i="16"/>
  <c r="AG292" i="16"/>
  <c r="AG277" i="16"/>
  <c r="AG280" i="16"/>
  <c r="AE288" i="16"/>
  <c r="AG276" i="16"/>
  <c r="AG278" i="16"/>
  <c r="AG273" i="16"/>
  <c r="AG271" i="16"/>
  <c r="AG274" i="16"/>
  <c r="AG272" i="16"/>
  <c r="AF288" i="16" l="1"/>
  <c r="Z275" i="16"/>
  <c r="Z274" i="16"/>
  <c r="Z276" i="16"/>
  <c r="Z273" i="16"/>
  <c r="Z270" i="16"/>
  <c r="Z271" i="16"/>
  <c r="Z278" i="16"/>
  <c r="Z272" i="16"/>
  <c r="J272" i="16" s="1"/>
  <c r="Z277" i="16"/>
  <c r="J274" i="16" l="1"/>
  <c r="J277" i="16"/>
  <c r="J275" i="16"/>
  <c r="J271" i="16"/>
  <c r="J278" i="16"/>
  <c r="J270" i="16"/>
  <c r="J273" i="16"/>
  <c r="J276" i="16"/>
  <c r="AG288" i="16" l="1"/>
  <c r="E34" i="48" l="1"/>
  <c r="E35" i="48" s="1"/>
  <c r="E36" i="48" s="1"/>
  <c r="F34" i="48"/>
  <c r="F35" i="48" s="1"/>
  <c r="G34" i="48"/>
  <c r="G35" i="48" s="1"/>
  <c r="H34" i="48"/>
  <c r="H35" i="48" s="1"/>
  <c r="D34" i="48"/>
  <c r="D35" i="48" s="1"/>
  <c r="D36" i="48" s="1"/>
  <c r="D49" i="48" l="1"/>
  <c r="D51" i="48"/>
  <c r="D50" i="48"/>
  <c r="D52" i="48"/>
  <c r="G36" i="48"/>
  <c r="H36" i="48"/>
  <c r="F36" i="48"/>
  <c r="I49" i="3" l="1"/>
  <c r="E49" i="48"/>
  <c r="E50" i="48"/>
  <c r="F50" i="48" s="1"/>
  <c r="E52" i="48"/>
  <c r="F52" i="48" s="1"/>
  <c r="E51" i="48"/>
  <c r="F51" i="48" s="1"/>
  <c r="F24" i="48" l="1"/>
  <c r="G24" i="48"/>
  <c r="H24" i="48"/>
  <c r="P44" i="48" l="1"/>
  <c r="L44" i="48"/>
  <c r="AA44" i="48"/>
  <c r="H44" i="48"/>
  <c r="D44" i="48"/>
  <c r="S44" i="48"/>
  <c r="V44" i="48"/>
  <c r="Z44" i="48"/>
  <c r="R44" i="48"/>
  <c r="W44" i="48"/>
  <c r="Y44" i="48"/>
  <c r="T44" i="48"/>
  <c r="X44" i="48"/>
  <c r="U44" i="48"/>
  <c r="K44" i="48"/>
  <c r="E44" i="48"/>
  <c r="F44" i="48"/>
  <c r="J44" i="48"/>
  <c r="M44" i="48"/>
  <c r="N44" i="48"/>
  <c r="AB44" i="48"/>
  <c r="Q44" i="48"/>
  <c r="I44" i="48"/>
  <c r="O44" i="48"/>
  <c r="G44" i="48"/>
  <c r="J43" i="48"/>
  <c r="W43" i="48"/>
  <c r="X43" i="48"/>
  <c r="Z43" i="48"/>
  <c r="F43" i="48"/>
  <c r="V43" i="48"/>
  <c r="E43" i="48"/>
  <c r="Y43" i="48"/>
  <c r="AJ43" i="48"/>
  <c r="N43" i="48"/>
  <c r="AA43" i="48"/>
  <c r="AQ43" i="48"/>
  <c r="Q43" i="48"/>
  <c r="K43" i="48"/>
  <c r="AC43" i="48"/>
  <c r="AP43" i="48"/>
  <c r="O43" i="48"/>
  <c r="AM43" i="48"/>
  <c r="AE43" i="48"/>
  <c r="S43" i="48"/>
  <c r="G43" i="48"/>
  <c r="AI43" i="48"/>
  <c r="I43" i="48"/>
  <c r="AB43" i="48"/>
  <c r="M43" i="48"/>
  <c r="AK43" i="48"/>
  <c r="L43" i="48"/>
  <c r="H43" i="48"/>
  <c r="P43" i="48"/>
  <c r="AF43" i="48"/>
  <c r="AD43" i="48"/>
  <c r="D43" i="48"/>
  <c r="AH43" i="48"/>
  <c r="AN43" i="48"/>
  <c r="R43" i="48"/>
  <c r="AO43" i="48"/>
  <c r="T43" i="48"/>
  <c r="AL43" i="48"/>
  <c r="U43" i="48"/>
  <c r="AG43" i="48"/>
  <c r="D41" i="48"/>
  <c r="AA41" i="48"/>
  <c r="H41" i="48"/>
  <c r="P41" i="48"/>
  <c r="X41" i="48"/>
  <c r="K41" i="48"/>
  <c r="S41" i="48"/>
  <c r="F41" i="48"/>
  <c r="T41" i="48"/>
  <c r="W41" i="48"/>
  <c r="M41" i="48"/>
  <c r="J41" i="48"/>
  <c r="R41" i="48"/>
  <c r="O41" i="48"/>
  <c r="Y41" i="48"/>
  <c r="L41" i="48"/>
  <c r="Z41" i="48"/>
  <c r="G41" i="48"/>
  <c r="V41" i="48"/>
  <c r="Q41" i="48"/>
  <c r="N41" i="48"/>
  <c r="AB41" i="48"/>
  <c r="E41" i="48"/>
  <c r="U41" i="48"/>
  <c r="I41" i="48"/>
  <c r="W45" i="48"/>
  <c r="V45" i="48"/>
  <c r="Z45" i="48"/>
  <c r="N45" i="48"/>
  <c r="R45" i="48"/>
  <c r="D45" i="48"/>
  <c r="T45" i="48"/>
  <c r="AA45" i="48"/>
  <c r="S45" i="48"/>
  <c r="Q45" i="48"/>
  <c r="F45" i="48"/>
  <c r="J45" i="48"/>
  <c r="X45" i="48"/>
  <c r="AB45" i="48"/>
  <c r="H45" i="48"/>
  <c r="M45" i="48"/>
  <c r="E45" i="48"/>
  <c r="P45" i="48"/>
  <c r="U45" i="48"/>
  <c r="K45" i="48"/>
  <c r="G45" i="48"/>
  <c r="O45" i="48"/>
  <c r="I45" i="48"/>
  <c r="L45" i="48"/>
  <c r="Y45" i="48"/>
  <c r="X42" i="48"/>
  <c r="L42" i="48"/>
  <c r="H42" i="48"/>
  <c r="Z42" i="48"/>
  <c r="P42" i="48"/>
  <c r="S42" i="48"/>
  <c r="D42" i="48"/>
  <c r="Y42" i="48"/>
  <c r="R42" i="48"/>
  <c r="F42" i="48"/>
  <c r="N42" i="48"/>
  <c r="I42" i="48"/>
  <c r="U42" i="48"/>
  <c r="T42" i="48"/>
  <c r="J42" i="48"/>
  <c r="E42" i="48"/>
  <c r="G42" i="48"/>
  <c r="W42" i="48"/>
  <c r="AA42" i="48"/>
  <c r="K42" i="48"/>
  <c r="Q42" i="48"/>
  <c r="O42" i="48"/>
  <c r="M42" i="48"/>
  <c r="AB42" i="48"/>
  <c r="V42" i="48"/>
  <c r="C43" i="48" l="1"/>
  <c r="F40" i="30" s="1"/>
  <c r="G40" i="30" s="1"/>
  <c r="F2" i="29" s="1"/>
  <c r="C45" i="48"/>
  <c r="F42" i="30" s="1"/>
  <c r="G42" i="30" s="1"/>
  <c r="C44" i="48"/>
  <c r="F41" i="30" s="1"/>
  <c r="G41" i="30" s="1"/>
  <c r="C41" i="48"/>
  <c r="F47" i="30" s="1"/>
  <c r="G47" i="30" s="1"/>
  <c r="C42" i="48"/>
  <c r="F48" i="30" s="1"/>
  <c r="G48" i="30" s="1"/>
  <c r="E2" i="29" l="1"/>
  <c r="F11" i="29" s="1"/>
  <c r="G20" i="29" s="1"/>
  <c r="H29" i="29" s="1"/>
  <c r="I38" i="29" s="1"/>
  <c r="J47" i="29" s="1"/>
  <c r="K56" i="29" s="1"/>
  <c r="L65" i="29" s="1"/>
  <c r="M74" i="29" s="1"/>
  <c r="M2" i="29"/>
  <c r="D2" i="29"/>
  <c r="E11" i="29" s="1"/>
  <c r="F20" i="29" s="1"/>
  <c r="G29" i="29" s="1"/>
  <c r="H38" i="29" s="1"/>
  <c r="I47" i="29" s="1"/>
  <c r="J56" i="29" s="1"/>
  <c r="K65" i="29" s="1"/>
  <c r="L74" i="29" s="1"/>
  <c r="M83" i="29" s="1"/>
  <c r="H2" i="29"/>
  <c r="I11" i="29" s="1"/>
  <c r="J20" i="29" s="1"/>
  <c r="K29" i="29" s="1"/>
  <c r="L38" i="29" s="1"/>
  <c r="M47" i="29" s="1"/>
  <c r="L2" i="29"/>
  <c r="M11" i="29" s="1"/>
  <c r="J2" i="29"/>
  <c r="K11" i="29" s="1"/>
  <c r="L20" i="29" s="1"/>
  <c r="M29" i="29" s="1"/>
  <c r="G2" i="29"/>
  <c r="H11" i="29" s="1"/>
  <c r="I20" i="29" s="1"/>
  <c r="J29" i="29" s="1"/>
  <c r="K38" i="29" s="1"/>
  <c r="L47" i="29" s="1"/>
  <c r="M56" i="29" s="1"/>
  <c r="C2" i="29"/>
  <c r="D11" i="29" s="1"/>
  <c r="E20" i="29" s="1"/>
  <c r="F29" i="29" s="1"/>
  <c r="G38" i="29" s="1"/>
  <c r="H47" i="29" s="1"/>
  <c r="I56" i="29" s="1"/>
  <c r="J65" i="29" s="1"/>
  <c r="K74" i="29" s="1"/>
  <c r="L83" i="29" s="1"/>
  <c r="M92" i="29" s="1"/>
  <c r="K2" i="29"/>
  <c r="L11" i="29" s="1"/>
  <c r="M20" i="29" s="1"/>
  <c r="I2" i="29"/>
  <c r="J11" i="29" s="1"/>
  <c r="K20" i="29" s="1"/>
  <c r="L29" i="29" s="1"/>
  <c r="M38" i="29" s="1"/>
  <c r="G11" i="29"/>
  <c r="H20" i="29" s="1"/>
  <c r="I29" i="29" s="1"/>
  <c r="J38" i="29" s="1"/>
  <c r="K47" i="29" s="1"/>
  <c r="L56" i="29" s="1"/>
  <c r="M65" i="29" s="1"/>
  <c r="G3" i="29" l="1"/>
  <c r="H12" i="29" s="1"/>
  <c r="I21" i="29" s="1"/>
  <c r="J30" i="29" s="1"/>
  <c r="K39" i="29" s="1"/>
  <c r="L48" i="29" s="1"/>
  <c r="M57" i="29" s="1"/>
  <c r="H3" i="29"/>
  <c r="I12" i="29" s="1"/>
  <c r="J21" i="29" s="1"/>
  <c r="K30" i="29" s="1"/>
  <c r="L39" i="29" s="1"/>
  <c r="M48" i="29" s="1"/>
  <c r="I3" i="29"/>
  <c r="J12" i="29" s="1"/>
  <c r="K21" i="29" s="1"/>
  <c r="L30" i="29" s="1"/>
  <c r="M39" i="29" s="1"/>
  <c r="L3" i="29"/>
  <c r="M12" i="29" s="1"/>
  <c r="J3" i="29"/>
  <c r="K12" i="29" s="1"/>
  <c r="L21" i="29" s="1"/>
  <c r="M30" i="29" s="1"/>
  <c r="D3" i="29"/>
  <c r="E12" i="29" s="1"/>
  <c r="F21" i="29" s="1"/>
  <c r="G30" i="29" s="1"/>
  <c r="H39" i="29" s="1"/>
  <c r="I48" i="29" s="1"/>
  <c r="J57" i="29" s="1"/>
  <c r="K66" i="29" s="1"/>
  <c r="L75" i="29" s="1"/>
  <c r="M84" i="29" s="1"/>
  <c r="C3" i="29"/>
  <c r="D12" i="29" s="1"/>
  <c r="E21" i="29" s="1"/>
  <c r="F30" i="29" s="1"/>
  <c r="G39" i="29" s="1"/>
  <c r="H48" i="29" s="1"/>
  <c r="I57" i="29" s="1"/>
  <c r="J66" i="29" s="1"/>
  <c r="K75" i="29" s="1"/>
  <c r="L84" i="29" s="1"/>
  <c r="M93" i="29" s="1"/>
  <c r="E3" i="29"/>
  <c r="F12" i="29" s="1"/>
  <c r="G21" i="29" s="1"/>
  <c r="H30" i="29" s="1"/>
  <c r="I39" i="29" s="1"/>
  <c r="J48" i="29" s="1"/>
  <c r="K57" i="29" s="1"/>
  <c r="L66" i="29" s="1"/>
  <c r="M75" i="29" s="1"/>
  <c r="M3" i="29"/>
  <c r="K3" i="29"/>
  <c r="L12" i="29" s="1"/>
  <c r="M21" i="29" s="1"/>
  <c r="F3" i="29"/>
  <c r="G12" i="29" s="1"/>
  <c r="H21" i="29" s="1"/>
  <c r="I30" i="29" s="1"/>
  <c r="J39" i="29" s="1"/>
  <c r="K48" i="29" s="1"/>
  <c r="L57" i="29" s="1"/>
  <c r="M66" i="29" s="1"/>
  <c r="E4" i="29"/>
  <c r="F13" i="29" s="1"/>
  <c r="G22" i="29" s="1"/>
  <c r="H31" i="29" s="1"/>
  <c r="I40" i="29" s="1"/>
  <c r="J49" i="29" s="1"/>
  <c r="K58" i="29" s="1"/>
  <c r="L67" i="29" s="1"/>
  <c r="M76" i="29" s="1"/>
  <c r="M4" i="29"/>
  <c r="F4" i="29"/>
  <c r="G13" i="29" s="1"/>
  <c r="H22" i="29" s="1"/>
  <c r="I31" i="29" s="1"/>
  <c r="J40" i="29" s="1"/>
  <c r="K49" i="29" s="1"/>
  <c r="L58" i="29" s="1"/>
  <c r="M67" i="29" s="1"/>
  <c r="G4" i="29"/>
  <c r="H13" i="29" s="1"/>
  <c r="I22" i="29" s="1"/>
  <c r="J31" i="29" s="1"/>
  <c r="K40" i="29" s="1"/>
  <c r="L49" i="29" s="1"/>
  <c r="M58" i="29" s="1"/>
  <c r="K4" i="29"/>
  <c r="L13" i="29" s="1"/>
  <c r="M22" i="29" s="1"/>
  <c r="C4" i="29"/>
  <c r="D13" i="29" s="1"/>
  <c r="E22" i="29" s="1"/>
  <c r="F31" i="29" s="1"/>
  <c r="G40" i="29" s="1"/>
  <c r="H49" i="29" s="1"/>
  <c r="I58" i="29" s="1"/>
  <c r="J67" i="29" s="1"/>
  <c r="K76" i="29" s="1"/>
  <c r="L85" i="29" s="1"/>
  <c r="M94" i="29" s="1"/>
  <c r="H4" i="29"/>
  <c r="I13" i="29" s="1"/>
  <c r="J22" i="29" s="1"/>
  <c r="K31" i="29" s="1"/>
  <c r="L40" i="29" s="1"/>
  <c r="M49" i="29" s="1"/>
  <c r="J4" i="29"/>
  <c r="K13" i="29" s="1"/>
  <c r="L22" i="29" s="1"/>
  <c r="M31" i="29" s="1"/>
  <c r="I4" i="29"/>
  <c r="J13" i="29" s="1"/>
  <c r="K22" i="29" s="1"/>
  <c r="L31" i="29" s="1"/>
  <c r="M40" i="29" s="1"/>
  <c r="D4" i="29"/>
  <c r="E13" i="29" s="1"/>
  <c r="F22" i="29" s="1"/>
  <c r="G31" i="29" s="1"/>
  <c r="H40" i="29" s="1"/>
  <c r="I49" i="29" s="1"/>
  <c r="J58" i="29" s="1"/>
  <c r="K67" i="29" s="1"/>
  <c r="L76" i="29" s="1"/>
  <c r="M85" i="29" s="1"/>
  <c r="L4" i="29"/>
  <c r="M13" i="29" s="1"/>
  <c r="I10" i="29"/>
  <c r="J19" i="29" s="1"/>
  <c r="K28" i="29" s="1"/>
  <c r="L37" i="29" s="1"/>
  <c r="M46" i="29" s="1"/>
  <c r="C10" i="29"/>
  <c r="D19" i="29" s="1"/>
  <c r="E28" i="29" s="1"/>
  <c r="F37" i="29" s="1"/>
  <c r="G46" i="29" s="1"/>
  <c r="H55" i="29" s="1"/>
  <c r="I64" i="29" s="1"/>
  <c r="J73" i="29" s="1"/>
  <c r="K82" i="29" s="1"/>
  <c r="L91" i="29" s="1"/>
  <c r="M100" i="29" s="1"/>
  <c r="J10" i="29"/>
  <c r="K19" i="29" s="1"/>
  <c r="L28" i="29" s="1"/>
  <c r="M37" i="29" s="1"/>
  <c r="K10" i="29"/>
  <c r="L19" i="29" s="1"/>
  <c r="M28" i="29" s="1"/>
  <c r="D10" i="29"/>
  <c r="E19" i="29" s="1"/>
  <c r="F28" i="29" s="1"/>
  <c r="G37" i="29" s="1"/>
  <c r="H46" i="29" s="1"/>
  <c r="I55" i="29" s="1"/>
  <c r="J64" i="29" s="1"/>
  <c r="K73" i="29" s="1"/>
  <c r="L82" i="29" s="1"/>
  <c r="M91" i="29" s="1"/>
  <c r="L10" i="29"/>
  <c r="M19" i="29" s="1"/>
  <c r="F10" i="29"/>
  <c r="G19" i="29" s="1"/>
  <c r="H28" i="29" s="1"/>
  <c r="I37" i="29" s="1"/>
  <c r="J46" i="29" s="1"/>
  <c r="K55" i="29" s="1"/>
  <c r="L64" i="29" s="1"/>
  <c r="M73" i="29" s="1"/>
  <c r="G10" i="29"/>
  <c r="H19" i="29" s="1"/>
  <c r="I28" i="29" s="1"/>
  <c r="J37" i="29" s="1"/>
  <c r="K46" i="29" s="1"/>
  <c r="L55" i="29" s="1"/>
  <c r="M64" i="29" s="1"/>
  <c r="E10" i="29"/>
  <c r="F19" i="29" s="1"/>
  <c r="G28" i="29" s="1"/>
  <c r="H37" i="29" s="1"/>
  <c r="I46" i="29" s="1"/>
  <c r="J55" i="29" s="1"/>
  <c r="K64" i="29" s="1"/>
  <c r="L73" i="29" s="1"/>
  <c r="M82" i="29" s="1"/>
  <c r="M10" i="29"/>
  <c r="H10" i="29"/>
  <c r="I19" i="29" s="1"/>
  <c r="J28" i="29" s="1"/>
  <c r="K37" i="29" s="1"/>
  <c r="L46" i="29" s="1"/>
  <c r="M55" i="29" s="1"/>
  <c r="K9" i="29"/>
  <c r="L18" i="29" s="1"/>
  <c r="M27" i="29" s="1"/>
  <c r="D9" i="29"/>
  <c r="E18" i="29" s="1"/>
  <c r="F27" i="29" s="1"/>
  <c r="G36" i="29" s="1"/>
  <c r="H45" i="29" s="1"/>
  <c r="I54" i="29" s="1"/>
  <c r="J63" i="29" s="1"/>
  <c r="K72" i="29" s="1"/>
  <c r="L81" i="29" s="1"/>
  <c r="M90" i="29" s="1"/>
  <c r="L9" i="29"/>
  <c r="M18" i="29" s="1"/>
  <c r="I9" i="29"/>
  <c r="J18" i="29" s="1"/>
  <c r="K27" i="29" s="1"/>
  <c r="L36" i="29" s="1"/>
  <c r="M45" i="29" s="1"/>
  <c r="E9" i="29"/>
  <c r="F18" i="29" s="1"/>
  <c r="G27" i="29" s="1"/>
  <c r="H36" i="29" s="1"/>
  <c r="I45" i="29" s="1"/>
  <c r="J54" i="29" s="1"/>
  <c r="K63" i="29" s="1"/>
  <c r="L72" i="29" s="1"/>
  <c r="M81" i="29" s="1"/>
  <c r="M9" i="29"/>
  <c r="F9" i="29"/>
  <c r="G18" i="29" s="1"/>
  <c r="H27" i="29" s="1"/>
  <c r="I36" i="29" s="1"/>
  <c r="J45" i="29" s="1"/>
  <c r="K54" i="29" s="1"/>
  <c r="L63" i="29" s="1"/>
  <c r="M72" i="29" s="1"/>
  <c r="H9" i="29"/>
  <c r="I18" i="29" s="1"/>
  <c r="J27" i="29" s="1"/>
  <c r="K36" i="29" s="1"/>
  <c r="L45" i="29" s="1"/>
  <c r="M54" i="29" s="1"/>
  <c r="G9" i="29"/>
  <c r="H18" i="29" s="1"/>
  <c r="I27" i="29" s="1"/>
  <c r="J36" i="29" s="1"/>
  <c r="K45" i="29" s="1"/>
  <c r="L54" i="29" s="1"/>
  <c r="M63" i="29" s="1"/>
  <c r="J9" i="29"/>
  <c r="K18" i="29" s="1"/>
  <c r="L27" i="29" s="1"/>
  <c r="M36" i="29" s="1"/>
  <c r="C9" i="29"/>
  <c r="D18" i="29" s="1"/>
  <c r="E27" i="29" s="1"/>
  <c r="F36" i="29" s="1"/>
  <c r="G45" i="29" s="1"/>
  <c r="H54" i="29" s="1"/>
  <c r="I63" i="29" s="1"/>
  <c r="J72" i="29" s="1"/>
  <c r="K81" i="29" s="1"/>
  <c r="L90" i="29" s="1"/>
  <c r="M99" i="29" s="1"/>
  <c r="E10" i="10" l="1"/>
  <c r="L67" i="3" l="1"/>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66" i="3"/>
  <c r="C263" i="16" l="1"/>
  <c r="C259" i="16"/>
  <c r="C260" i="16"/>
  <c r="C261" i="16"/>
  <c r="C262" i="16"/>
  <c r="C118" i="16"/>
  <c r="C117" i="16"/>
  <c r="C116" i="16"/>
  <c r="C115" i="16"/>
  <c r="C114" i="16"/>
  <c r="C86" i="16"/>
  <c r="C87" i="16"/>
  <c r="C88" i="16"/>
  <c r="C56" i="16"/>
  <c r="C57" i="16"/>
  <c r="C58" i="16"/>
  <c r="C59" i="16"/>
  <c r="C60" i="16"/>
  <c r="C31" i="16"/>
  <c r="C30" i="16"/>
  <c r="C29" i="16"/>
  <c r="C28" i="16"/>
  <c r="C27" i="16"/>
  <c r="C3" i="16"/>
  <c r="C4" i="16"/>
  <c r="C5" i="16"/>
  <c r="C6" i="16"/>
  <c r="C7" i="16"/>
  <c r="C8" i="16"/>
  <c r="C9" i="16"/>
  <c r="C10" i="16"/>
  <c r="C11" i="16"/>
  <c r="C12" i="16"/>
  <c r="C13" i="16"/>
  <c r="C14" i="16"/>
  <c r="C15" i="16"/>
  <c r="C16" i="16"/>
  <c r="C17" i="16"/>
  <c r="C18" i="16"/>
  <c r="C19" i="16"/>
  <c r="C20" i="16"/>
  <c r="C21" i="16"/>
  <c r="C22" i="16"/>
  <c r="C23" i="16"/>
  <c r="C24" i="16"/>
  <c r="C25" i="16"/>
  <c r="C26" i="16"/>
  <c r="C32" i="16"/>
  <c r="C33" i="16"/>
  <c r="C34" i="16"/>
  <c r="C35" i="16"/>
  <c r="C36" i="16"/>
  <c r="C37" i="16"/>
  <c r="C38" i="16"/>
  <c r="C39" i="16"/>
  <c r="C40" i="16"/>
  <c r="C41" i="16"/>
  <c r="C42" i="16"/>
  <c r="C43" i="16"/>
  <c r="C44" i="16"/>
  <c r="C45" i="16"/>
  <c r="C46" i="16"/>
  <c r="C47" i="16"/>
  <c r="C48" i="16"/>
  <c r="C49" i="16"/>
  <c r="C50" i="16"/>
  <c r="C51" i="16"/>
  <c r="C52" i="16"/>
  <c r="F139" i="3" s="1"/>
  <c r="C53" i="16"/>
  <c r="C54" i="16"/>
  <c r="C55" i="16"/>
  <c r="C69" i="16"/>
  <c r="C70" i="16"/>
  <c r="C71" i="16"/>
  <c r="C72" i="16"/>
  <c r="C73" i="16"/>
  <c r="C74" i="16"/>
  <c r="C75" i="16"/>
  <c r="C76" i="16"/>
  <c r="C77" i="16"/>
  <c r="C78" i="16"/>
  <c r="C79" i="16"/>
  <c r="C80" i="16"/>
  <c r="C81" i="16"/>
  <c r="C82" i="16"/>
  <c r="C83" i="16"/>
  <c r="C84"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235" i="16"/>
  <c r="C236" i="16"/>
  <c r="C237" i="16"/>
  <c r="C238" i="16"/>
  <c r="C239" i="16"/>
  <c r="C241" i="16"/>
  <c r="C242" i="16"/>
  <c r="C243" i="16"/>
  <c r="C244" i="16"/>
  <c r="C245" i="16"/>
  <c r="C246" i="16"/>
  <c r="C247" i="16"/>
  <c r="C248" i="16"/>
  <c r="C249" i="16"/>
  <c r="C250" i="16"/>
  <c r="C251" i="16"/>
  <c r="C252" i="16"/>
  <c r="C253" i="16"/>
  <c r="C254" i="16"/>
  <c r="C255" i="16"/>
  <c r="C256" i="16"/>
  <c r="C257" i="16"/>
  <c r="C258" i="16"/>
  <c r="F284" i="3"/>
  <c r="F68" i="3" l="1"/>
  <c r="F77" i="3"/>
  <c r="F86" i="3"/>
  <c r="F95" i="3"/>
  <c r="F104" i="3"/>
  <c r="F113" i="3"/>
  <c r="F122" i="3"/>
  <c r="F131" i="3"/>
  <c r="F140" i="3"/>
  <c r="F149" i="3"/>
  <c r="F158" i="3"/>
  <c r="F167" i="3"/>
  <c r="F176" i="3"/>
  <c r="F185" i="3"/>
  <c r="F194" i="3"/>
  <c r="F203" i="3"/>
  <c r="F212" i="3"/>
  <c r="F221" i="3"/>
  <c r="F230" i="3"/>
  <c r="F239" i="3"/>
  <c r="F248" i="3"/>
  <c r="F257" i="3"/>
  <c r="F266" i="3"/>
  <c r="F275" i="3"/>
  <c r="E49" i="3" l="1"/>
  <c r="C15" i="31" l="1"/>
  <c r="B15" i="31"/>
  <c r="D15" i="31"/>
  <c r="D8" i="31" l="1"/>
  <c r="B8" i="31"/>
  <c r="D43" i="30" s="1"/>
  <c r="G49" i="48" s="1"/>
  <c r="D6" i="31"/>
  <c r="B6" i="31"/>
  <c r="C2" i="31"/>
  <c r="C6" i="31" s="1"/>
  <c r="H49" i="48" l="1"/>
  <c r="I49" i="48" s="1"/>
  <c r="J49" i="48" s="1"/>
  <c r="K49" i="48" s="1"/>
  <c r="L49" i="48" s="1"/>
  <c r="M49" i="48" s="1"/>
  <c r="N49" i="48" s="1"/>
  <c r="O49" i="48" s="1"/>
  <c r="P49" i="48" s="1"/>
  <c r="Q49" i="48" s="1"/>
  <c r="R49" i="48" s="1"/>
  <c r="S49" i="48" s="1"/>
  <c r="T49" i="48" s="1"/>
  <c r="U49" i="48" s="1"/>
  <c r="V49" i="48" s="1"/>
  <c r="W49" i="48" s="1"/>
  <c r="X49" i="48" s="1"/>
  <c r="Y49" i="48" s="1"/>
  <c r="Z49" i="48" s="1"/>
  <c r="AA49" i="48" s="1"/>
  <c r="AB49" i="48" s="1"/>
  <c r="AC49" i="48" s="1"/>
  <c r="AD49" i="48" s="1"/>
  <c r="AE49" i="48" s="1"/>
  <c r="AF49" i="48" s="1"/>
  <c r="AG49" i="48" s="1"/>
  <c r="AH49" i="48" s="1"/>
  <c r="AI49" i="48" s="1"/>
  <c r="AJ49" i="48" s="1"/>
  <c r="AK49" i="48" s="1"/>
  <c r="AL49" i="48" s="1"/>
  <c r="AM49" i="48" s="1"/>
  <c r="AN49" i="48" s="1"/>
  <c r="AO49" i="48" s="1"/>
  <c r="AP49" i="48" s="1"/>
  <c r="AQ49" i="48" s="1"/>
  <c r="AR49" i="48" s="1"/>
  <c r="AS49" i="48" s="1"/>
  <c r="AT49" i="48" s="1"/>
  <c r="C8" i="31"/>
  <c r="F49" i="48" l="1"/>
  <c r="F43" i="30" s="1"/>
  <c r="G43" i="30" s="1"/>
  <c r="O50" i="10"/>
  <c r="H131" i="3"/>
  <c r="G131" i="3"/>
  <c r="G135" i="3"/>
  <c r="O92" i="10"/>
  <c r="O91" i="10"/>
  <c r="P71" i="10"/>
  <c r="O71" i="10"/>
  <c r="J77" i="10"/>
  <c r="G77" i="10"/>
  <c r="I76" i="10"/>
  <c r="I75" i="10"/>
  <c r="I74" i="10"/>
  <c r="I73" i="10"/>
  <c r="P68" i="10"/>
  <c r="M68" i="10"/>
  <c r="N68" i="10"/>
  <c r="O68" i="10"/>
  <c r="L68" i="10"/>
  <c r="L77" i="10" s="1"/>
  <c r="O47" i="10"/>
  <c r="P47" i="10"/>
  <c r="O48" i="10"/>
  <c r="P48" i="10"/>
  <c r="O49" i="10"/>
  <c r="P49" i="10"/>
  <c r="N48" i="10"/>
  <c r="N49" i="10"/>
  <c r="N47" i="10"/>
  <c r="P43" i="10"/>
  <c r="P42" i="10"/>
  <c r="O43" i="10"/>
  <c r="O42" i="10"/>
  <c r="G13" i="10"/>
  <c r="F13" i="10"/>
  <c r="H137" i="3" s="1"/>
  <c r="D13" i="10"/>
  <c r="G11" i="10"/>
  <c r="F11" i="10"/>
  <c r="H136" i="3" s="1"/>
  <c r="D11" i="10"/>
  <c r="G9" i="10"/>
  <c r="F9" i="10"/>
  <c r="H134" i="3" s="1"/>
  <c r="D9" i="10"/>
  <c r="N105" i="10"/>
  <c r="D8" i="10" s="1"/>
  <c r="L105" i="10"/>
  <c r="O87" i="10"/>
  <c r="G7" i="10" s="1"/>
  <c r="N87" i="10"/>
  <c r="P87" i="10" s="1"/>
  <c r="F7" i="10" s="1"/>
  <c r="H132" i="3" s="1"/>
  <c r="L87" i="10"/>
  <c r="O83" i="10"/>
  <c r="G5" i="10" s="1"/>
  <c r="N83" i="10"/>
  <c r="P83" i="10" s="1"/>
  <c r="F5" i="10" s="1"/>
  <c r="H130" i="3" s="1"/>
  <c r="L83" i="10"/>
  <c r="L61" i="10"/>
  <c r="N76" i="10"/>
  <c r="N75" i="10"/>
  <c r="N74" i="10"/>
  <c r="N73" i="10"/>
  <c r="O44" i="10"/>
  <c r="J105" i="10"/>
  <c r="I105" i="10"/>
  <c r="K105" i="10" s="1"/>
  <c r="G105" i="10"/>
  <c r="E5" i="29" l="1"/>
  <c r="F14" i="29" s="1"/>
  <c r="G23" i="29" s="1"/>
  <c r="H32" i="29" s="1"/>
  <c r="I41" i="29" s="1"/>
  <c r="J50" i="29" s="1"/>
  <c r="K59" i="29" s="1"/>
  <c r="L68" i="29" s="1"/>
  <c r="M77" i="29" s="1"/>
  <c r="D5" i="29"/>
  <c r="E14" i="29" s="1"/>
  <c r="F23" i="29" s="1"/>
  <c r="G32" i="29" s="1"/>
  <c r="H41" i="29" s="1"/>
  <c r="I50" i="29" s="1"/>
  <c r="J59" i="29" s="1"/>
  <c r="K68" i="29" s="1"/>
  <c r="L77" i="29" s="1"/>
  <c r="M86" i="29" s="1"/>
  <c r="G5" i="29"/>
  <c r="H14" i="29" s="1"/>
  <c r="I23" i="29" s="1"/>
  <c r="J32" i="29" s="1"/>
  <c r="K41" i="29" s="1"/>
  <c r="L50" i="29" s="1"/>
  <c r="M59" i="29" s="1"/>
  <c r="H5" i="29"/>
  <c r="I14" i="29" s="1"/>
  <c r="J23" i="29" s="1"/>
  <c r="K32" i="29" s="1"/>
  <c r="L41" i="29" s="1"/>
  <c r="M50" i="29" s="1"/>
  <c r="K5" i="29"/>
  <c r="L14" i="29" s="1"/>
  <c r="M23" i="29" s="1"/>
  <c r="F5" i="29"/>
  <c r="G14" i="29" s="1"/>
  <c r="H23" i="29" s="1"/>
  <c r="I32" i="29" s="1"/>
  <c r="J41" i="29" s="1"/>
  <c r="K50" i="29" s="1"/>
  <c r="L59" i="29" s="1"/>
  <c r="M68" i="29" s="1"/>
  <c r="M5" i="29"/>
  <c r="C5" i="29"/>
  <c r="D14" i="29" s="1"/>
  <c r="E23" i="29" s="1"/>
  <c r="F32" i="29" s="1"/>
  <c r="G41" i="29" s="1"/>
  <c r="H50" i="29" s="1"/>
  <c r="I59" i="29" s="1"/>
  <c r="J68" i="29" s="1"/>
  <c r="K77" i="29" s="1"/>
  <c r="L86" i="29" s="1"/>
  <c r="M95" i="29" s="1"/>
  <c r="L5" i="29"/>
  <c r="M14" i="29" s="1"/>
  <c r="I5" i="29"/>
  <c r="J14" i="29" s="1"/>
  <c r="K23" i="29" s="1"/>
  <c r="L32" i="29" s="1"/>
  <c r="M41" i="29" s="1"/>
  <c r="J5" i="29"/>
  <c r="K14" i="29" s="1"/>
  <c r="L23" i="29" s="1"/>
  <c r="M32" i="29" s="1"/>
  <c r="I77" i="10"/>
  <c r="K77" i="10" s="1"/>
  <c r="F45" i="30"/>
  <c r="G45" i="30" s="1"/>
  <c r="F46" i="30"/>
  <c r="G46" i="30" s="1"/>
  <c r="P105" i="10"/>
  <c r="F8" i="10" s="1"/>
  <c r="H133" i="3" s="1"/>
  <c r="E11" i="10"/>
  <c r="G136" i="3" s="1"/>
  <c r="O77" i="10"/>
  <c r="G3" i="10" s="1"/>
  <c r="O105" i="10"/>
  <c r="G8" i="10" s="1"/>
  <c r="E8" i="10" s="1"/>
  <c r="G133" i="3" s="1"/>
  <c r="N61" i="10"/>
  <c r="D2" i="10" s="1"/>
  <c r="O61" i="10"/>
  <c r="G2" i="10" s="1"/>
  <c r="E9" i="10"/>
  <c r="G134" i="3" s="1"/>
  <c r="L79" i="10"/>
  <c r="E13" i="10"/>
  <c r="G137" i="3" s="1"/>
  <c r="D5" i="10"/>
  <c r="E5" i="10" s="1"/>
  <c r="G130" i="3" s="1"/>
  <c r="D7" i="10"/>
  <c r="E7" i="10" s="1"/>
  <c r="G132" i="3" s="1"/>
  <c r="N77" i="10"/>
  <c r="E8" i="29" l="1"/>
  <c r="F17" i="29" s="1"/>
  <c r="G26" i="29" s="1"/>
  <c r="H35" i="29" s="1"/>
  <c r="I44" i="29" s="1"/>
  <c r="J53" i="29" s="1"/>
  <c r="K62" i="29" s="1"/>
  <c r="L71" i="29" s="1"/>
  <c r="M80" i="29" s="1"/>
  <c r="M8" i="29"/>
  <c r="F8" i="29"/>
  <c r="G17" i="29" s="1"/>
  <c r="H26" i="29" s="1"/>
  <c r="I35" i="29" s="1"/>
  <c r="J44" i="29" s="1"/>
  <c r="K53" i="29" s="1"/>
  <c r="L62" i="29" s="1"/>
  <c r="M71" i="29" s="1"/>
  <c r="H8" i="29"/>
  <c r="I17" i="29" s="1"/>
  <c r="J26" i="29" s="1"/>
  <c r="K35" i="29" s="1"/>
  <c r="L44" i="29" s="1"/>
  <c r="M53" i="29" s="1"/>
  <c r="G8" i="29"/>
  <c r="H17" i="29" s="1"/>
  <c r="I26" i="29" s="1"/>
  <c r="J35" i="29" s="1"/>
  <c r="K44" i="29" s="1"/>
  <c r="L53" i="29" s="1"/>
  <c r="M62" i="29" s="1"/>
  <c r="C8" i="29"/>
  <c r="D17" i="29" s="1"/>
  <c r="E26" i="29" s="1"/>
  <c r="F35" i="29" s="1"/>
  <c r="G44" i="29" s="1"/>
  <c r="H53" i="29" s="1"/>
  <c r="I62" i="29" s="1"/>
  <c r="J71" i="29" s="1"/>
  <c r="K80" i="29" s="1"/>
  <c r="L89" i="29" s="1"/>
  <c r="M98" i="29" s="1"/>
  <c r="I8" i="29"/>
  <c r="J17" i="29" s="1"/>
  <c r="K26" i="29" s="1"/>
  <c r="L35" i="29" s="1"/>
  <c r="M44" i="29" s="1"/>
  <c r="J8" i="29"/>
  <c r="K17" i="29" s="1"/>
  <c r="L26" i="29" s="1"/>
  <c r="M35" i="29" s="1"/>
  <c r="K8" i="29"/>
  <c r="L17" i="29" s="1"/>
  <c r="M26" i="29" s="1"/>
  <c r="D8" i="29"/>
  <c r="E17" i="29" s="1"/>
  <c r="F26" i="29" s="1"/>
  <c r="G35" i="29" s="1"/>
  <c r="H44" i="29" s="1"/>
  <c r="I53" i="29" s="1"/>
  <c r="J62" i="29" s="1"/>
  <c r="K71" i="29" s="1"/>
  <c r="L80" i="29" s="1"/>
  <c r="M89" i="29" s="1"/>
  <c r="L8" i="29"/>
  <c r="M17" i="29" s="1"/>
  <c r="G7" i="29"/>
  <c r="H16" i="29" s="1"/>
  <c r="I25" i="29" s="1"/>
  <c r="J34" i="29" s="1"/>
  <c r="K43" i="29" s="1"/>
  <c r="L52" i="29" s="1"/>
  <c r="M61" i="29" s="1"/>
  <c r="J7" i="29"/>
  <c r="K16" i="29" s="1"/>
  <c r="L25" i="29" s="1"/>
  <c r="M34" i="29" s="1"/>
  <c r="H7" i="29"/>
  <c r="I16" i="29" s="1"/>
  <c r="J25" i="29" s="1"/>
  <c r="K34" i="29" s="1"/>
  <c r="L43" i="29" s="1"/>
  <c r="M52" i="29" s="1"/>
  <c r="C7" i="29"/>
  <c r="D16" i="29" s="1"/>
  <c r="E25" i="29" s="1"/>
  <c r="F34" i="29" s="1"/>
  <c r="G43" i="29" s="1"/>
  <c r="H52" i="29" s="1"/>
  <c r="I61" i="29" s="1"/>
  <c r="J70" i="29" s="1"/>
  <c r="K79" i="29" s="1"/>
  <c r="L88" i="29" s="1"/>
  <c r="M97" i="29" s="1"/>
  <c r="I7" i="29"/>
  <c r="J16" i="29" s="1"/>
  <c r="K25" i="29" s="1"/>
  <c r="L34" i="29" s="1"/>
  <c r="M43" i="29" s="1"/>
  <c r="D7" i="29"/>
  <c r="E16" i="29" s="1"/>
  <c r="F25" i="29" s="1"/>
  <c r="G34" i="29" s="1"/>
  <c r="H43" i="29" s="1"/>
  <c r="I52" i="29" s="1"/>
  <c r="J61" i="29" s="1"/>
  <c r="K70" i="29" s="1"/>
  <c r="L79" i="29" s="1"/>
  <c r="M88" i="29" s="1"/>
  <c r="L7" i="29"/>
  <c r="M16" i="29" s="1"/>
  <c r="E7" i="29"/>
  <c r="F16" i="29" s="1"/>
  <c r="G25" i="29" s="1"/>
  <c r="H34" i="29" s="1"/>
  <c r="I43" i="29" s="1"/>
  <c r="J52" i="29" s="1"/>
  <c r="K61" i="29" s="1"/>
  <c r="L70" i="29" s="1"/>
  <c r="M79" i="29" s="1"/>
  <c r="M7" i="29"/>
  <c r="F7" i="29"/>
  <c r="G16" i="29" s="1"/>
  <c r="H25" i="29" s="1"/>
  <c r="I34" i="29" s="1"/>
  <c r="J43" i="29" s="1"/>
  <c r="K52" i="29" s="1"/>
  <c r="L61" i="29" s="1"/>
  <c r="M70" i="29" s="1"/>
  <c r="K7" i="29"/>
  <c r="L16" i="29" s="1"/>
  <c r="M25" i="29" s="1"/>
  <c r="N79" i="10"/>
  <c r="D4" i="10" s="1"/>
  <c r="P77" i="10"/>
  <c r="F3" i="10" s="1"/>
  <c r="P61" i="10"/>
  <c r="F2" i="10" s="1"/>
  <c r="E2" i="10"/>
  <c r="O79" i="10"/>
  <c r="G4" i="10" s="1"/>
  <c r="D3" i="10"/>
  <c r="E3" i="10" s="1"/>
  <c r="E4" i="10" l="1"/>
  <c r="G129" i="3" s="1"/>
  <c r="P79" i="10"/>
  <c r="F4" i="10" s="1"/>
  <c r="H129" i="3" s="1"/>
  <c r="H284" i="3"/>
  <c r="H287" i="3"/>
  <c r="H288" i="3"/>
  <c r="H290" i="3"/>
  <c r="G284" i="3"/>
  <c r="G287" i="3"/>
  <c r="G288" i="3"/>
  <c r="G290" i="3"/>
  <c r="E283" i="3"/>
  <c r="E284" i="3"/>
  <c r="E285" i="3"/>
  <c r="E286" i="3"/>
  <c r="E287" i="3"/>
  <c r="E288" i="3"/>
  <c r="E289" i="3"/>
  <c r="E290" i="3"/>
  <c r="E282" i="3"/>
  <c r="C17" i="19"/>
  <c r="C27" i="19"/>
  <c r="C37" i="19"/>
  <c r="C47" i="19"/>
  <c r="C43" i="19"/>
  <c r="C33" i="19"/>
  <c r="C29" i="19"/>
  <c r="C39" i="19"/>
  <c r="C49" i="19"/>
  <c r="C38" i="19"/>
  <c r="C48" i="19"/>
  <c r="C26" i="19"/>
  <c r="C36" i="19"/>
  <c r="C46" i="19"/>
  <c r="C35" i="19"/>
  <c r="C45" i="19"/>
  <c r="C25" i="19"/>
  <c r="I88" i="18"/>
  <c r="I91" i="18" s="1"/>
  <c r="V113" i="3"/>
  <c r="W113" i="3" s="1"/>
  <c r="X113" i="3" s="1"/>
  <c r="V89" i="3"/>
  <c r="H176" i="3"/>
  <c r="H182" i="3"/>
  <c r="G176" i="3"/>
  <c r="J176" i="3" s="1"/>
  <c r="M176" i="3" s="1"/>
  <c r="G179" i="3"/>
  <c r="J179" i="3" s="1"/>
  <c r="G181" i="3"/>
  <c r="J181" i="3" s="1"/>
  <c r="G182" i="3"/>
  <c r="J182" i="3" s="1"/>
  <c r="G80" i="18"/>
  <c r="G79" i="18"/>
  <c r="G78" i="18"/>
  <c r="G77" i="18"/>
  <c r="G76" i="18"/>
  <c r="G75" i="18"/>
  <c r="G74" i="18"/>
  <c r="G73" i="18"/>
  <c r="G72" i="18"/>
  <c r="G85" i="18"/>
  <c r="G86" i="18"/>
  <c r="G87" i="18"/>
  <c r="F88" i="18"/>
  <c r="F89" i="18"/>
  <c r="G90" i="18"/>
  <c r="G95" i="18"/>
  <c r="G96" i="18"/>
  <c r="G97" i="18"/>
  <c r="G94" i="18"/>
  <c r="H84" i="18"/>
  <c r="E84" i="18"/>
  <c r="H83" i="18"/>
  <c r="E83" i="18"/>
  <c r="G101" i="18"/>
  <c r="G102" i="18"/>
  <c r="G103" i="18"/>
  <c r="G104" i="18"/>
  <c r="G105" i="18"/>
  <c r="G106" i="18"/>
  <c r="G107" i="18"/>
  <c r="G108" i="18"/>
  <c r="G109" i="18"/>
  <c r="G110" i="18"/>
  <c r="G111" i="18"/>
  <c r="G112" i="18"/>
  <c r="G113" i="18"/>
  <c r="G100" i="18"/>
  <c r="C121" i="18"/>
  <c r="C120" i="18"/>
  <c r="C119" i="18"/>
  <c r="C118" i="18"/>
  <c r="C117" i="18"/>
  <c r="C116" i="18"/>
  <c r="G47" i="18"/>
  <c r="G46" i="18"/>
  <c r="G45" i="18"/>
  <c r="G44" i="18"/>
  <c r="G43" i="18"/>
  <c r="G42" i="18"/>
  <c r="G41" i="18"/>
  <c r="G40" i="18"/>
  <c r="G39" i="18"/>
  <c r="G38" i="18"/>
  <c r="G37" i="18"/>
  <c r="G36" i="18"/>
  <c r="G35" i="18"/>
  <c r="G34" i="18"/>
  <c r="G33" i="18"/>
  <c r="G32" i="18"/>
  <c r="G31" i="18"/>
  <c r="G30" i="18"/>
  <c r="G29" i="18"/>
  <c r="G28" i="18"/>
  <c r="G27" i="18"/>
  <c r="G26" i="18"/>
  <c r="G25" i="18"/>
  <c r="G24" i="18"/>
  <c r="G64" i="18"/>
  <c r="G63" i="18"/>
  <c r="G62" i="18"/>
  <c r="G61" i="18"/>
  <c r="G60" i="18"/>
  <c r="G59" i="18"/>
  <c r="G58" i="18"/>
  <c r="G57" i="18"/>
  <c r="G56" i="18"/>
  <c r="G55" i="18"/>
  <c r="G54" i="18"/>
  <c r="G53" i="18"/>
  <c r="G52" i="18"/>
  <c r="G51" i="18"/>
  <c r="G50" i="18"/>
  <c r="G68" i="18"/>
  <c r="G69" i="18"/>
  <c r="G67" i="18"/>
  <c r="C101" i="18"/>
  <c r="C102" i="18"/>
  <c r="C103" i="18"/>
  <c r="C104" i="18"/>
  <c r="C105" i="18"/>
  <c r="C106" i="18"/>
  <c r="C107" i="18"/>
  <c r="C108" i="18"/>
  <c r="C109" i="18"/>
  <c r="C110" i="18"/>
  <c r="C112" i="18"/>
  <c r="C100" i="18"/>
  <c r="F154" i="18"/>
  <c r="D106" i="18" s="1"/>
  <c r="F106" i="18" s="1"/>
  <c r="F153" i="18"/>
  <c r="F152" i="18"/>
  <c r="F151" i="18"/>
  <c r="D111" i="18" s="1"/>
  <c r="F111" i="18" s="1"/>
  <c r="F150" i="18"/>
  <c r="D110" i="18" s="1"/>
  <c r="F110" i="18" s="1"/>
  <c r="F128" i="18"/>
  <c r="D112" i="18" s="1"/>
  <c r="F112" i="18" s="1"/>
  <c r="F129" i="18"/>
  <c r="D107" i="18" s="1"/>
  <c r="F107" i="18" s="1"/>
  <c r="F130" i="18"/>
  <c r="D108" i="18" s="1"/>
  <c r="F108" i="18" s="1"/>
  <c r="F131" i="18"/>
  <c r="D103" i="18" s="1"/>
  <c r="F103" i="18" s="1"/>
  <c r="F132" i="18"/>
  <c r="D104" i="18" s="1"/>
  <c r="F104" i="18" s="1"/>
  <c r="F133" i="18"/>
  <c r="D105" i="18" s="1"/>
  <c r="F105" i="18" s="1"/>
  <c r="F134" i="18"/>
  <c r="D100" i="18" s="1"/>
  <c r="F100" i="18" s="1"/>
  <c r="F135" i="18"/>
  <c r="D101" i="18" s="1"/>
  <c r="F101" i="18" s="1"/>
  <c r="F136" i="18"/>
  <c r="D102" i="18" s="1"/>
  <c r="F102" i="18" s="1"/>
  <c r="F137" i="18"/>
  <c r="D67" i="18" s="1"/>
  <c r="F138" i="18"/>
  <c r="F139" i="18"/>
  <c r="F140" i="18"/>
  <c r="F141" i="18"/>
  <c r="D116" i="18" s="1"/>
  <c r="F116" i="18" s="1"/>
  <c r="F143" i="18"/>
  <c r="D83" i="18" s="1"/>
  <c r="F144" i="18"/>
  <c r="D117" i="18" s="1"/>
  <c r="F117" i="18" s="1"/>
  <c r="F145" i="18"/>
  <c r="D118" i="18" s="1"/>
  <c r="F118" i="18" s="1"/>
  <c r="F146" i="18"/>
  <c r="F147" i="18"/>
  <c r="D121" i="18" s="1"/>
  <c r="F121" i="18" s="1"/>
  <c r="F148" i="18"/>
  <c r="D119" i="18" s="1"/>
  <c r="F119" i="18" s="1"/>
  <c r="F149" i="18"/>
  <c r="D120" i="18" s="1"/>
  <c r="F120" i="18" s="1"/>
  <c r="C142" i="18"/>
  <c r="F142" i="18" s="1"/>
  <c r="D84" i="18" s="1"/>
  <c r="C127" i="18"/>
  <c r="F127" i="18" s="1"/>
  <c r="D109" i="18" s="1"/>
  <c r="F109" i="18" s="1"/>
  <c r="H173" i="3"/>
  <c r="H281" i="3" s="1"/>
  <c r="H171" i="3"/>
  <c r="H168" i="3"/>
  <c r="H276" i="3" s="1"/>
  <c r="H167" i="3"/>
  <c r="H275" i="3" s="1"/>
  <c r="G167" i="3"/>
  <c r="G275" i="3" s="1"/>
  <c r="J275" i="3" s="1"/>
  <c r="M275" i="3" s="1"/>
  <c r="G168" i="3"/>
  <c r="G276" i="3" s="1"/>
  <c r="J276" i="3" s="1"/>
  <c r="G171" i="3"/>
  <c r="G279" i="3" s="1"/>
  <c r="J279" i="3" s="1"/>
  <c r="G173" i="3"/>
  <c r="G281" i="3" s="1"/>
  <c r="J281" i="3" s="1"/>
  <c r="E166" i="3"/>
  <c r="E167" i="3"/>
  <c r="E168" i="3"/>
  <c r="E169" i="3"/>
  <c r="E170" i="3"/>
  <c r="E171" i="3"/>
  <c r="E172" i="3"/>
  <c r="E173" i="3"/>
  <c r="E165" i="3"/>
  <c r="I32" i="4"/>
  <c r="I33" i="4"/>
  <c r="I34" i="4"/>
  <c r="I35" i="4"/>
  <c r="I36" i="4"/>
  <c r="I37" i="4"/>
  <c r="I38" i="4"/>
  <c r="I39" i="4"/>
  <c r="I40" i="4"/>
  <c r="I41" i="4"/>
  <c r="I42" i="4"/>
  <c r="I43" i="4"/>
  <c r="I44" i="4"/>
  <c r="I45" i="4"/>
  <c r="I46" i="4"/>
  <c r="I47" i="4"/>
  <c r="I48" i="4"/>
  <c r="I49" i="4"/>
  <c r="I50" i="4"/>
  <c r="I51" i="4"/>
  <c r="I52" i="4"/>
  <c r="I31" i="4"/>
  <c r="H41" i="4"/>
  <c r="H42" i="4"/>
  <c r="H47" i="4"/>
  <c r="H48" i="4"/>
  <c r="H49" i="4"/>
  <c r="H50" i="4"/>
  <c r="H51" i="4"/>
  <c r="H52" i="4"/>
  <c r="H36" i="4"/>
  <c r="H37" i="4"/>
  <c r="H38" i="4"/>
  <c r="H39" i="4"/>
  <c r="H40" i="4"/>
  <c r="H32" i="4"/>
  <c r="H33" i="4"/>
  <c r="H34" i="4"/>
  <c r="H35" i="4"/>
  <c r="H31" i="4"/>
  <c r="F6" i="4"/>
  <c r="G6" i="4"/>
  <c r="F7" i="4"/>
  <c r="G7" i="4"/>
  <c r="F9" i="4"/>
  <c r="F10" i="4"/>
  <c r="G10" i="4"/>
  <c r="F11" i="4"/>
  <c r="G11" i="4"/>
  <c r="F12" i="4"/>
  <c r="G12" i="4"/>
  <c r="F13" i="4"/>
  <c r="G13" i="4"/>
  <c r="F2" i="4"/>
  <c r="G2" i="4"/>
  <c r="F3" i="4"/>
  <c r="G3" i="4"/>
  <c r="D7" i="4"/>
  <c r="V168" i="3" s="1"/>
  <c r="E7" i="4"/>
  <c r="D9" i="4"/>
  <c r="E9" i="4"/>
  <c r="I9" i="4" s="1"/>
  <c r="H170" i="3" s="1"/>
  <c r="H278" i="3" s="1"/>
  <c r="D10" i="4"/>
  <c r="V171" i="3" s="1"/>
  <c r="E10" i="4"/>
  <c r="D11" i="4"/>
  <c r="V172" i="3" s="1"/>
  <c r="E11" i="4"/>
  <c r="D12" i="4"/>
  <c r="E12" i="4"/>
  <c r="D13" i="4"/>
  <c r="V173" i="3" s="1"/>
  <c r="E13" i="4"/>
  <c r="E6" i="4"/>
  <c r="D6" i="4"/>
  <c r="V167" i="3" s="1"/>
  <c r="W167" i="3" s="1"/>
  <c r="X167" i="3" s="1"/>
  <c r="E2" i="4"/>
  <c r="E3" i="4"/>
  <c r="D3" i="4"/>
  <c r="E29" i="4"/>
  <c r="E8" i="4" s="1"/>
  <c r="I8" i="4" s="1"/>
  <c r="H169" i="3" s="1"/>
  <c r="H277" i="3" s="1"/>
  <c r="E28" i="4"/>
  <c r="E27" i="4"/>
  <c r="G29" i="4"/>
  <c r="F29" i="4"/>
  <c r="F8" i="4" s="1"/>
  <c r="G28" i="4"/>
  <c r="F28" i="4"/>
  <c r="G27" i="4"/>
  <c r="F27" i="4"/>
  <c r="D28" i="4"/>
  <c r="D29" i="4"/>
  <c r="D8" i="4" s="1"/>
  <c r="D27" i="4"/>
  <c r="F83" i="18" l="1"/>
  <c r="J287" i="3"/>
  <c r="J288" i="3"/>
  <c r="J168" i="3"/>
  <c r="J171" i="3"/>
  <c r="J290" i="3"/>
  <c r="J167" i="3"/>
  <c r="M167" i="3" s="1"/>
  <c r="J173" i="3"/>
  <c r="J284" i="3"/>
  <c r="M284" i="3" s="1"/>
  <c r="E5" i="4"/>
  <c r="H9" i="4"/>
  <c r="G170" i="3" s="1"/>
  <c r="G278" i="3" s="1"/>
  <c r="J278" i="3" s="1"/>
  <c r="F84" i="18"/>
  <c r="D6" i="18"/>
  <c r="V176" i="3" s="1"/>
  <c r="W176" i="3" s="1"/>
  <c r="X176" i="3" s="1"/>
  <c r="V170" i="3"/>
  <c r="I13" i="18"/>
  <c r="H8" i="18"/>
  <c r="I11" i="4"/>
  <c r="H172" i="3" s="1"/>
  <c r="H280" i="3" s="1"/>
  <c r="H11" i="4"/>
  <c r="G172" i="3" s="1"/>
  <c r="G280" i="3" s="1"/>
  <c r="J280" i="3" s="1"/>
  <c r="E8" i="18"/>
  <c r="H7" i="18"/>
  <c r="I3" i="18"/>
  <c r="I8" i="18"/>
  <c r="H3" i="18"/>
  <c r="H12" i="18"/>
  <c r="H8" i="4"/>
  <c r="G169" i="3" s="1"/>
  <c r="G277" i="3" s="1"/>
  <c r="J277" i="3" s="1"/>
  <c r="D8" i="18"/>
  <c r="V178" i="3" s="1"/>
  <c r="E2" i="18"/>
  <c r="H5" i="18"/>
  <c r="H9" i="18"/>
  <c r="H13" i="18"/>
  <c r="I6" i="18"/>
  <c r="I10" i="18"/>
  <c r="H2" i="18"/>
  <c r="H11" i="18"/>
  <c r="I12" i="18"/>
  <c r="V169" i="3"/>
  <c r="H91" i="18"/>
  <c r="F91" i="18" s="1"/>
  <c r="I5" i="18"/>
  <c r="I9" i="18"/>
  <c r="I2" i="4"/>
  <c r="D5" i="4"/>
  <c r="V166" i="3" s="1"/>
  <c r="I27" i="4"/>
  <c r="H6" i="18"/>
  <c r="H10" i="18"/>
  <c r="I2" i="18"/>
  <c r="I4" i="18" s="1"/>
  <c r="I7" i="18"/>
  <c r="I11" i="18"/>
  <c r="C23" i="19"/>
  <c r="C4" i="19"/>
  <c r="K288" i="3"/>
  <c r="K171" i="3"/>
  <c r="K287" i="3"/>
  <c r="K168" i="3"/>
  <c r="K176" i="3"/>
  <c r="N176" i="3" s="1"/>
  <c r="K167" i="3"/>
  <c r="N167" i="3" s="1"/>
  <c r="K173" i="3"/>
  <c r="K284" i="3"/>
  <c r="N284" i="3" s="1"/>
  <c r="K182" i="3"/>
  <c r="M182" i="3" s="1"/>
  <c r="K290" i="3"/>
  <c r="K170" i="3"/>
  <c r="K169" i="3"/>
  <c r="K276" i="3"/>
  <c r="M276" i="3" s="1"/>
  <c r="K275" i="3"/>
  <c r="N275" i="3" s="1"/>
  <c r="K277" i="3"/>
  <c r="K278" i="3"/>
  <c r="K279" i="3"/>
  <c r="M279" i="3" s="1"/>
  <c r="K281" i="3"/>
  <c r="M281" i="3" s="1"/>
  <c r="H266" i="3"/>
  <c r="G272" i="3"/>
  <c r="J272" i="3" s="1"/>
  <c r="H272" i="3"/>
  <c r="G271" i="3"/>
  <c r="J271" i="3" s="1"/>
  <c r="G269" i="3"/>
  <c r="J269" i="3" s="1"/>
  <c r="G266" i="3"/>
  <c r="J266" i="3" s="1"/>
  <c r="M266" i="3" s="1"/>
  <c r="D13" i="18"/>
  <c r="V182" i="3" s="1"/>
  <c r="D5" i="18"/>
  <c r="V175" i="3" s="1"/>
  <c r="E12" i="18"/>
  <c r="E7" i="18"/>
  <c r="D12" i="18"/>
  <c r="E9" i="18"/>
  <c r="D11" i="18"/>
  <c r="V181" i="3" s="1"/>
  <c r="D3" i="18"/>
  <c r="E6" i="18"/>
  <c r="D10" i="18"/>
  <c r="V180" i="3" s="1"/>
  <c r="E11" i="18"/>
  <c r="E3" i="18"/>
  <c r="D2" i="18"/>
  <c r="D9" i="18"/>
  <c r="V179" i="3" s="1"/>
  <c r="D68" i="18"/>
  <c r="D7" i="18" s="1"/>
  <c r="V177" i="3" s="1"/>
  <c r="E13" i="18"/>
  <c r="E5" i="18"/>
  <c r="E10" i="18"/>
  <c r="D122" i="18"/>
  <c r="F122" i="18" s="1"/>
  <c r="D113" i="18"/>
  <c r="F113" i="18" s="1"/>
  <c r="F5" i="4"/>
  <c r="H29" i="4"/>
  <c r="G5" i="4"/>
  <c r="I5" i="4" s="1"/>
  <c r="E4" i="4"/>
  <c r="I4" i="4" s="1"/>
  <c r="H43" i="4"/>
  <c r="I28" i="4"/>
  <c r="H28" i="4"/>
  <c r="H27" i="4"/>
  <c r="I29" i="4"/>
  <c r="H46" i="4"/>
  <c r="H44" i="4"/>
  <c r="H45" i="4"/>
  <c r="D11" i="15"/>
  <c r="E11" i="12"/>
  <c r="D11" i="12"/>
  <c r="C11" i="12"/>
  <c r="O72" i="12"/>
  <c r="K72" i="12"/>
  <c r="J72" i="12"/>
  <c r="H72" i="12"/>
  <c r="F72" i="12"/>
  <c r="D72" i="12"/>
  <c r="L70" i="12"/>
  <c r="L72" i="12" s="1"/>
  <c r="M70" i="12"/>
  <c r="Q70" i="12" s="1"/>
  <c r="E10" i="14"/>
  <c r="F9" i="14"/>
  <c r="E9" i="14"/>
  <c r="G124" i="9"/>
  <c r="F11" i="9" s="1"/>
  <c r="G122" i="9"/>
  <c r="F10" i="9" s="1"/>
  <c r="G11" i="9"/>
  <c r="E11" i="9"/>
  <c r="D11" i="9"/>
  <c r="H86" i="3"/>
  <c r="H203" i="3" s="1"/>
  <c r="G86" i="3"/>
  <c r="G203" i="3" s="1"/>
  <c r="J203" i="3" s="1"/>
  <c r="M203" i="3" s="1"/>
  <c r="G89" i="3"/>
  <c r="G206" i="3" s="1"/>
  <c r="J206" i="3" s="1"/>
  <c r="G90" i="3"/>
  <c r="G207" i="3" s="1"/>
  <c r="J207" i="3" s="1"/>
  <c r="H113" i="3"/>
  <c r="G113" i="3"/>
  <c r="C53" i="19"/>
  <c r="L271" i="16"/>
  <c r="C149" i="16" s="1"/>
  <c r="L272" i="16"/>
  <c r="C150" i="16" s="1"/>
  <c r="L273" i="16"/>
  <c r="C151" i="16" s="1"/>
  <c r="L274" i="16"/>
  <c r="C152" i="16" s="1"/>
  <c r="L276" i="16"/>
  <c r="C154" i="16" s="1"/>
  <c r="L277" i="16"/>
  <c r="C155" i="16" s="1"/>
  <c r="L278" i="16"/>
  <c r="L279" i="16"/>
  <c r="C156" i="16" s="1"/>
  <c r="L280" i="16"/>
  <c r="C173" i="16" s="1"/>
  <c r="L281" i="16"/>
  <c r="C157" i="16" s="1"/>
  <c r="L282" i="16"/>
  <c r="C158" i="16" s="1"/>
  <c r="L283" i="16"/>
  <c r="C159" i="16" s="1"/>
  <c r="L284" i="16"/>
  <c r="C160" i="16" s="1"/>
  <c r="L285" i="16"/>
  <c r="C174" i="16" s="1"/>
  <c r="L286" i="16"/>
  <c r="C161" i="16" s="1"/>
  <c r="L287" i="16"/>
  <c r="C162" i="16" s="1"/>
  <c r="L288" i="16"/>
  <c r="C163" i="16" s="1"/>
  <c r="L289" i="16"/>
  <c r="C164" i="16" s="1"/>
  <c r="L290" i="16"/>
  <c r="C165" i="16" s="1"/>
  <c r="L291" i="16"/>
  <c r="C175" i="16" s="1"/>
  <c r="L292" i="16"/>
  <c r="C166" i="16" s="1"/>
  <c r="L293" i="16"/>
  <c r="C167" i="16" s="1"/>
  <c r="L294" i="16"/>
  <c r="L295" i="16"/>
  <c r="L296" i="16"/>
  <c r="C169" i="16" s="1"/>
  <c r="L297" i="16"/>
  <c r="L298" i="16"/>
  <c r="C170" i="16" s="1"/>
  <c r="L299" i="16"/>
  <c r="L300" i="16"/>
  <c r="L301" i="16"/>
  <c r="L302" i="16"/>
  <c r="L303" i="16"/>
  <c r="L304" i="16"/>
  <c r="L270" i="16"/>
  <c r="C148" i="16" s="1"/>
  <c r="H5" i="4" l="1"/>
  <c r="G6" i="6" s="1"/>
  <c r="M287" i="3"/>
  <c r="M288" i="3"/>
  <c r="M277" i="3"/>
  <c r="M173" i="3"/>
  <c r="M290" i="3"/>
  <c r="M278" i="3"/>
  <c r="M171" i="3"/>
  <c r="M168" i="3"/>
  <c r="J169" i="3"/>
  <c r="M169" i="3" s="1"/>
  <c r="J172" i="3"/>
  <c r="J170" i="3"/>
  <c r="M170" i="3" s="1"/>
  <c r="K172" i="3"/>
  <c r="K280" i="3"/>
  <c r="M280" i="3" s="1"/>
  <c r="C10" i="19"/>
  <c r="D4" i="18"/>
  <c r="V174" i="3" s="1"/>
  <c r="C168" i="16"/>
  <c r="G9" i="18"/>
  <c r="H179" i="3" s="1"/>
  <c r="E4" i="18"/>
  <c r="G4" i="18" s="1"/>
  <c r="H174" i="3" s="1"/>
  <c r="H264" i="3" s="1"/>
  <c r="Q72" i="12"/>
  <c r="R70" i="12"/>
  <c r="R72" i="12" s="1"/>
  <c r="G11" i="18"/>
  <c r="H181" i="3" s="1"/>
  <c r="M72" i="12"/>
  <c r="G7" i="18"/>
  <c r="H177" i="3" s="1"/>
  <c r="G5" i="18"/>
  <c r="H175" i="3" s="1"/>
  <c r="G8" i="18"/>
  <c r="H178" i="3" s="1"/>
  <c r="H6" i="6"/>
  <c r="F5" i="12"/>
  <c r="H166" i="3"/>
  <c r="G2" i="18"/>
  <c r="F2" i="18"/>
  <c r="H4" i="18"/>
  <c r="F10" i="18"/>
  <c r="G180" i="3" s="1"/>
  <c r="J180" i="3" s="1"/>
  <c r="G10" i="18"/>
  <c r="H180" i="3" s="1"/>
  <c r="F5" i="18"/>
  <c r="G175" i="3" s="1"/>
  <c r="J175" i="3" s="1"/>
  <c r="M175" i="3" s="1"/>
  <c r="F7" i="18"/>
  <c r="G177" i="3" s="1"/>
  <c r="J177" i="3" s="1"/>
  <c r="F8" i="18"/>
  <c r="G178" i="3" s="1"/>
  <c r="J178" i="3" s="1"/>
  <c r="C176" i="16"/>
  <c r="C172" i="16"/>
  <c r="C32" i="19" s="1"/>
  <c r="C171" i="16"/>
  <c r="K203" i="3"/>
  <c r="N203" i="3" s="1"/>
  <c r="K272" i="3"/>
  <c r="M272" i="3" s="1"/>
  <c r="K266" i="3"/>
  <c r="N266" i="3" s="1"/>
  <c r="H185" i="3"/>
  <c r="G185" i="3"/>
  <c r="J185" i="3" s="1"/>
  <c r="M185" i="3" s="1"/>
  <c r="G189" i="3"/>
  <c r="J189" i="3" s="1"/>
  <c r="C42" i="19"/>
  <c r="C52" i="19"/>
  <c r="D69" i="18"/>
  <c r="D2" i="4"/>
  <c r="D10" i="8"/>
  <c r="D11" i="8"/>
  <c r="D13" i="8"/>
  <c r="D14" i="8"/>
  <c r="D124" i="9"/>
  <c r="C11" i="9" s="1"/>
  <c r="F94" i="14"/>
  <c r="F100" i="14"/>
  <c r="E5" i="12" l="1"/>
  <c r="G166" i="3"/>
  <c r="J166" i="3" s="1"/>
  <c r="M166" i="3" s="1"/>
  <c r="F4" i="18"/>
  <c r="G174" i="3" s="1"/>
  <c r="J174" i="3" s="1"/>
  <c r="M174" i="3" s="1"/>
  <c r="M172" i="3"/>
  <c r="K174" i="3"/>
  <c r="N174" i="3" s="1"/>
  <c r="H269" i="3"/>
  <c r="K179" i="3"/>
  <c r="M179" i="3" s="1"/>
  <c r="D4" i="4"/>
  <c r="H2" i="4"/>
  <c r="K180" i="3"/>
  <c r="M180" i="3" s="1"/>
  <c r="H270" i="3"/>
  <c r="K175" i="3"/>
  <c r="N175" i="3" s="1"/>
  <c r="H265" i="3"/>
  <c r="K181" i="3"/>
  <c r="M181" i="3" s="1"/>
  <c r="H271" i="3"/>
  <c r="H268" i="3"/>
  <c r="K178" i="3"/>
  <c r="M178" i="3" s="1"/>
  <c r="G268" i="3"/>
  <c r="J268" i="3" s="1"/>
  <c r="G270" i="3"/>
  <c r="J270" i="3" s="1"/>
  <c r="H274" i="3"/>
  <c r="K166" i="3"/>
  <c r="N166" i="3" s="1"/>
  <c r="K177" i="3"/>
  <c r="M177" i="3" s="1"/>
  <c r="H267" i="3"/>
  <c r="G265" i="3"/>
  <c r="J265" i="3" s="1"/>
  <c r="M265" i="3" s="1"/>
  <c r="G267" i="3"/>
  <c r="J267" i="3" s="1"/>
  <c r="K185" i="3"/>
  <c r="N185" i="3" s="1"/>
  <c r="K264" i="3"/>
  <c r="N264" i="3" s="1"/>
  <c r="C12" i="7"/>
  <c r="D122" i="9"/>
  <c r="F99" i="14"/>
  <c r="G100" i="14" s="1"/>
  <c r="C9" i="14"/>
  <c r="G274" i="3" l="1"/>
  <c r="J274" i="3" s="1"/>
  <c r="M274" i="3" s="1"/>
  <c r="G264" i="3"/>
  <c r="J264" i="3" s="1"/>
  <c r="M264" i="3" s="1"/>
  <c r="K269" i="3"/>
  <c r="M269" i="3" s="1"/>
  <c r="K268" i="3"/>
  <c r="M268" i="3" s="1"/>
  <c r="K265" i="3"/>
  <c r="N265" i="3" s="1"/>
  <c r="K267" i="3"/>
  <c r="M267" i="3" s="1"/>
  <c r="K274" i="3"/>
  <c r="N274" i="3" s="1"/>
  <c r="K271" i="3"/>
  <c r="M271" i="3" s="1"/>
  <c r="K270" i="3"/>
  <c r="M270" i="3" s="1"/>
  <c r="H4" i="4"/>
  <c r="V165" i="3"/>
  <c r="M100" i="14"/>
  <c r="D9" i="14"/>
  <c r="C10" i="14"/>
  <c r="G99" i="14"/>
  <c r="D10" i="14" s="1"/>
  <c r="C14" i="7"/>
  <c r="F169" i="3"/>
  <c r="W169" i="3" s="1"/>
  <c r="X169" i="3" s="1"/>
  <c r="F142" i="3"/>
  <c r="F97" i="3"/>
  <c r="F160" i="3"/>
  <c r="F88" i="3"/>
  <c r="F133" i="3"/>
  <c r="F106" i="3"/>
  <c r="F124" i="3"/>
  <c r="F115" i="3"/>
  <c r="F151" i="3"/>
  <c r="F141" i="3"/>
  <c r="F96" i="3"/>
  <c r="F159" i="3"/>
  <c r="F69" i="3"/>
  <c r="F87" i="3"/>
  <c r="F132" i="3"/>
  <c r="F105" i="3"/>
  <c r="F148" i="3"/>
  <c r="F112" i="3"/>
  <c r="F121" i="3"/>
  <c r="F103" i="3"/>
  <c r="F130" i="3"/>
  <c r="F85" i="3"/>
  <c r="F76" i="3"/>
  <c r="F67" i="3"/>
  <c r="F157" i="3"/>
  <c r="F94" i="3"/>
  <c r="F147" i="3"/>
  <c r="F111" i="3"/>
  <c r="F120" i="3"/>
  <c r="F102" i="3"/>
  <c r="F129" i="3"/>
  <c r="F84" i="3"/>
  <c r="F75" i="3"/>
  <c r="F66" i="3"/>
  <c r="F156" i="3"/>
  <c r="F93" i="3"/>
  <c r="F138" i="3"/>
  <c r="C72" i="1"/>
  <c r="E12" i="1" s="1"/>
  <c r="D72" i="1"/>
  <c r="F12" i="1" s="1"/>
  <c r="C71" i="1"/>
  <c r="E14" i="1" s="1"/>
  <c r="D71" i="1"/>
  <c r="B71" i="1"/>
  <c r="B72" i="1"/>
  <c r="D12" i="1" s="1"/>
  <c r="B74" i="1"/>
  <c r="D74" i="1"/>
  <c r="F11" i="1" s="1"/>
  <c r="C74" i="1"/>
  <c r="D73" i="1"/>
  <c r="F10" i="1" s="1"/>
  <c r="C73" i="1"/>
  <c r="B73" i="1"/>
  <c r="D10" i="1" s="1"/>
  <c r="F4" i="1"/>
  <c r="F3" i="1"/>
  <c r="F13" i="1"/>
  <c r="F9" i="1"/>
  <c r="F8" i="1"/>
  <c r="F7" i="1"/>
  <c r="F6" i="1"/>
  <c r="E4" i="1"/>
  <c r="E3" i="1"/>
  <c r="E13" i="1"/>
  <c r="E9" i="1"/>
  <c r="E8" i="1"/>
  <c r="E7" i="1"/>
  <c r="E6" i="1"/>
  <c r="D4" i="1"/>
  <c r="D3" i="1"/>
  <c r="D14" i="1"/>
  <c r="D13" i="1"/>
  <c r="D8" i="1"/>
  <c r="D7" i="1"/>
  <c r="D6" i="1"/>
  <c r="C13" i="1"/>
  <c r="C7" i="1"/>
  <c r="C6" i="1"/>
  <c r="M271" i="16"/>
  <c r="C178" i="16" s="1"/>
  <c r="M272" i="16"/>
  <c r="C179" i="16" s="1"/>
  <c r="M273" i="16"/>
  <c r="C180" i="16" s="1"/>
  <c r="M274" i="16"/>
  <c r="M275" i="16"/>
  <c r="M276" i="16"/>
  <c r="M277" i="16"/>
  <c r="C184" i="16" s="1"/>
  <c r="M278" i="16"/>
  <c r="M279" i="16"/>
  <c r="C185" i="16" s="1"/>
  <c r="M280" i="16"/>
  <c r="C202" i="16" s="1"/>
  <c r="M281" i="16"/>
  <c r="M282" i="16"/>
  <c r="M283" i="16"/>
  <c r="C188" i="16" s="1"/>
  <c r="M284" i="16"/>
  <c r="M285" i="16"/>
  <c r="C203" i="16" s="1"/>
  <c r="M286" i="16"/>
  <c r="M287" i="16"/>
  <c r="M288" i="16"/>
  <c r="C192" i="16" s="1"/>
  <c r="M289" i="16"/>
  <c r="C193" i="16" s="1"/>
  <c r="M290" i="16"/>
  <c r="M291" i="16"/>
  <c r="C204" i="16" s="1"/>
  <c r="M292" i="16"/>
  <c r="M293" i="16"/>
  <c r="C196" i="16" s="1"/>
  <c r="M294" i="16"/>
  <c r="M295" i="16"/>
  <c r="M296" i="16"/>
  <c r="C198" i="16" s="1"/>
  <c r="M297" i="16"/>
  <c r="M298" i="16"/>
  <c r="C199" i="16" s="1"/>
  <c r="M299" i="16"/>
  <c r="M300" i="16"/>
  <c r="M301" i="16"/>
  <c r="M302" i="16"/>
  <c r="M303" i="16"/>
  <c r="M304" i="16"/>
  <c r="M270" i="16"/>
  <c r="C177" i="16" s="1"/>
  <c r="N270" i="16"/>
  <c r="C206" i="16" s="1"/>
  <c r="N271" i="16"/>
  <c r="C207" i="16" s="1"/>
  <c r="N272" i="16"/>
  <c r="C208" i="16" s="1"/>
  <c r="N273" i="16"/>
  <c r="C209" i="16" s="1"/>
  <c r="F154" i="3"/>
  <c r="N274" i="16"/>
  <c r="C210" i="16" s="1"/>
  <c r="N275" i="16"/>
  <c r="C211" i="16" s="1"/>
  <c r="F127" i="3"/>
  <c r="N276" i="16"/>
  <c r="C212" i="16" s="1"/>
  <c r="N277" i="16"/>
  <c r="C213" i="16" s="1"/>
  <c r="N278" i="16"/>
  <c r="N279" i="16"/>
  <c r="C214" i="16" s="1"/>
  <c r="N280" i="16"/>
  <c r="C231" i="16" s="1"/>
  <c r="F109" i="3"/>
  <c r="N281" i="16"/>
  <c r="C215" i="16" s="1"/>
  <c r="F136" i="3"/>
  <c r="N282" i="16"/>
  <c r="C216" i="16" s="1"/>
  <c r="N283" i="16"/>
  <c r="C217" i="16" s="1"/>
  <c r="F91" i="3"/>
  <c r="N284" i="16"/>
  <c r="C218" i="16" s="1"/>
  <c r="N285" i="16"/>
  <c r="C232" i="16" s="1"/>
  <c r="F82" i="3"/>
  <c r="N286" i="16"/>
  <c r="C219" i="16" s="1"/>
  <c r="G72" i="1"/>
  <c r="I72" i="1" s="1"/>
  <c r="C12" i="1" s="1"/>
  <c r="N287" i="16"/>
  <c r="C220" i="16" s="1"/>
  <c r="N288" i="16"/>
  <c r="C221" i="16" s="1"/>
  <c r="N289" i="16"/>
  <c r="C222" i="16" s="1"/>
  <c r="F163" i="3"/>
  <c r="N290" i="16"/>
  <c r="C223" i="16" s="1"/>
  <c r="N291" i="16"/>
  <c r="C233" i="16" s="1"/>
  <c r="F100" i="3"/>
  <c r="N292" i="16"/>
  <c r="C224" i="16" s="1"/>
  <c r="N293" i="16"/>
  <c r="C225" i="16" s="1"/>
  <c r="F145" i="3"/>
  <c r="N294" i="16"/>
  <c r="N295" i="16"/>
  <c r="N296" i="16"/>
  <c r="C227" i="16" s="1"/>
  <c r="N297" i="16"/>
  <c r="N298" i="16"/>
  <c r="C228" i="16" s="1"/>
  <c r="N299" i="16"/>
  <c r="N300" i="16"/>
  <c r="N301" i="16"/>
  <c r="N302" i="16"/>
  <c r="N303" i="16"/>
  <c r="N304" i="16"/>
  <c r="K271" i="16"/>
  <c r="C120" i="16" s="1"/>
  <c r="K272" i="16"/>
  <c r="C121" i="16" s="1"/>
  <c r="K273" i="16"/>
  <c r="C122" i="16" s="1"/>
  <c r="K274" i="16"/>
  <c r="K275" i="16"/>
  <c r="K276" i="16"/>
  <c r="K277" i="16"/>
  <c r="C126" i="16" s="1"/>
  <c r="K278" i="16"/>
  <c r="K279" i="16"/>
  <c r="C127" i="16" s="1"/>
  <c r="K280" i="16"/>
  <c r="C144" i="16" s="1"/>
  <c r="K281" i="16"/>
  <c r="K282" i="16"/>
  <c r="K283" i="16"/>
  <c r="C130" i="16" s="1"/>
  <c r="K284" i="16"/>
  <c r="K285" i="16"/>
  <c r="C145" i="16" s="1"/>
  <c r="K286" i="16"/>
  <c r="C132" i="16" s="1"/>
  <c r="K287" i="16"/>
  <c r="K288" i="16"/>
  <c r="C134" i="16" s="1"/>
  <c r="K289" i="16"/>
  <c r="C135" i="16" s="1"/>
  <c r="K290" i="16"/>
  <c r="K291" i="16"/>
  <c r="C146" i="16" s="1"/>
  <c r="K292" i="16"/>
  <c r="K293" i="16"/>
  <c r="C138" i="16" s="1"/>
  <c r="K294" i="16"/>
  <c r="K295" i="16"/>
  <c r="K296" i="16"/>
  <c r="C140" i="16" s="1"/>
  <c r="K297" i="16"/>
  <c r="K298" i="16"/>
  <c r="C141" i="16" s="1"/>
  <c r="K299" i="16"/>
  <c r="K300" i="16"/>
  <c r="K301" i="16"/>
  <c r="K302" i="16"/>
  <c r="K303" i="16"/>
  <c r="K304" i="16"/>
  <c r="K270" i="16"/>
  <c r="C119" i="16" s="1"/>
  <c r="N71" i="1" l="1"/>
  <c r="H10" i="1"/>
  <c r="E72" i="1"/>
  <c r="O72" i="1" s="1"/>
  <c r="E73" i="1"/>
  <c r="O73" i="1" s="1"/>
  <c r="N74" i="1"/>
  <c r="C226" i="16"/>
  <c r="F143" i="3" s="1"/>
  <c r="F14" i="1"/>
  <c r="M74" i="1"/>
  <c r="L74" i="1" s="1"/>
  <c r="E10" i="1"/>
  <c r="M73" i="1"/>
  <c r="M72" i="1"/>
  <c r="N73" i="1"/>
  <c r="N72" i="1"/>
  <c r="E71" i="1"/>
  <c r="O71" i="1" s="1"/>
  <c r="M71" i="1"/>
  <c r="C234" i="16"/>
  <c r="C230" i="16"/>
  <c r="C205" i="16"/>
  <c r="C201" i="16"/>
  <c r="C31" i="19" s="1"/>
  <c r="C147" i="16"/>
  <c r="C143" i="16"/>
  <c r="C34" i="19" s="1"/>
  <c r="C229" i="16"/>
  <c r="C139" i="16"/>
  <c r="F146" i="3" s="1"/>
  <c r="G74" i="1"/>
  <c r="I74" i="1" s="1"/>
  <c r="C11" i="1" s="1"/>
  <c r="C191" i="16"/>
  <c r="C197" i="16"/>
  <c r="F144" i="3" s="1"/>
  <c r="C190" i="16"/>
  <c r="F81" i="3" s="1"/>
  <c r="C125" i="16"/>
  <c r="F128" i="3" s="1"/>
  <c r="C137" i="16"/>
  <c r="F101" i="3" s="1"/>
  <c r="C131" i="16"/>
  <c r="F92" i="3" s="1"/>
  <c r="C124" i="16"/>
  <c r="F119" i="3" s="1"/>
  <c r="C195" i="16"/>
  <c r="F99" i="3" s="1"/>
  <c r="C189" i="16"/>
  <c r="C183" i="16"/>
  <c r="G71" i="1"/>
  <c r="I71" i="1" s="1"/>
  <c r="C14" i="1" s="1"/>
  <c r="G14" i="1" s="1"/>
  <c r="C133" i="16"/>
  <c r="C136" i="16"/>
  <c r="F164" i="3" s="1"/>
  <c r="C129" i="16"/>
  <c r="F137" i="3" s="1"/>
  <c r="C123" i="16"/>
  <c r="C182" i="16"/>
  <c r="F117" i="3" s="1"/>
  <c r="C142" i="16"/>
  <c r="C128" i="16"/>
  <c r="F110" i="3" s="1"/>
  <c r="C194" i="16"/>
  <c r="F162" i="3" s="1"/>
  <c r="C187" i="16"/>
  <c r="F135" i="3" s="1"/>
  <c r="C181" i="16"/>
  <c r="F153" i="3" s="1"/>
  <c r="C200" i="16"/>
  <c r="C186" i="16"/>
  <c r="C19" i="19"/>
  <c r="C6" i="19" s="1"/>
  <c r="F286" i="3"/>
  <c r="C18" i="19"/>
  <c r="C16" i="19"/>
  <c r="C3" i="19" s="1"/>
  <c r="F283" i="3"/>
  <c r="C15" i="19"/>
  <c r="C2" i="19" s="1"/>
  <c r="F282" i="3"/>
  <c r="F247" i="3"/>
  <c r="F254" i="3"/>
  <c r="F253" i="3"/>
  <c r="F250" i="3"/>
  <c r="F252" i="3"/>
  <c r="F249" i="3"/>
  <c r="F246" i="3"/>
  <c r="F217" i="3"/>
  <c r="F273" i="3"/>
  <c r="F277" i="3"/>
  <c r="F227" i="3"/>
  <c r="F181" i="3"/>
  <c r="F192" i="3"/>
  <c r="F210" i="3"/>
  <c r="F175" i="3"/>
  <c r="W175" i="3" s="1"/>
  <c r="X175" i="3" s="1"/>
  <c r="F168" i="3"/>
  <c r="F79" i="3"/>
  <c r="F259" i="3"/>
  <c r="F209" i="3"/>
  <c r="F218" i="3"/>
  <c r="F172" i="3"/>
  <c r="F235" i="3"/>
  <c r="F268" i="3"/>
  <c r="F200" i="3"/>
  <c r="F263" i="3"/>
  <c r="F245" i="3"/>
  <c r="F182" i="3"/>
  <c r="F234" i="3"/>
  <c r="F270" i="3"/>
  <c r="F201" i="3"/>
  <c r="F193" i="3"/>
  <c r="F211" i="3"/>
  <c r="F240" i="3"/>
  <c r="F276" i="3"/>
  <c r="F70" i="3"/>
  <c r="F204" i="3"/>
  <c r="F83" i="3"/>
  <c r="F244" i="3"/>
  <c r="F208" i="3"/>
  <c r="F189" i="3"/>
  <c r="F165" i="3"/>
  <c r="W165" i="3" s="1"/>
  <c r="X165" i="3" s="1"/>
  <c r="F274" i="3"/>
  <c r="F238" i="3"/>
  <c r="F265" i="3"/>
  <c r="F196" i="3"/>
  <c r="F205" i="3"/>
  <c r="F264" i="3"/>
  <c r="F202" i="3"/>
  <c r="F241" i="3"/>
  <c r="F236" i="3"/>
  <c r="F272" i="3"/>
  <c r="F190" i="3"/>
  <c r="F199" i="3"/>
  <c r="F171" i="3"/>
  <c r="F255" i="3"/>
  <c r="F166" i="3"/>
  <c r="W166" i="3" s="1"/>
  <c r="X166" i="3" s="1"/>
  <c r="F214" i="3"/>
  <c r="F262" i="3"/>
  <c r="F198" i="3"/>
  <c r="F225" i="3"/>
  <c r="F256" i="3"/>
  <c r="F186" i="3"/>
  <c r="F231" i="3"/>
  <c r="F178" i="3"/>
  <c r="W178" i="3" s="1"/>
  <c r="X178" i="3" s="1"/>
  <c r="F237" i="3"/>
  <c r="F191" i="3"/>
  <c r="F271" i="3"/>
  <c r="F226" i="3"/>
  <c r="F261" i="3"/>
  <c r="F243" i="3"/>
  <c r="F180" i="3"/>
  <c r="F228" i="3"/>
  <c r="F183" i="3"/>
  <c r="F219" i="3"/>
  <c r="F223" i="3"/>
  <c r="F187" i="3"/>
  <c r="F232" i="3"/>
  <c r="F173" i="3"/>
  <c r="F207" i="3"/>
  <c r="F216" i="3"/>
  <c r="F174" i="3"/>
  <c r="W174" i="3" s="1"/>
  <c r="X174" i="3" s="1"/>
  <c r="F229" i="3"/>
  <c r="F184" i="3"/>
  <c r="F220" i="3"/>
  <c r="F78" i="3"/>
  <c r="F258" i="3"/>
  <c r="C40" i="19"/>
  <c r="C50" i="19"/>
  <c r="C30" i="19"/>
  <c r="C51" i="19"/>
  <c r="C41" i="19"/>
  <c r="C54" i="19"/>
  <c r="C44" i="19"/>
  <c r="O100" i="14"/>
  <c r="M99" i="14"/>
  <c r="F98" i="3"/>
  <c r="F152" i="3"/>
  <c r="G73" i="1"/>
  <c r="I73" i="1" s="1"/>
  <c r="C10" i="1" s="1"/>
  <c r="G10" i="1" s="1"/>
  <c r="F116" i="3"/>
  <c r="F134" i="3"/>
  <c r="F170" i="3"/>
  <c r="W170" i="3" s="1"/>
  <c r="X170" i="3" s="1"/>
  <c r="F161" i="3"/>
  <c r="F80" i="3"/>
  <c r="F107" i="3"/>
  <c r="F125" i="3"/>
  <c r="W181" i="3" l="1"/>
  <c r="X181" i="3" s="1"/>
  <c r="W180" i="3"/>
  <c r="X180" i="3" s="1"/>
  <c r="W182" i="3"/>
  <c r="X182" i="3" s="1"/>
  <c r="W171" i="3"/>
  <c r="X171" i="3" s="1"/>
  <c r="W173" i="3"/>
  <c r="X173" i="3" s="1"/>
  <c r="W172" i="3"/>
  <c r="X172" i="3" s="1"/>
  <c r="W168" i="3"/>
  <c r="X168" i="3" s="1"/>
  <c r="F155" i="3"/>
  <c r="F108" i="3"/>
  <c r="F90" i="3"/>
  <c r="F126" i="3"/>
  <c r="C20" i="19"/>
  <c r="C7" i="19" s="1"/>
  <c r="F287" i="3"/>
  <c r="C21" i="19"/>
  <c r="C8" i="19" s="1"/>
  <c r="F288" i="3"/>
  <c r="C22" i="19"/>
  <c r="C9" i="19" s="1"/>
  <c r="F289" i="3"/>
  <c r="C24" i="19"/>
  <c r="C11" i="19" s="1"/>
  <c r="F290" i="3"/>
  <c r="F251" i="3"/>
  <c r="F269" i="3"/>
  <c r="F206" i="3"/>
  <c r="F278" i="3"/>
  <c r="F242" i="3"/>
  <c r="E48" i="3"/>
  <c r="F71" i="3"/>
  <c r="F281" i="3"/>
  <c r="E51" i="3"/>
  <c r="F260" i="3"/>
  <c r="F233" i="3"/>
  <c r="F72" i="3"/>
  <c r="F89" i="3"/>
  <c r="F197" i="3"/>
  <c r="E47" i="3"/>
  <c r="F279" i="3"/>
  <c r="F215" i="3"/>
  <c r="F73" i="3"/>
  <c r="F74" i="3"/>
  <c r="F179" i="3"/>
  <c r="F224" i="3"/>
  <c r="F188" i="3"/>
  <c r="F280" i="3"/>
  <c r="I99" i="14"/>
  <c r="F10" i="14" s="1"/>
  <c r="O99" i="14"/>
  <c r="D11" i="1"/>
  <c r="H11" i="1" s="1"/>
  <c r="E157" i="3"/>
  <c r="E158" i="3"/>
  <c r="V158" i="3"/>
  <c r="W158" i="3" s="1"/>
  <c r="X158" i="3" s="1"/>
  <c r="G158" i="3"/>
  <c r="H158" i="3"/>
  <c r="E159" i="3"/>
  <c r="E160" i="3"/>
  <c r="E161" i="3"/>
  <c r="E162" i="3"/>
  <c r="E163" i="3"/>
  <c r="E164" i="3"/>
  <c r="E156" i="3"/>
  <c r="H97" i="15"/>
  <c r="I97" i="15"/>
  <c r="D10" i="15" s="1"/>
  <c r="O94" i="15"/>
  <c r="O90" i="15"/>
  <c r="O97" i="15" l="1"/>
  <c r="J158" i="3"/>
  <c r="M158" i="3" s="1"/>
  <c r="W179" i="3"/>
  <c r="X179" i="3" s="1"/>
  <c r="W126" i="3"/>
  <c r="X126" i="3" s="1"/>
  <c r="W89" i="3"/>
  <c r="X89" i="3" s="1"/>
  <c r="E53" i="3"/>
  <c r="E52" i="3"/>
  <c r="E55" i="3"/>
  <c r="K158" i="3"/>
  <c r="N158" i="3" s="1"/>
  <c r="D23" i="19"/>
  <c r="G23" i="19" s="1"/>
  <c r="E17" i="19"/>
  <c r="H17" i="19" s="1"/>
  <c r="H248" i="3"/>
  <c r="E23" i="19"/>
  <c r="H23" i="19" s="1"/>
  <c r="D17" i="19"/>
  <c r="G17" i="19" s="1"/>
  <c r="G248" i="3"/>
  <c r="J248" i="3" s="1"/>
  <c r="M248" i="3" s="1"/>
  <c r="E11" i="1"/>
  <c r="G11" i="1" s="1"/>
  <c r="E74" i="1"/>
  <c r="O74" i="1" s="1"/>
  <c r="C11" i="15"/>
  <c r="V163" i="3" s="1"/>
  <c r="W163" i="3" s="1"/>
  <c r="X163" i="3" s="1"/>
  <c r="O93" i="15"/>
  <c r="E11" i="15"/>
  <c r="G163" i="3" s="1"/>
  <c r="J163" i="3" s="1"/>
  <c r="F11" i="15"/>
  <c r="H163" i="3" s="1"/>
  <c r="K163" i="3" s="1"/>
  <c r="M163" i="3" l="1"/>
  <c r="K248" i="3"/>
  <c r="N248" i="3" s="1"/>
  <c r="E22" i="19"/>
  <c r="H22" i="19" s="1"/>
  <c r="H253" i="3"/>
  <c r="D22" i="19"/>
  <c r="G22" i="19" s="1"/>
  <c r="G253" i="3"/>
  <c r="J253" i="3" s="1"/>
  <c r="N89" i="15"/>
  <c r="L89" i="15"/>
  <c r="F89" i="15"/>
  <c r="N82" i="15"/>
  <c r="L82" i="15"/>
  <c r="I82" i="15"/>
  <c r="D7" i="15" s="1"/>
  <c r="K253" i="3" l="1"/>
  <c r="M253" i="3" s="1"/>
  <c r="K82" i="15"/>
  <c r="F7" i="15" s="1"/>
  <c r="H159" i="3" s="1"/>
  <c r="M82" i="15"/>
  <c r="F82" i="15"/>
  <c r="N73" i="15"/>
  <c r="L73" i="15"/>
  <c r="F73" i="15"/>
  <c r="C10" i="15"/>
  <c r="V162" i="3" s="1"/>
  <c r="W162" i="3" s="1"/>
  <c r="X162" i="3" s="1"/>
  <c r="N68" i="15"/>
  <c r="L68" i="15"/>
  <c r="F68" i="15"/>
  <c r="F10" i="15"/>
  <c r="H162" i="3" s="1"/>
  <c r="E13" i="15"/>
  <c r="G164" i="3" s="1"/>
  <c r="J164" i="3" s="1"/>
  <c r="C13" i="15"/>
  <c r="V164" i="3" s="1"/>
  <c r="W164" i="3" s="1"/>
  <c r="X164" i="3" s="1"/>
  <c r="K47" i="15"/>
  <c r="H47" i="15"/>
  <c r="N61" i="15"/>
  <c r="L61" i="15"/>
  <c r="F61" i="15"/>
  <c r="N38" i="15"/>
  <c r="V149" i="3"/>
  <c r="W149" i="3" s="1"/>
  <c r="X149" i="3" s="1"/>
  <c r="G149" i="3"/>
  <c r="H149" i="3"/>
  <c r="V152" i="3"/>
  <c r="W152" i="3" s="1"/>
  <c r="X152" i="3" s="1"/>
  <c r="G152" i="3"/>
  <c r="H152" i="3"/>
  <c r="V153" i="3"/>
  <c r="W153" i="3" s="1"/>
  <c r="X153" i="3" s="1"/>
  <c r="G153" i="3"/>
  <c r="H153" i="3"/>
  <c r="E31" i="19" s="1"/>
  <c r="H31" i="19" s="1"/>
  <c r="V155" i="3"/>
  <c r="W155" i="3" s="1"/>
  <c r="X155" i="3" s="1"/>
  <c r="G155" i="3"/>
  <c r="E148" i="3"/>
  <c r="E149" i="3"/>
  <c r="E150" i="3"/>
  <c r="E151" i="3"/>
  <c r="E152" i="3"/>
  <c r="E153" i="3"/>
  <c r="E154" i="3"/>
  <c r="E155" i="3"/>
  <c r="J155" i="3" s="1"/>
  <c r="E147" i="3"/>
  <c r="E11" i="14"/>
  <c r="G154" i="3" s="1"/>
  <c r="H155" i="3"/>
  <c r="C11" i="14"/>
  <c r="V154" i="3" s="1"/>
  <c r="W154" i="3" s="1"/>
  <c r="X154" i="3" s="1"/>
  <c r="O94" i="14"/>
  <c r="M94" i="14"/>
  <c r="G94" i="14"/>
  <c r="D11" i="14" s="1"/>
  <c r="N82" i="14"/>
  <c r="N88" i="14"/>
  <c r="O88" i="14"/>
  <c r="M88" i="14"/>
  <c r="L88" i="14"/>
  <c r="J88" i="14"/>
  <c r="O82" i="14"/>
  <c r="M82" i="14"/>
  <c r="J82" i="14"/>
  <c r="F41" i="14"/>
  <c r="F42" i="14"/>
  <c r="F43" i="14"/>
  <c r="E34" i="14"/>
  <c r="O47" i="14"/>
  <c r="N47" i="14"/>
  <c r="N49" i="14" s="1"/>
  <c r="M47" i="14"/>
  <c r="L47" i="14"/>
  <c r="J47" i="14"/>
  <c r="D47" i="14"/>
  <c r="O38" i="14"/>
  <c r="M38" i="14"/>
  <c r="J38" i="14"/>
  <c r="F56" i="14"/>
  <c r="O57" i="14"/>
  <c r="M57" i="14"/>
  <c r="J57" i="14"/>
  <c r="F9" i="12"/>
  <c r="H143" i="3" s="1"/>
  <c r="H260" i="3" s="1"/>
  <c r="R67" i="12"/>
  <c r="Q67" i="12"/>
  <c r="O67" i="12"/>
  <c r="M67" i="12"/>
  <c r="D9" i="12" s="1"/>
  <c r="L67" i="12"/>
  <c r="K67" i="12"/>
  <c r="J67" i="12"/>
  <c r="C9" i="12" s="1"/>
  <c r="V143" i="3" s="1"/>
  <c r="W143" i="3" s="1"/>
  <c r="X143" i="3" s="1"/>
  <c r="H67" i="12"/>
  <c r="F67" i="12"/>
  <c r="R54" i="12"/>
  <c r="Q54" i="12"/>
  <c r="O54" i="12"/>
  <c r="M54" i="12"/>
  <c r="D8" i="12" s="1"/>
  <c r="L54" i="12"/>
  <c r="K54" i="12"/>
  <c r="H54" i="12"/>
  <c r="F54" i="12"/>
  <c r="D54" i="12"/>
  <c r="D67" i="12"/>
  <c r="E139" i="3"/>
  <c r="V139" i="3"/>
  <c r="W139" i="3" s="1"/>
  <c r="X139" i="3" s="1"/>
  <c r="G139" i="3"/>
  <c r="H139" i="3"/>
  <c r="E140" i="3"/>
  <c r="V140" i="3"/>
  <c r="W140" i="3" s="1"/>
  <c r="X140" i="3" s="1"/>
  <c r="G140" i="3"/>
  <c r="G257" i="3" s="1"/>
  <c r="J257" i="3" s="1"/>
  <c r="M257" i="3" s="1"/>
  <c r="H140" i="3"/>
  <c r="H257" i="3" s="1"/>
  <c r="E141" i="3"/>
  <c r="V141" i="3"/>
  <c r="W141" i="3" s="1"/>
  <c r="X141" i="3" s="1"/>
  <c r="G141" i="3"/>
  <c r="G258" i="3" s="1"/>
  <c r="J258" i="3" s="1"/>
  <c r="H141" i="3"/>
  <c r="H258" i="3" s="1"/>
  <c r="E142" i="3"/>
  <c r="E143" i="3"/>
  <c r="E144" i="3"/>
  <c r="V144" i="3"/>
  <c r="W144" i="3" s="1"/>
  <c r="X144" i="3" s="1"/>
  <c r="E145" i="3"/>
  <c r="G145" i="3"/>
  <c r="G262" i="3" s="1"/>
  <c r="J262" i="3" s="1"/>
  <c r="E146" i="3"/>
  <c r="V146" i="3"/>
  <c r="W146" i="3" s="1"/>
  <c r="X146" i="3" s="1"/>
  <c r="E138" i="3"/>
  <c r="J140" i="3" l="1"/>
  <c r="M140" i="3" s="1"/>
  <c r="J153" i="3"/>
  <c r="J141" i="3"/>
  <c r="J139" i="3"/>
  <c r="M139" i="3" s="1"/>
  <c r="J145" i="3"/>
  <c r="J149" i="3"/>
  <c r="M149" i="3" s="1"/>
  <c r="J154" i="3"/>
  <c r="J152" i="3"/>
  <c r="K139" i="3"/>
  <c r="N139" i="3" s="1"/>
  <c r="K153" i="3"/>
  <c r="K152" i="3"/>
  <c r="K141" i="3"/>
  <c r="K143" i="3"/>
  <c r="K140" i="3"/>
  <c r="N140" i="3" s="1"/>
  <c r="K149" i="3"/>
  <c r="N149" i="3" s="1"/>
  <c r="K155" i="3"/>
  <c r="M155" i="3" s="1"/>
  <c r="K162" i="3"/>
  <c r="K159" i="3"/>
  <c r="K260" i="3"/>
  <c r="K258" i="3"/>
  <c r="M258" i="3" s="1"/>
  <c r="K257" i="3"/>
  <c r="N257" i="3" s="1"/>
  <c r="G216" i="3"/>
  <c r="J216" i="3" s="1"/>
  <c r="G225" i="3"/>
  <c r="J225" i="3" s="1"/>
  <c r="D31" i="19"/>
  <c r="G31" i="19" s="1"/>
  <c r="G254" i="3"/>
  <c r="J254" i="3" s="1"/>
  <c r="D24" i="19"/>
  <c r="G24" i="19" s="1"/>
  <c r="E21" i="19"/>
  <c r="H21" i="19" s="1"/>
  <c r="H252" i="3"/>
  <c r="D34" i="19"/>
  <c r="G34" i="19" s="1"/>
  <c r="G227" i="3"/>
  <c r="J227" i="3" s="1"/>
  <c r="G218" i="3"/>
  <c r="J218" i="3" s="1"/>
  <c r="H215" i="3"/>
  <c r="E30" i="19"/>
  <c r="H30" i="19" s="1"/>
  <c r="H224" i="3"/>
  <c r="E18" i="19"/>
  <c r="H18" i="19" s="1"/>
  <c r="H249" i="3"/>
  <c r="D30" i="19"/>
  <c r="G30" i="19" s="1"/>
  <c r="G224" i="3"/>
  <c r="J224" i="3" s="1"/>
  <c r="G215" i="3"/>
  <c r="J215" i="3" s="1"/>
  <c r="E33" i="19"/>
  <c r="H33" i="19" s="1"/>
  <c r="D33" i="19"/>
  <c r="G33" i="19" s="1"/>
  <c r="H212" i="3"/>
  <c r="E27" i="19"/>
  <c r="H27" i="19" s="1"/>
  <c r="H221" i="3"/>
  <c r="E34" i="19"/>
  <c r="H34" i="19" s="1"/>
  <c r="H227" i="3"/>
  <c r="H218" i="3"/>
  <c r="G212" i="3"/>
  <c r="J212" i="3" s="1"/>
  <c r="M212" i="3" s="1"/>
  <c r="D27" i="19"/>
  <c r="G27" i="19" s="1"/>
  <c r="G221" i="3"/>
  <c r="J221" i="3" s="1"/>
  <c r="M221" i="3" s="1"/>
  <c r="G217" i="3"/>
  <c r="J217" i="3" s="1"/>
  <c r="D32" i="19"/>
  <c r="G32" i="19" s="1"/>
  <c r="G226" i="3"/>
  <c r="J226" i="3" s="1"/>
  <c r="H225" i="3"/>
  <c r="H216" i="3"/>
  <c r="O49" i="14"/>
  <c r="M49" i="14"/>
  <c r="J49" i="14"/>
  <c r="J97" i="15"/>
  <c r="E10" i="15" s="1"/>
  <c r="G162" i="3" s="1"/>
  <c r="J162" i="3" s="1"/>
  <c r="I94" i="14"/>
  <c r="F11" i="14" s="1"/>
  <c r="H154" i="3" s="1"/>
  <c r="K154" i="3" s="1"/>
  <c r="P49" i="12"/>
  <c r="O31" i="12"/>
  <c r="P18" i="12"/>
  <c r="P19" i="12"/>
  <c r="P20" i="12"/>
  <c r="P21" i="12"/>
  <c r="P22" i="12"/>
  <c r="Q31" i="12"/>
  <c r="R31" i="12"/>
  <c r="R37" i="12"/>
  <c r="M37" i="12"/>
  <c r="D3" i="12" s="1"/>
  <c r="L37" i="12"/>
  <c r="H37" i="12"/>
  <c r="F37" i="12"/>
  <c r="D37" i="12"/>
  <c r="M31" i="12"/>
  <c r="D2" i="12" s="1"/>
  <c r="L31" i="12"/>
  <c r="M162" i="3" l="1"/>
  <c r="M152" i="3"/>
  <c r="M141" i="3"/>
  <c r="M153" i="3"/>
  <c r="M154" i="3"/>
  <c r="K249" i="3"/>
  <c r="K216" i="3"/>
  <c r="M216" i="3" s="1"/>
  <c r="K218" i="3"/>
  <c r="M218" i="3" s="1"/>
  <c r="K225" i="3"/>
  <c r="M225" i="3" s="1"/>
  <c r="K227" i="3"/>
  <c r="M227" i="3" s="1"/>
  <c r="K224" i="3"/>
  <c r="M224" i="3" s="1"/>
  <c r="K252" i="3"/>
  <c r="K221" i="3"/>
  <c r="N221" i="3" s="1"/>
  <c r="K215" i="3"/>
  <c r="M215" i="3" s="1"/>
  <c r="K212" i="3"/>
  <c r="N212" i="3" s="1"/>
  <c r="H217" i="3"/>
  <c r="E32" i="19"/>
  <c r="H32" i="19" s="1"/>
  <c r="H226" i="3"/>
  <c r="G252" i="3"/>
  <c r="J252" i="3" s="1"/>
  <c r="D21" i="19"/>
  <c r="G21" i="19" s="1"/>
  <c r="N54" i="12"/>
  <c r="F8" i="12" s="1"/>
  <c r="H142" i="3" s="1"/>
  <c r="L39" i="12"/>
  <c r="R39" i="12"/>
  <c r="M39" i="12"/>
  <c r="D4" i="12" s="1"/>
  <c r="N31" i="12"/>
  <c r="F2" i="12" s="1"/>
  <c r="M252" i="3" l="1"/>
  <c r="K142" i="3"/>
  <c r="K217" i="3"/>
  <c r="M217" i="3" s="1"/>
  <c r="K226" i="3"/>
  <c r="M226" i="3" s="1"/>
  <c r="H259" i="3"/>
  <c r="D31" i="12"/>
  <c r="D39" i="12" s="1"/>
  <c r="F31" i="12"/>
  <c r="F39" i="12" s="1"/>
  <c r="H31" i="12"/>
  <c r="H39" i="12" s="1"/>
  <c r="V133" i="3"/>
  <c r="W133" i="3" s="1"/>
  <c r="X133" i="3" s="1"/>
  <c r="E130" i="3"/>
  <c r="J130" i="3" s="1"/>
  <c r="M130" i="3" s="1"/>
  <c r="E131" i="3"/>
  <c r="J131" i="3" s="1"/>
  <c r="M131" i="3" s="1"/>
  <c r="E132" i="3"/>
  <c r="J132" i="3" s="1"/>
  <c r="E133" i="3"/>
  <c r="J133" i="3" s="1"/>
  <c r="E134" i="3"/>
  <c r="J134" i="3" s="1"/>
  <c r="E135" i="3"/>
  <c r="J135" i="3" s="1"/>
  <c r="E136" i="3"/>
  <c r="J136" i="3" s="1"/>
  <c r="E137" i="3"/>
  <c r="J137" i="3" s="1"/>
  <c r="E129" i="3"/>
  <c r="J129" i="3" s="1"/>
  <c r="M129" i="3" s="1"/>
  <c r="G25" i="10"/>
  <c r="F25" i="10"/>
  <c r="D25" i="10"/>
  <c r="G23" i="10"/>
  <c r="F23" i="10"/>
  <c r="D23" i="10"/>
  <c r="V137" i="3" s="1"/>
  <c r="W137" i="3" s="1"/>
  <c r="X137" i="3" s="1"/>
  <c r="G21" i="10"/>
  <c r="F21" i="10"/>
  <c r="D21" i="10"/>
  <c r="V136" i="3" s="1"/>
  <c r="W136" i="3" s="1"/>
  <c r="X136" i="3" s="1"/>
  <c r="G20" i="10"/>
  <c r="F20" i="10"/>
  <c r="J87" i="10"/>
  <c r="G19" i="10" s="1"/>
  <c r="I87" i="10"/>
  <c r="K87" i="10" s="1"/>
  <c r="F19" i="10" s="1"/>
  <c r="G87" i="10"/>
  <c r="J83" i="10"/>
  <c r="G17" i="10" s="1"/>
  <c r="I83" i="10"/>
  <c r="K83" i="10" s="1"/>
  <c r="F17" i="10" s="1"/>
  <c r="G83" i="10"/>
  <c r="F15" i="10"/>
  <c r="G61" i="10"/>
  <c r="J61" i="10"/>
  <c r="G14" i="10" s="1"/>
  <c r="V122" i="3"/>
  <c r="W122" i="3" s="1"/>
  <c r="X122" i="3" s="1"/>
  <c r="G122" i="3"/>
  <c r="G194" i="3" s="1"/>
  <c r="J194" i="3" s="1"/>
  <c r="M194" i="3" s="1"/>
  <c r="H122" i="3"/>
  <c r="H194" i="3" s="1"/>
  <c r="G126" i="3"/>
  <c r="G198" i="3" s="1"/>
  <c r="J198" i="3" s="1"/>
  <c r="V127" i="3"/>
  <c r="W127" i="3" s="1"/>
  <c r="X127" i="3" s="1"/>
  <c r="H127" i="3"/>
  <c r="H199" i="3" s="1"/>
  <c r="V128" i="3"/>
  <c r="W128" i="3" s="1"/>
  <c r="X128" i="3" s="1"/>
  <c r="H128" i="3"/>
  <c r="H200" i="3" s="1"/>
  <c r="E121" i="3"/>
  <c r="E122" i="3"/>
  <c r="J122" i="3" s="1"/>
  <c r="M122" i="3" s="1"/>
  <c r="E123" i="3"/>
  <c r="E124" i="3"/>
  <c r="E125" i="3"/>
  <c r="E126" i="3"/>
  <c r="E127" i="3"/>
  <c r="E128" i="3"/>
  <c r="E120" i="3"/>
  <c r="K106" i="9"/>
  <c r="I106" i="9"/>
  <c r="F106" i="9"/>
  <c r="E106" i="9"/>
  <c r="D106" i="9"/>
  <c r="G10" i="9"/>
  <c r="H126" i="3" s="1"/>
  <c r="H198" i="3" s="1"/>
  <c r="D10" i="9"/>
  <c r="E10" i="9"/>
  <c r="C10" i="9"/>
  <c r="G128" i="3"/>
  <c r="G200" i="3" s="1"/>
  <c r="J200" i="3" s="1"/>
  <c r="G127" i="3"/>
  <c r="G199" i="3" s="1"/>
  <c r="J199" i="3" s="1"/>
  <c r="I89" i="15"/>
  <c r="D13" i="15" s="1"/>
  <c r="G81" i="15"/>
  <c r="E81" i="15"/>
  <c r="H80" i="15"/>
  <c r="G79" i="15"/>
  <c r="E79" i="15"/>
  <c r="H78" i="15"/>
  <c r="I73" i="15"/>
  <c r="D9" i="15" s="1"/>
  <c r="I68" i="15"/>
  <c r="D8" i="15" s="1"/>
  <c r="E67" i="15"/>
  <c r="H67" i="15" s="1"/>
  <c r="J67" i="15" s="1"/>
  <c r="E66" i="15"/>
  <c r="E65" i="15" s="1"/>
  <c r="H65" i="15" s="1"/>
  <c r="J65" i="15" s="1"/>
  <c r="I61" i="15"/>
  <c r="D5" i="15" s="1"/>
  <c r="E60" i="15"/>
  <c r="H60" i="15" s="1"/>
  <c r="E59" i="15"/>
  <c r="H59" i="15" s="1"/>
  <c r="E58" i="15"/>
  <c r="H58" i="15" s="1"/>
  <c r="E57" i="15"/>
  <c r="E56" i="15"/>
  <c r="H56" i="15" s="1"/>
  <c r="E55" i="15"/>
  <c r="H55" i="15" s="1"/>
  <c r="H48" i="15"/>
  <c r="O48" i="15" s="1"/>
  <c r="E46" i="15"/>
  <c r="H46" i="15" s="1"/>
  <c r="E45" i="15"/>
  <c r="H45" i="15" s="1"/>
  <c r="E44" i="15"/>
  <c r="H44" i="15" s="1"/>
  <c r="J44" i="15" s="1"/>
  <c r="F43" i="15"/>
  <c r="H43" i="15"/>
  <c r="F42" i="15"/>
  <c r="H42" i="15"/>
  <c r="F38" i="15"/>
  <c r="H37" i="15"/>
  <c r="J37" i="15" s="1"/>
  <c r="E36" i="15"/>
  <c r="H36" i="15" s="1"/>
  <c r="O36" i="15" s="1"/>
  <c r="E35" i="15"/>
  <c r="H35" i="15" s="1"/>
  <c r="H34" i="15"/>
  <c r="J34" i="15" s="1"/>
  <c r="G33" i="15"/>
  <c r="E33" i="15"/>
  <c r="E32" i="15"/>
  <c r="H32" i="15" s="1"/>
  <c r="J32" i="15" s="1"/>
  <c r="E31" i="15"/>
  <c r="H31" i="15" s="1"/>
  <c r="O31" i="15" s="1"/>
  <c r="E30" i="15"/>
  <c r="H30" i="15" s="1"/>
  <c r="J30" i="15" s="1"/>
  <c r="E29" i="15"/>
  <c r="H29" i="15" s="1"/>
  <c r="J29" i="15" s="1"/>
  <c r="H28" i="15"/>
  <c r="J28" i="15" s="1"/>
  <c r="E27" i="15"/>
  <c r="H27" i="15" s="1"/>
  <c r="O27" i="15" s="1"/>
  <c r="E26" i="15"/>
  <c r="I26" i="15" s="1"/>
  <c r="E25" i="15"/>
  <c r="H25" i="15" s="1"/>
  <c r="J25" i="15" s="1"/>
  <c r="L24" i="15"/>
  <c r="E24" i="15"/>
  <c r="J128" i="3" l="1"/>
  <c r="J127" i="3"/>
  <c r="J126" i="3"/>
  <c r="K137" i="3"/>
  <c r="M137" i="3" s="1"/>
  <c r="K130" i="3"/>
  <c r="N130" i="3" s="1"/>
  <c r="K127" i="3"/>
  <c r="K129" i="3"/>
  <c r="N129" i="3" s="1"/>
  <c r="K136" i="3"/>
  <c r="M136" i="3" s="1"/>
  <c r="K131" i="3"/>
  <c r="N131" i="3" s="1"/>
  <c r="K122" i="3"/>
  <c r="N122" i="3" s="1"/>
  <c r="K132" i="3"/>
  <c r="M132" i="3" s="1"/>
  <c r="K128" i="3"/>
  <c r="K126" i="3"/>
  <c r="K134" i="3"/>
  <c r="M134" i="3" s="1"/>
  <c r="K133" i="3"/>
  <c r="M133" i="3" s="1"/>
  <c r="K199" i="3"/>
  <c r="M199" i="3" s="1"/>
  <c r="K259" i="3"/>
  <c r="K198" i="3"/>
  <c r="M198" i="3" s="1"/>
  <c r="K200" i="3"/>
  <c r="M200" i="3" s="1"/>
  <c r="K194" i="3"/>
  <c r="N194" i="3" s="1"/>
  <c r="D20" i="10"/>
  <c r="V135" i="3" s="1"/>
  <c r="W135" i="3" s="1"/>
  <c r="X135" i="3" s="1"/>
  <c r="G79" i="10"/>
  <c r="M68" i="15"/>
  <c r="K68" i="15"/>
  <c r="F8" i="15" s="1"/>
  <c r="H160" i="3" s="1"/>
  <c r="O89" i="15"/>
  <c r="K89" i="15"/>
  <c r="F13" i="15" s="1"/>
  <c r="H164" i="3" s="1"/>
  <c r="M89" i="15"/>
  <c r="K73" i="15"/>
  <c r="F9" i="15" s="1"/>
  <c r="H161" i="3" s="1"/>
  <c r="M73" i="15"/>
  <c r="O78" i="15"/>
  <c r="J78" i="15"/>
  <c r="O80" i="15"/>
  <c r="J80" i="15"/>
  <c r="E82" i="15"/>
  <c r="E68" i="15"/>
  <c r="H66" i="15"/>
  <c r="J66" i="15" s="1"/>
  <c r="J58" i="15"/>
  <c r="O58" i="15"/>
  <c r="O60" i="15"/>
  <c r="J60" i="15"/>
  <c r="O59" i="15"/>
  <c r="J59" i="15"/>
  <c r="K61" i="15"/>
  <c r="F5" i="15" s="1"/>
  <c r="H157" i="3" s="1"/>
  <c r="M61" i="15"/>
  <c r="J56" i="15"/>
  <c r="O56" i="15"/>
  <c r="J55" i="15"/>
  <c r="O55" i="15"/>
  <c r="H33" i="15"/>
  <c r="O33" i="15" s="1"/>
  <c r="J43" i="15"/>
  <c r="E61" i="15"/>
  <c r="E38" i="15"/>
  <c r="E49" i="15"/>
  <c r="H81" i="15"/>
  <c r="J42" i="15"/>
  <c r="H79" i="15"/>
  <c r="J79" i="15" s="1"/>
  <c r="O43" i="15"/>
  <c r="J27" i="15"/>
  <c r="O30" i="15"/>
  <c r="O44" i="15"/>
  <c r="O29" i="15"/>
  <c r="J48" i="15"/>
  <c r="O25" i="15"/>
  <c r="O34" i="15"/>
  <c r="O37" i="15"/>
  <c r="E23" i="10"/>
  <c r="D17" i="10"/>
  <c r="V132" i="3" s="1"/>
  <c r="W132" i="3" s="1"/>
  <c r="X132" i="3" s="1"/>
  <c r="D19" i="10"/>
  <c r="V134" i="3" s="1"/>
  <c r="W134" i="3" s="1"/>
  <c r="X134" i="3" s="1"/>
  <c r="E25" i="10"/>
  <c r="E21" i="10"/>
  <c r="G188" i="3" s="1"/>
  <c r="J188" i="3" s="1"/>
  <c r="J35" i="15"/>
  <c r="O35" i="15"/>
  <c r="I38" i="15"/>
  <c r="D2" i="15" s="1"/>
  <c r="H49" i="15"/>
  <c r="C3" i="15" s="1"/>
  <c r="J45" i="15"/>
  <c r="O45" i="15"/>
  <c r="J46" i="15"/>
  <c r="O46" i="15"/>
  <c r="O47" i="15" s="1"/>
  <c r="I47" i="15" s="1"/>
  <c r="L47" i="15" s="1"/>
  <c r="H26" i="15"/>
  <c r="J26" i="15" s="1"/>
  <c r="O28" i="15"/>
  <c r="H57" i="15"/>
  <c r="J36" i="15"/>
  <c r="I42" i="15"/>
  <c r="O32" i="15"/>
  <c r="H24" i="15"/>
  <c r="M127" i="3" l="1"/>
  <c r="M128" i="3"/>
  <c r="M126" i="3"/>
  <c r="K160" i="3"/>
  <c r="K161" i="3"/>
  <c r="K157" i="3"/>
  <c r="N157" i="3" s="1"/>
  <c r="K164" i="3"/>
  <c r="M164" i="3" s="1"/>
  <c r="H251" i="3"/>
  <c r="E20" i="19"/>
  <c r="H20" i="19" s="1"/>
  <c r="H254" i="3"/>
  <c r="E24" i="19"/>
  <c r="H24" i="19" s="1"/>
  <c r="H247" i="3"/>
  <c r="E16" i="19"/>
  <c r="H16" i="19" s="1"/>
  <c r="H250" i="3"/>
  <c r="E19" i="19"/>
  <c r="H19" i="19" s="1"/>
  <c r="E20" i="10"/>
  <c r="H68" i="15"/>
  <c r="C8" i="15" s="1"/>
  <c r="V160" i="3" s="1"/>
  <c r="W160" i="3" s="1"/>
  <c r="X160" i="3" s="1"/>
  <c r="E72" i="15"/>
  <c r="H72" i="15" s="1"/>
  <c r="O72" i="15" s="1"/>
  <c r="O81" i="15"/>
  <c r="J81" i="15"/>
  <c r="H82" i="15"/>
  <c r="G49" i="15"/>
  <c r="J33" i="15"/>
  <c r="H61" i="15"/>
  <c r="C5" i="15" s="1"/>
  <c r="V157" i="3" s="1"/>
  <c r="W157" i="3" s="1"/>
  <c r="X157" i="3" s="1"/>
  <c r="J57" i="15"/>
  <c r="O57" i="15"/>
  <c r="M38" i="15"/>
  <c r="E51" i="15"/>
  <c r="O79" i="15"/>
  <c r="E19" i="10"/>
  <c r="E17" i="10"/>
  <c r="J24" i="15"/>
  <c r="H38" i="15"/>
  <c r="O24" i="15"/>
  <c r="L42" i="15"/>
  <c r="L49" i="15" s="1"/>
  <c r="O42" i="15"/>
  <c r="I49" i="15"/>
  <c r="D3" i="15" s="1"/>
  <c r="O26" i="15"/>
  <c r="L26" i="15"/>
  <c r="L38" i="15" s="1"/>
  <c r="K250" i="3" l="1"/>
  <c r="K247" i="3"/>
  <c r="N247" i="3" s="1"/>
  <c r="K254" i="3"/>
  <c r="M254" i="3" s="1"/>
  <c r="K251" i="3"/>
  <c r="J68" i="15"/>
  <c r="E8" i="15" s="1"/>
  <c r="G160" i="3" s="1"/>
  <c r="J160" i="3" s="1"/>
  <c r="M160" i="3" s="1"/>
  <c r="G82" i="15"/>
  <c r="J82" i="15"/>
  <c r="E7" i="15" s="1"/>
  <c r="G159" i="3" s="1"/>
  <c r="J159" i="3" s="1"/>
  <c r="M159" i="3" s="1"/>
  <c r="J72" i="15"/>
  <c r="H73" i="15"/>
  <c r="O82" i="15"/>
  <c r="C7" i="15"/>
  <c r="I51" i="15"/>
  <c r="D4" i="15" s="1"/>
  <c r="J61" i="15"/>
  <c r="E5" i="15" s="1"/>
  <c r="G157" i="3" s="1"/>
  <c r="J157" i="3" s="1"/>
  <c r="M157" i="3" s="1"/>
  <c r="O61" i="15"/>
  <c r="K49" i="15"/>
  <c r="F3" i="15" s="1"/>
  <c r="K38" i="15"/>
  <c r="F2" i="15" s="1"/>
  <c r="L51" i="15"/>
  <c r="C2" i="15"/>
  <c r="G38" i="15"/>
  <c r="O38" i="15"/>
  <c r="O49" i="15"/>
  <c r="J38" i="15"/>
  <c r="E2" i="15" s="1"/>
  <c r="H51" i="15"/>
  <c r="C4" i="15" s="1"/>
  <c r="V159" i="3" l="1"/>
  <c r="W159" i="3" s="1"/>
  <c r="X159" i="3" s="1"/>
  <c r="V156" i="3"/>
  <c r="W156" i="3" s="1"/>
  <c r="X156" i="3" s="1"/>
  <c r="D18" i="19"/>
  <c r="G18" i="19" s="1"/>
  <c r="G249" i="3"/>
  <c r="J249" i="3" s="1"/>
  <c r="M249" i="3" s="1"/>
  <c r="G247" i="3"/>
  <c r="J247" i="3" s="1"/>
  <c r="M247" i="3" s="1"/>
  <c r="D16" i="19"/>
  <c r="G16" i="19" s="1"/>
  <c r="G250" i="3"/>
  <c r="J250" i="3" s="1"/>
  <c r="M250" i="3" s="1"/>
  <c r="D19" i="19"/>
  <c r="G19" i="19" s="1"/>
  <c r="J73" i="15"/>
  <c r="E9" i="15" s="1"/>
  <c r="G161" i="3" s="1"/>
  <c r="J161" i="3" s="1"/>
  <c r="M161" i="3" s="1"/>
  <c r="C9" i="15"/>
  <c r="K51" i="15"/>
  <c r="F4" i="15" s="1"/>
  <c r="H156" i="3" s="1"/>
  <c r="G51" i="15"/>
  <c r="O51" i="15"/>
  <c r="L94" i="14"/>
  <c r="G88" i="14"/>
  <c r="D87" i="14"/>
  <c r="F87" i="14" s="1"/>
  <c r="H87" i="14" s="1"/>
  <c r="D86" i="14"/>
  <c r="F85" i="14"/>
  <c r="L82" i="14"/>
  <c r="K82" i="14" s="1"/>
  <c r="G82" i="14"/>
  <c r="D8" i="14" s="1"/>
  <c r="D81" i="14"/>
  <c r="F81" i="14" s="1"/>
  <c r="H81" i="14" s="1"/>
  <c r="F80" i="14"/>
  <c r="H80" i="14" s="1"/>
  <c r="F79" i="14"/>
  <c r="H79" i="14" s="1"/>
  <c r="F78" i="14"/>
  <c r="H78" i="14" s="1"/>
  <c r="F77" i="14"/>
  <c r="H77" i="14" s="1"/>
  <c r="F76" i="14"/>
  <c r="H76" i="14" s="1"/>
  <c r="F75" i="14"/>
  <c r="H75" i="14" s="1"/>
  <c r="D74" i="14"/>
  <c r="F74" i="14" s="1"/>
  <c r="H74" i="14" s="1"/>
  <c r="D73" i="14"/>
  <c r="F73" i="14" s="1"/>
  <c r="H73" i="14" s="1"/>
  <c r="D72" i="14"/>
  <c r="F72" i="14" s="1"/>
  <c r="H72" i="14" s="1"/>
  <c r="D71" i="14"/>
  <c r="F71" i="14" s="1"/>
  <c r="H71" i="14" s="1"/>
  <c r="D70" i="14"/>
  <c r="F70" i="14" s="1"/>
  <c r="H70" i="14" s="1"/>
  <c r="D69" i="14"/>
  <c r="F69" i="14" s="1"/>
  <c r="H69" i="14" s="1"/>
  <c r="D68" i="14"/>
  <c r="F68" i="14" s="1"/>
  <c r="H68" i="14" s="1"/>
  <c r="D67" i="14"/>
  <c r="F67" i="14" s="1"/>
  <c r="H67" i="14" s="1"/>
  <c r="D66" i="14"/>
  <c r="F66" i="14" s="1"/>
  <c r="H66" i="14" s="1"/>
  <c r="D65" i="14"/>
  <c r="F65" i="14" s="1"/>
  <c r="H65" i="14" s="1"/>
  <c r="D64" i="14"/>
  <c r="F63" i="14"/>
  <c r="H63" i="14" s="1"/>
  <c r="F62" i="14"/>
  <c r="H62" i="14" s="1"/>
  <c r="F61" i="14"/>
  <c r="G47" i="14"/>
  <c r="F33" i="14"/>
  <c r="F32" i="14"/>
  <c r="D31" i="14"/>
  <c r="F31" i="14" s="1"/>
  <c r="L38" i="14"/>
  <c r="L49" i="14" s="1"/>
  <c r="G38" i="14"/>
  <c r="D2" i="14" s="1"/>
  <c r="F35" i="14"/>
  <c r="H35" i="14" s="1"/>
  <c r="F30" i="14"/>
  <c r="D29" i="14"/>
  <c r="F29" i="14" s="1"/>
  <c r="F28" i="14"/>
  <c r="F27" i="14"/>
  <c r="D26" i="14"/>
  <c r="F26" i="14" s="1"/>
  <c r="D25" i="14"/>
  <c r="F25" i="14" s="1"/>
  <c r="F24" i="14"/>
  <c r="F23" i="14"/>
  <c r="L57" i="14"/>
  <c r="G57" i="14"/>
  <c r="D5" i="14" s="1"/>
  <c r="F55" i="14"/>
  <c r="F54" i="14"/>
  <c r="D53" i="14"/>
  <c r="V161" i="3" l="1"/>
  <c r="W161" i="3" s="1"/>
  <c r="X161" i="3" s="1"/>
  <c r="I88" i="14"/>
  <c r="F7" i="14" s="1"/>
  <c r="H150" i="3" s="1"/>
  <c r="D7" i="14"/>
  <c r="I47" i="14"/>
  <c r="F3" i="14" s="1"/>
  <c r="D3" i="14"/>
  <c r="K156" i="3"/>
  <c r="N156" i="3" s="1"/>
  <c r="G251" i="3"/>
  <c r="J251" i="3" s="1"/>
  <c r="M251" i="3" s="1"/>
  <c r="D20" i="19"/>
  <c r="G20" i="19" s="1"/>
  <c r="H246" i="3"/>
  <c r="E15" i="19"/>
  <c r="H15" i="19" s="1"/>
  <c r="I38" i="14"/>
  <c r="F2" i="14" s="1"/>
  <c r="G49" i="14"/>
  <c r="H85" i="14"/>
  <c r="F86" i="14"/>
  <c r="H86" i="14" s="1"/>
  <c r="D88" i="14"/>
  <c r="I82" i="14"/>
  <c r="F8" i="14" s="1"/>
  <c r="H151" i="3" s="1"/>
  <c r="H61" i="14"/>
  <c r="F64" i="14"/>
  <c r="D82" i="14"/>
  <c r="F44" i="14"/>
  <c r="E44" i="14" s="1"/>
  <c r="F45" i="14"/>
  <c r="E45" i="14" s="1"/>
  <c r="F46" i="14"/>
  <c r="E46" i="14" s="1"/>
  <c r="H32" i="14"/>
  <c r="H29" i="14"/>
  <c r="K38" i="14"/>
  <c r="H43" i="14"/>
  <c r="H27" i="14"/>
  <c r="H24" i="14"/>
  <c r="H41" i="14"/>
  <c r="H34" i="14"/>
  <c r="H30" i="14"/>
  <c r="H26" i="14"/>
  <c r="F38" i="14"/>
  <c r="D38" i="14"/>
  <c r="D49" i="14" s="1"/>
  <c r="H31" i="14"/>
  <c r="H33" i="14"/>
  <c r="H23" i="14"/>
  <c r="H28" i="14"/>
  <c r="H42" i="14"/>
  <c r="H55" i="14"/>
  <c r="H54" i="14"/>
  <c r="H56" i="14"/>
  <c r="F53" i="14"/>
  <c r="H53" i="14" s="1"/>
  <c r="D57" i="14"/>
  <c r="I57" i="14"/>
  <c r="F5" i="14" s="1"/>
  <c r="H148" i="3" s="1"/>
  <c r="J48" i="12"/>
  <c r="P48" i="12" s="1"/>
  <c r="J47" i="12"/>
  <c r="P47" i="12" s="1"/>
  <c r="J46" i="12"/>
  <c r="P46" i="12" s="1"/>
  <c r="J45" i="12"/>
  <c r="P45" i="12" s="1"/>
  <c r="J44" i="12"/>
  <c r="P44" i="12" s="1"/>
  <c r="J43" i="12"/>
  <c r="P43" i="12" s="1"/>
  <c r="J42" i="12"/>
  <c r="Q37" i="12"/>
  <c r="O37" i="12"/>
  <c r="K37" i="12"/>
  <c r="J36" i="12"/>
  <c r="P36" i="12" s="1"/>
  <c r="J35" i="12"/>
  <c r="P35" i="12" s="1"/>
  <c r="K31" i="12"/>
  <c r="J30" i="12"/>
  <c r="P30" i="12" s="1"/>
  <c r="J29" i="12"/>
  <c r="P29" i="12" s="1"/>
  <c r="J27" i="12"/>
  <c r="P27" i="12" s="1"/>
  <c r="J26" i="12"/>
  <c r="P26" i="12" s="1"/>
  <c r="J25" i="12"/>
  <c r="P25" i="12" s="1"/>
  <c r="J24" i="12"/>
  <c r="P24" i="12" s="1"/>
  <c r="J23" i="12"/>
  <c r="P23" i="12" s="1"/>
  <c r="J17" i="12"/>
  <c r="P17" i="12" s="1"/>
  <c r="E28" i="19" l="1"/>
  <c r="H213" i="3"/>
  <c r="H222" i="3"/>
  <c r="K150" i="3"/>
  <c r="I49" i="14"/>
  <c r="F4" i="14" s="1"/>
  <c r="H147" i="3" s="1"/>
  <c r="D4" i="14"/>
  <c r="K148" i="3"/>
  <c r="N148" i="3" s="1"/>
  <c r="K151" i="3"/>
  <c r="K246" i="3"/>
  <c r="N246" i="3" s="1"/>
  <c r="H211" i="3"/>
  <c r="E26" i="19"/>
  <c r="H26" i="19" s="1"/>
  <c r="H220" i="3"/>
  <c r="H223" i="3"/>
  <c r="E29" i="19"/>
  <c r="H29" i="19" s="1"/>
  <c r="H214" i="3"/>
  <c r="P42" i="12"/>
  <c r="J54" i="12"/>
  <c r="C2" i="14"/>
  <c r="F88" i="14"/>
  <c r="H44" i="14"/>
  <c r="H64" i="14"/>
  <c r="F82" i="14"/>
  <c r="H46" i="14"/>
  <c r="F47" i="14"/>
  <c r="H45" i="14"/>
  <c r="H38" i="14"/>
  <c r="E2" i="14" s="1"/>
  <c r="E37" i="14"/>
  <c r="H37" i="14"/>
  <c r="H25" i="14"/>
  <c r="E36" i="14"/>
  <c r="H36" i="14"/>
  <c r="F57" i="14"/>
  <c r="O39" i="12"/>
  <c r="K39" i="12"/>
  <c r="N37" i="12"/>
  <c r="F3" i="12" s="1"/>
  <c r="Q39" i="12"/>
  <c r="N39" i="12" s="1"/>
  <c r="F4" i="12" s="1"/>
  <c r="H138" i="3" s="1"/>
  <c r="J37" i="12"/>
  <c r="P37" i="12" s="1"/>
  <c r="E3" i="12" s="1"/>
  <c r="P67" i="12"/>
  <c r="E9" i="12" s="1"/>
  <c r="G143" i="3" s="1"/>
  <c r="J143" i="3" s="1"/>
  <c r="M143" i="3" s="1"/>
  <c r="J31" i="12"/>
  <c r="K120" i="9"/>
  <c r="I120" i="9"/>
  <c r="F120" i="9"/>
  <c r="E7" i="9" s="1"/>
  <c r="E120" i="9"/>
  <c r="D7" i="9" s="1"/>
  <c r="D120" i="9"/>
  <c r="C7" i="9" s="1"/>
  <c r="V123" i="3" s="1"/>
  <c r="K113" i="9"/>
  <c r="I113" i="9"/>
  <c r="F113" i="9"/>
  <c r="E9" i="9" s="1"/>
  <c r="E113" i="9"/>
  <c r="D9" i="9" s="1"/>
  <c r="D111" i="9"/>
  <c r="D113" i="9" s="1"/>
  <c r="C9" i="9" s="1"/>
  <c r="V125" i="3" s="1"/>
  <c r="W125" i="3" s="1"/>
  <c r="X125" i="3" s="1"/>
  <c r="E8" i="9"/>
  <c r="D8" i="9"/>
  <c r="C8" i="9"/>
  <c r="V124" i="3" s="1"/>
  <c r="W124" i="3" s="1"/>
  <c r="X124" i="3" s="1"/>
  <c r="K75" i="9"/>
  <c r="I75" i="9"/>
  <c r="F75" i="9"/>
  <c r="E5" i="9" s="1"/>
  <c r="E75" i="9"/>
  <c r="D5" i="9" s="1"/>
  <c r="D75" i="9"/>
  <c r="C5" i="9" s="1"/>
  <c r="V121" i="3" s="1"/>
  <c r="W121" i="3" s="1"/>
  <c r="X121" i="3" s="1"/>
  <c r="K65" i="9"/>
  <c r="I65" i="9"/>
  <c r="F65" i="9"/>
  <c r="E3" i="9" s="1"/>
  <c r="E65" i="9"/>
  <c r="D3" i="9" s="1"/>
  <c r="D65" i="9"/>
  <c r="C3" i="9" s="1"/>
  <c r="K51" i="9"/>
  <c r="I51" i="9"/>
  <c r="F51" i="9"/>
  <c r="E2" i="9" s="1"/>
  <c r="E51" i="9"/>
  <c r="D2" i="9" s="1"/>
  <c r="D51" i="9"/>
  <c r="C2" i="9" s="1"/>
  <c r="E112" i="3"/>
  <c r="E113" i="3"/>
  <c r="J113" i="3" s="1"/>
  <c r="M113" i="3" s="1"/>
  <c r="E114" i="3"/>
  <c r="E115" i="3"/>
  <c r="E116" i="3"/>
  <c r="E117" i="3"/>
  <c r="E118" i="3"/>
  <c r="E119" i="3"/>
  <c r="E111" i="3"/>
  <c r="V104" i="3"/>
  <c r="W104" i="3" s="1"/>
  <c r="X104" i="3" s="1"/>
  <c r="G104" i="3"/>
  <c r="H104" i="3"/>
  <c r="V109" i="3"/>
  <c r="W109" i="3" s="1"/>
  <c r="X109" i="3" s="1"/>
  <c r="V110" i="3"/>
  <c r="W110" i="3" s="1"/>
  <c r="X110" i="3" s="1"/>
  <c r="E103" i="3"/>
  <c r="E104" i="3"/>
  <c r="E105" i="3"/>
  <c r="E106" i="3"/>
  <c r="E107" i="3"/>
  <c r="E108" i="3"/>
  <c r="E109" i="3"/>
  <c r="E110" i="3"/>
  <c r="E102" i="3"/>
  <c r="E94" i="3"/>
  <c r="V94" i="3"/>
  <c r="W94" i="3" s="1"/>
  <c r="X94" i="3" s="1"/>
  <c r="G94" i="3"/>
  <c r="G229" i="3" s="1"/>
  <c r="J229" i="3" s="1"/>
  <c r="M229" i="3" s="1"/>
  <c r="H94" i="3"/>
  <c r="H229" i="3" s="1"/>
  <c r="E95" i="3"/>
  <c r="V95" i="3"/>
  <c r="W95" i="3" s="1"/>
  <c r="X95" i="3" s="1"/>
  <c r="G95" i="3"/>
  <c r="G230" i="3" s="1"/>
  <c r="J230" i="3" s="1"/>
  <c r="M230" i="3" s="1"/>
  <c r="H95" i="3"/>
  <c r="H230" i="3" s="1"/>
  <c r="E96" i="3"/>
  <c r="V96" i="3"/>
  <c r="W96" i="3" s="1"/>
  <c r="X96" i="3" s="1"/>
  <c r="G96" i="3"/>
  <c r="G231" i="3" s="1"/>
  <c r="J231" i="3" s="1"/>
  <c r="H96" i="3"/>
  <c r="H231" i="3" s="1"/>
  <c r="E97" i="3"/>
  <c r="E98" i="3"/>
  <c r="E99" i="3"/>
  <c r="E100" i="3"/>
  <c r="E101" i="3"/>
  <c r="E93" i="3"/>
  <c r="E85" i="3"/>
  <c r="E86" i="3"/>
  <c r="J86" i="3" s="1"/>
  <c r="M86" i="3" s="1"/>
  <c r="E87" i="3"/>
  <c r="E88" i="3"/>
  <c r="E89" i="3"/>
  <c r="J89" i="3" s="1"/>
  <c r="E90" i="3"/>
  <c r="J90" i="3" s="1"/>
  <c r="E91" i="3"/>
  <c r="E92" i="3"/>
  <c r="E84" i="3"/>
  <c r="E76" i="3"/>
  <c r="E77" i="3"/>
  <c r="G77" i="3"/>
  <c r="G239" i="3" s="1"/>
  <c r="J239" i="3" s="1"/>
  <c r="M239" i="3" s="1"/>
  <c r="H77" i="3"/>
  <c r="H239" i="3" s="1"/>
  <c r="E78" i="3"/>
  <c r="E79" i="3"/>
  <c r="E80" i="3"/>
  <c r="E81" i="3"/>
  <c r="E82" i="3"/>
  <c r="E83" i="3"/>
  <c r="E75" i="3"/>
  <c r="E67" i="3"/>
  <c r="E68" i="3"/>
  <c r="G68" i="3"/>
  <c r="H68" i="3"/>
  <c r="E69" i="3"/>
  <c r="E70" i="3"/>
  <c r="E71" i="3"/>
  <c r="V71" i="3"/>
  <c r="W71" i="3" s="1"/>
  <c r="X71" i="3" s="1"/>
  <c r="G71" i="3"/>
  <c r="H71" i="3"/>
  <c r="E72" i="3"/>
  <c r="G72" i="3"/>
  <c r="E73" i="3"/>
  <c r="V73" i="3"/>
  <c r="W73" i="3" s="1"/>
  <c r="X73" i="3" s="1"/>
  <c r="G73" i="3"/>
  <c r="E74" i="3"/>
  <c r="G74" i="3"/>
  <c r="E66" i="3"/>
  <c r="I68" i="1"/>
  <c r="I67" i="1"/>
  <c r="V74" i="3"/>
  <c r="W74" i="3" s="1"/>
  <c r="X74" i="3" s="1"/>
  <c r="V72" i="3"/>
  <c r="W72" i="3" s="1"/>
  <c r="X72" i="3" s="1"/>
  <c r="V68" i="3"/>
  <c r="W68" i="3" s="1"/>
  <c r="X68" i="3" s="1"/>
  <c r="V67" i="3"/>
  <c r="W67" i="3" s="1"/>
  <c r="X67" i="3" s="1"/>
  <c r="H4" i="1"/>
  <c r="F5" i="1"/>
  <c r="D4" i="2"/>
  <c r="E4" i="2"/>
  <c r="F4" i="2"/>
  <c r="H4" i="2" s="1"/>
  <c r="D6" i="2"/>
  <c r="E6" i="2"/>
  <c r="F6" i="2"/>
  <c r="D7" i="2"/>
  <c r="E7" i="2"/>
  <c r="F7" i="2"/>
  <c r="D8" i="2"/>
  <c r="E8" i="2"/>
  <c r="F8" i="2"/>
  <c r="D9" i="2"/>
  <c r="E9" i="2"/>
  <c r="F9" i="2"/>
  <c r="D10" i="2"/>
  <c r="E10" i="2"/>
  <c r="F10" i="2"/>
  <c r="D11" i="2"/>
  <c r="E11" i="2"/>
  <c r="F11" i="2"/>
  <c r="D12" i="2"/>
  <c r="E12" i="2"/>
  <c r="F12" i="2"/>
  <c r="D13" i="2"/>
  <c r="E13" i="2"/>
  <c r="F13" i="2"/>
  <c r="D14" i="2"/>
  <c r="E14" i="2"/>
  <c r="F14" i="2"/>
  <c r="E3" i="2"/>
  <c r="F3" i="2"/>
  <c r="D3" i="2"/>
  <c r="D5" i="2" s="1"/>
  <c r="C14" i="2"/>
  <c r="V83" i="3" s="1"/>
  <c r="W83" i="3" s="1"/>
  <c r="X83" i="3" s="1"/>
  <c r="C13" i="2"/>
  <c r="C12" i="2"/>
  <c r="C11" i="2"/>
  <c r="C10" i="2"/>
  <c r="C9" i="2"/>
  <c r="V79" i="3" s="1"/>
  <c r="W79" i="3" s="1"/>
  <c r="X79" i="3" s="1"/>
  <c r="C8" i="2"/>
  <c r="V78" i="3" s="1"/>
  <c r="W78" i="3" s="1"/>
  <c r="X78" i="3" s="1"/>
  <c r="C7" i="2"/>
  <c r="V77" i="3" s="1"/>
  <c r="W77" i="3" s="1"/>
  <c r="X77" i="3" s="1"/>
  <c r="C6" i="2"/>
  <c r="V76" i="3" s="1"/>
  <c r="W76" i="3" s="1"/>
  <c r="X76" i="3" s="1"/>
  <c r="C4" i="2"/>
  <c r="C3" i="2"/>
  <c r="C10" i="5"/>
  <c r="D93" i="5"/>
  <c r="E93" i="5" s="1"/>
  <c r="E95" i="5"/>
  <c r="G95" i="5" s="1"/>
  <c r="E94" i="5"/>
  <c r="C96" i="5"/>
  <c r="C13" i="5" s="1"/>
  <c r="E9" i="5"/>
  <c r="D12" i="5"/>
  <c r="D11" i="5"/>
  <c r="D8" i="5"/>
  <c r="D7" i="5"/>
  <c r="D6" i="5"/>
  <c r="D5" i="5"/>
  <c r="D3" i="5"/>
  <c r="D2" i="5"/>
  <c r="F38" i="5"/>
  <c r="F37" i="5"/>
  <c r="F36" i="5"/>
  <c r="F35" i="5"/>
  <c r="F34" i="5"/>
  <c r="F30" i="5"/>
  <c r="F27" i="5"/>
  <c r="F22" i="5"/>
  <c r="F12" i="5"/>
  <c r="F9" i="5"/>
  <c r="F6" i="5"/>
  <c r="E12" i="5"/>
  <c r="E11" i="5"/>
  <c r="E8" i="5"/>
  <c r="E7" i="5"/>
  <c r="E6" i="5"/>
  <c r="E5" i="5"/>
  <c r="C12" i="5"/>
  <c r="C6" i="5"/>
  <c r="V86" i="3" s="1"/>
  <c r="W86" i="3" s="1"/>
  <c r="X86" i="3" s="1"/>
  <c r="E3" i="5"/>
  <c r="E2" i="5"/>
  <c r="J89" i="5"/>
  <c r="L89" i="5" s="1"/>
  <c r="M89" i="5" s="1"/>
  <c r="J88" i="5"/>
  <c r="L88" i="5" s="1"/>
  <c r="M88" i="5" s="1"/>
  <c r="J87" i="5"/>
  <c r="L87" i="5" s="1"/>
  <c r="M87" i="5" s="1"/>
  <c r="J82" i="5"/>
  <c r="L82" i="5" s="1"/>
  <c r="M82" i="5" s="1"/>
  <c r="J83" i="5"/>
  <c r="L83" i="5" s="1"/>
  <c r="M83" i="5" s="1"/>
  <c r="J84" i="5"/>
  <c r="L84" i="5" s="1"/>
  <c r="M84" i="5" s="1"/>
  <c r="J85" i="5"/>
  <c r="L85" i="5" s="1"/>
  <c r="M85" i="5" s="1"/>
  <c r="J86" i="5"/>
  <c r="L86" i="5" s="1"/>
  <c r="M86" i="5" s="1"/>
  <c r="J81" i="5"/>
  <c r="L81" i="5" s="1"/>
  <c r="M81" i="5" s="1"/>
  <c r="F89" i="5"/>
  <c r="F88" i="5"/>
  <c r="F87" i="5"/>
  <c r="F82" i="5"/>
  <c r="F83" i="5"/>
  <c r="F84" i="5"/>
  <c r="F85" i="5"/>
  <c r="F86" i="5"/>
  <c r="F81" i="5"/>
  <c r="H9" i="2" l="1"/>
  <c r="H79" i="3" s="1"/>
  <c r="H241" i="3" s="1"/>
  <c r="K241" i="3" s="1"/>
  <c r="E5" i="2"/>
  <c r="F5" i="2"/>
  <c r="J73" i="3"/>
  <c r="J74" i="3"/>
  <c r="J72" i="3"/>
  <c r="J95" i="3"/>
  <c r="M95" i="3" s="1"/>
  <c r="J68" i="3"/>
  <c r="M68" i="3" s="1"/>
  <c r="J71" i="3"/>
  <c r="J96" i="3"/>
  <c r="J94" i="3"/>
  <c r="M94" i="3" s="1"/>
  <c r="J104" i="3"/>
  <c r="M104" i="3" s="1"/>
  <c r="J77" i="3"/>
  <c r="M77" i="3" s="1"/>
  <c r="K213" i="3"/>
  <c r="H219" i="3"/>
  <c r="K222" i="3"/>
  <c r="H6" i="2"/>
  <c r="H76" i="3" s="1"/>
  <c r="K76" i="3" s="1"/>
  <c r="N76" i="3" s="1"/>
  <c r="E96" i="5"/>
  <c r="D13" i="5" s="1"/>
  <c r="C5" i="2"/>
  <c r="V75" i="3" s="1"/>
  <c r="W75" i="3" s="1"/>
  <c r="X75" i="3" s="1"/>
  <c r="K147" i="3"/>
  <c r="N147" i="3" s="1"/>
  <c r="E25" i="19"/>
  <c r="H25" i="19" s="1"/>
  <c r="H210" i="3"/>
  <c r="G93" i="5"/>
  <c r="F10" i="5" s="1"/>
  <c r="D10" i="5"/>
  <c r="V90" i="3"/>
  <c r="W90" i="3" s="1"/>
  <c r="X90" i="3" s="1"/>
  <c r="V82" i="3"/>
  <c r="W82" i="3" s="1"/>
  <c r="X82" i="3" s="1"/>
  <c r="V81" i="3"/>
  <c r="W81" i="3" s="1"/>
  <c r="X81" i="3" s="1"/>
  <c r="V80" i="3"/>
  <c r="W80" i="3" s="1"/>
  <c r="X80" i="3" s="1"/>
  <c r="G6" i="2"/>
  <c r="G76" i="3" s="1"/>
  <c r="G238" i="3" s="1"/>
  <c r="J238" i="3" s="1"/>
  <c r="M238" i="3" s="1"/>
  <c r="H11" i="2"/>
  <c r="H81" i="3" s="1"/>
  <c r="H243" i="3" s="1"/>
  <c r="V92" i="3"/>
  <c r="W92" i="3" s="1"/>
  <c r="X92" i="3" s="1"/>
  <c r="K86" i="3"/>
  <c r="N86" i="3" s="1"/>
  <c r="K138" i="3"/>
  <c r="N138" i="3" s="1"/>
  <c r="H165" i="3"/>
  <c r="K71" i="3"/>
  <c r="K68" i="3"/>
  <c r="N68" i="3" s="1"/>
  <c r="K79" i="3"/>
  <c r="K77" i="3"/>
  <c r="N77" i="3" s="1"/>
  <c r="K239" i="3"/>
  <c r="N239" i="3" s="1"/>
  <c r="K104" i="3"/>
  <c r="N104" i="3" s="1"/>
  <c r="K95" i="3"/>
  <c r="N95" i="3" s="1"/>
  <c r="K113" i="3"/>
  <c r="N113" i="3" s="1"/>
  <c r="K96" i="3"/>
  <c r="K94" i="3"/>
  <c r="N94" i="3" s="1"/>
  <c r="K230" i="3"/>
  <c r="N230" i="3" s="1"/>
  <c r="K220" i="3"/>
  <c r="N220" i="3" s="1"/>
  <c r="K231" i="3"/>
  <c r="M231" i="3" s="1"/>
  <c r="K229" i="3"/>
  <c r="N229" i="3" s="1"/>
  <c r="K214" i="3"/>
  <c r="K211" i="3"/>
  <c r="N211" i="3" s="1"/>
  <c r="K223" i="3"/>
  <c r="G260" i="3"/>
  <c r="J260" i="3" s="1"/>
  <c r="M260" i="3" s="1"/>
  <c r="H255" i="3"/>
  <c r="E53" i="19"/>
  <c r="H53" i="19" s="1"/>
  <c r="E43" i="19"/>
  <c r="H43" i="19" s="1"/>
  <c r="D43" i="19"/>
  <c r="G43" i="19" s="1"/>
  <c r="D53" i="19"/>
  <c r="G53" i="19" s="1"/>
  <c r="E47" i="19"/>
  <c r="H47" i="19" s="1"/>
  <c r="E37" i="19"/>
  <c r="H37" i="19" s="1"/>
  <c r="D47" i="19"/>
  <c r="G47" i="19" s="1"/>
  <c r="D37" i="19"/>
  <c r="G37" i="19" s="1"/>
  <c r="H82" i="14"/>
  <c r="E8" i="14" s="1"/>
  <c r="G151" i="3" s="1"/>
  <c r="J151" i="3" s="1"/>
  <c r="M151" i="3" s="1"/>
  <c r="C8" i="14"/>
  <c r="V151" i="3" s="1"/>
  <c r="W151" i="3" s="1"/>
  <c r="X151" i="3" s="1"/>
  <c r="H88" i="14"/>
  <c r="E7" i="14" s="1"/>
  <c r="G150" i="3" s="1"/>
  <c r="J150" i="3" s="1"/>
  <c r="M150" i="3" s="1"/>
  <c r="C7" i="14"/>
  <c r="V150" i="3" s="1"/>
  <c r="H57" i="14"/>
  <c r="E5" i="14" s="1"/>
  <c r="G148" i="3" s="1"/>
  <c r="J148" i="3" s="1"/>
  <c r="M148" i="3" s="1"/>
  <c r="C5" i="14"/>
  <c r="V148" i="3" s="1"/>
  <c r="W148" i="3" s="1"/>
  <c r="X148" i="3" s="1"/>
  <c r="H47" i="14"/>
  <c r="E3" i="14" s="1"/>
  <c r="C3" i="14"/>
  <c r="F7" i="9"/>
  <c r="G123" i="3" s="1"/>
  <c r="J123" i="3" s="1"/>
  <c r="H72" i="3"/>
  <c r="H8" i="1"/>
  <c r="H69" i="3" s="1"/>
  <c r="K69" i="3" s="1"/>
  <c r="F49" i="14"/>
  <c r="C8" i="12"/>
  <c r="V142" i="3" s="1"/>
  <c r="W142" i="3" s="1"/>
  <c r="X142" i="3" s="1"/>
  <c r="P54" i="12"/>
  <c r="E8" i="12" s="1"/>
  <c r="G142" i="3" s="1"/>
  <c r="J142" i="3" s="1"/>
  <c r="M142" i="3" s="1"/>
  <c r="J39" i="12"/>
  <c r="C3" i="12"/>
  <c r="P31" i="12"/>
  <c r="E2" i="12" s="1"/>
  <c r="C2" i="12"/>
  <c r="F8" i="9"/>
  <c r="G124" i="3" s="1"/>
  <c r="J124" i="3" s="1"/>
  <c r="F3" i="9"/>
  <c r="F5" i="9"/>
  <c r="G121" i="3" s="1"/>
  <c r="J121" i="3" s="1"/>
  <c r="M121" i="3" s="1"/>
  <c r="F9" i="9"/>
  <c r="G125" i="3" s="1"/>
  <c r="J125" i="3" s="1"/>
  <c r="F2" i="9"/>
  <c r="J120" i="9"/>
  <c r="G120" i="9"/>
  <c r="H120" i="9"/>
  <c r="G7" i="9" s="1"/>
  <c r="H123" i="3" s="1"/>
  <c r="G65" i="9"/>
  <c r="F67" i="9"/>
  <c r="E4" i="9" s="1"/>
  <c r="G113" i="9"/>
  <c r="J113" i="9"/>
  <c r="D67" i="9"/>
  <c r="C4" i="9" s="1"/>
  <c r="V120" i="3" s="1"/>
  <c r="W120" i="3" s="1"/>
  <c r="X120" i="3" s="1"/>
  <c r="H65" i="9"/>
  <c r="G3" i="9" s="1"/>
  <c r="H106" i="9"/>
  <c r="G8" i="9" s="1"/>
  <c r="H124" i="3" s="1"/>
  <c r="E67" i="9"/>
  <c r="D4" i="9" s="1"/>
  <c r="J106" i="9"/>
  <c r="K67" i="9"/>
  <c r="G75" i="9"/>
  <c r="I67" i="9"/>
  <c r="G106" i="9"/>
  <c r="J51" i="9"/>
  <c r="H75" i="9"/>
  <c r="G5" i="9" s="1"/>
  <c r="H121" i="3" s="1"/>
  <c r="H113" i="9"/>
  <c r="G9" i="9" s="1"/>
  <c r="H125" i="3" s="1"/>
  <c r="J65" i="9"/>
  <c r="G51" i="9"/>
  <c r="H51" i="9"/>
  <c r="G2" i="9" s="1"/>
  <c r="J75" i="9"/>
  <c r="H5" i="2"/>
  <c r="H75" i="3" s="1"/>
  <c r="H237" i="3" s="1"/>
  <c r="H8" i="2"/>
  <c r="H78" i="3" s="1"/>
  <c r="H240" i="3" s="1"/>
  <c r="G10" i="2"/>
  <c r="G80" i="3" s="1"/>
  <c r="G242" i="3" s="1"/>
  <c r="J242" i="3" s="1"/>
  <c r="H6" i="1"/>
  <c r="H67" i="3" s="1"/>
  <c r="H14" i="1"/>
  <c r="H74" i="3" s="1"/>
  <c r="K74" i="3" s="1"/>
  <c r="H12" i="1"/>
  <c r="H73" i="3" s="1"/>
  <c r="K73" i="3" s="1"/>
  <c r="D5" i="1"/>
  <c r="H3" i="1"/>
  <c r="E5" i="1"/>
  <c r="G6" i="1"/>
  <c r="G67" i="3" s="1"/>
  <c r="J67" i="3" s="1"/>
  <c r="M67" i="3" s="1"/>
  <c r="H12" i="2"/>
  <c r="H82" i="3" s="1"/>
  <c r="H244" i="3" s="1"/>
  <c r="H10" i="2"/>
  <c r="H80" i="3" s="1"/>
  <c r="H242" i="3" s="1"/>
  <c r="G8" i="2"/>
  <c r="G78" i="3" s="1"/>
  <c r="G240" i="3" s="1"/>
  <c r="J240" i="3" s="1"/>
  <c r="H14" i="2"/>
  <c r="H83" i="3" s="1"/>
  <c r="H245" i="3" s="1"/>
  <c r="G12" i="2"/>
  <c r="G82" i="3" s="1"/>
  <c r="G244" i="3" s="1"/>
  <c r="J244" i="3" s="1"/>
  <c r="H3" i="2"/>
  <c r="G9" i="2"/>
  <c r="G79" i="3" s="1"/>
  <c r="G241" i="3" s="1"/>
  <c r="J241" i="3" s="1"/>
  <c r="G14" i="2"/>
  <c r="G83" i="3" s="1"/>
  <c r="G245" i="3" s="1"/>
  <c r="J245" i="3" s="1"/>
  <c r="G4" i="2"/>
  <c r="G3" i="2"/>
  <c r="G11" i="2"/>
  <c r="G81" i="3" s="1"/>
  <c r="G243" i="3" s="1"/>
  <c r="J243" i="3" s="1"/>
  <c r="D96" i="5"/>
  <c r="G94" i="5"/>
  <c r="G96" i="5" s="1"/>
  <c r="H9" i="5"/>
  <c r="H89" i="3" s="1"/>
  <c r="D4" i="5"/>
  <c r="E4" i="5"/>
  <c r="G13" i="5"/>
  <c r="G92" i="3" s="1"/>
  <c r="J92" i="3" s="1"/>
  <c r="G5" i="2" l="1"/>
  <c r="G75" i="3" s="1"/>
  <c r="J75" i="3" s="1"/>
  <c r="M75" i="3" s="1"/>
  <c r="M241" i="3"/>
  <c r="M73" i="3"/>
  <c r="M96" i="3"/>
  <c r="M71" i="3"/>
  <c r="M74" i="3"/>
  <c r="J83" i="3"/>
  <c r="J80" i="3"/>
  <c r="J76" i="3"/>
  <c r="M76" i="3" s="1"/>
  <c r="J82" i="3"/>
  <c r="J79" i="3"/>
  <c r="M79" i="3" s="1"/>
  <c r="J81" i="3"/>
  <c r="J78" i="3"/>
  <c r="K219" i="3"/>
  <c r="N219" i="3" s="1"/>
  <c r="H256" i="3"/>
  <c r="K256" i="3" s="1"/>
  <c r="N256" i="3" s="1"/>
  <c r="H238" i="3"/>
  <c r="K210" i="3"/>
  <c r="N210" i="3" s="1"/>
  <c r="H10" i="5"/>
  <c r="F10" i="10" s="1"/>
  <c r="H135" i="3" s="1"/>
  <c r="G256" i="3"/>
  <c r="J256" i="3" s="1"/>
  <c r="M256" i="3" s="1"/>
  <c r="K81" i="3"/>
  <c r="K243" i="3"/>
  <c r="M243" i="3" s="1"/>
  <c r="K242" i="3"/>
  <c r="M242" i="3" s="1"/>
  <c r="K78" i="3"/>
  <c r="K82" i="3"/>
  <c r="H206" i="3"/>
  <c r="H188" i="3"/>
  <c r="H5" i="1"/>
  <c r="H66" i="3" s="1"/>
  <c r="K66" i="3" s="1"/>
  <c r="N66" i="3" s="1"/>
  <c r="K244" i="3"/>
  <c r="M244" i="3" s="1"/>
  <c r="K237" i="3"/>
  <c r="N237" i="3" s="1"/>
  <c r="K75" i="3"/>
  <c r="N75" i="3" s="1"/>
  <c r="K245" i="3"/>
  <c r="M245" i="3" s="1"/>
  <c r="K89" i="3"/>
  <c r="M89" i="3" s="1"/>
  <c r="G209" i="3"/>
  <c r="J209" i="3" s="1"/>
  <c r="G191" i="3"/>
  <c r="J191" i="3" s="1"/>
  <c r="K240" i="3"/>
  <c r="M240" i="3" s="1"/>
  <c r="K80" i="3"/>
  <c r="K83" i="3"/>
  <c r="K67" i="3"/>
  <c r="N67" i="3" s="1"/>
  <c r="K72" i="3"/>
  <c r="M72" i="3" s="1"/>
  <c r="K125" i="3"/>
  <c r="M125" i="3" s="1"/>
  <c r="K123" i="3"/>
  <c r="M123" i="3" s="1"/>
  <c r="K121" i="3"/>
  <c r="N121" i="3" s="1"/>
  <c r="K124" i="3"/>
  <c r="M124" i="3" s="1"/>
  <c r="K255" i="3"/>
  <c r="N255" i="3" s="1"/>
  <c r="H193" i="3"/>
  <c r="H196" i="3"/>
  <c r="G197" i="3"/>
  <c r="J197" i="3" s="1"/>
  <c r="G259" i="3"/>
  <c r="J259" i="3" s="1"/>
  <c r="M259" i="3" s="1"/>
  <c r="G193" i="3"/>
  <c r="J193" i="3" s="1"/>
  <c r="M193" i="3" s="1"/>
  <c r="G195" i="3"/>
  <c r="J195" i="3" s="1"/>
  <c r="H197" i="3"/>
  <c r="H195" i="3"/>
  <c r="G196" i="3"/>
  <c r="J196" i="3" s="1"/>
  <c r="D26" i="19"/>
  <c r="G26" i="19" s="1"/>
  <c r="G211" i="3"/>
  <c r="J211" i="3" s="1"/>
  <c r="M211" i="3" s="1"/>
  <c r="G220" i="3"/>
  <c r="J220" i="3" s="1"/>
  <c r="M220" i="3" s="1"/>
  <c r="G213" i="3"/>
  <c r="J213" i="3" s="1"/>
  <c r="M213" i="3" s="1"/>
  <c r="D28" i="19"/>
  <c r="G222" i="3"/>
  <c r="J222" i="3" s="1"/>
  <c r="M222" i="3" s="1"/>
  <c r="G223" i="3"/>
  <c r="J223" i="3" s="1"/>
  <c r="M223" i="3" s="1"/>
  <c r="G214" i="3"/>
  <c r="J214" i="3" s="1"/>
  <c r="M214" i="3" s="1"/>
  <c r="D29" i="19"/>
  <c r="G29" i="19" s="1"/>
  <c r="H49" i="14"/>
  <c r="E4" i="14" s="1"/>
  <c r="G147" i="3" s="1"/>
  <c r="J147" i="3" s="1"/>
  <c r="M147" i="3" s="1"/>
  <c r="C4" i="14"/>
  <c r="P39" i="12"/>
  <c r="E4" i="12" s="1"/>
  <c r="G138" i="3" s="1"/>
  <c r="J138" i="3" s="1"/>
  <c r="M138" i="3" s="1"/>
  <c r="C4" i="12"/>
  <c r="F4" i="9"/>
  <c r="G120" i="3" s="1"/>
  <c r="J120" i="3" s="1"/>
  <c r="M120" i="3" s="1"/>
  <c r="G67" i="9"/>
  <c r="J67" i="9"/>
  <c r="H67" i="9"/>
  <c r="G4" i="9" s="1"/>
  <c r="H120" i="3" s="1"/>
  <c r="F96" i="5"/>
  <c r="F13" i="5"/>
  <c r="H13" i="5" s="1"/>
  <c r="H92" i="3" s="1"/>
  <c r="H90" i="3" l="1"/>
  <c r="M83" i="3"/>
  <c r="M80" i="3"/>
  <c r="M78" i="3"/>
  <c r="M81" i="3"/>
  <c r="M82" i="3"/>
  <c r="K238" i="3"/>
  <c r="N238" i="3" s="1"/>
  <c r="H209" i="3"/>
  <c r="H191" i="3"/>
  <c r="K92" i="3"/>
  <c r="M92" i="3" s="1"/>
  <c r="V138" i="3"/>
  <c r="W138" i="3" s="1"/>
  <c r="X138" i="3" s="1"/>
  <c r="V147" i="3"/>
  <c r="W147" i="3" s="1"/>
  <c r="X147" i="3" s="1"/>
  <c r="H189" i="3"/>
  <c r="K135" i="3"/>
  <c r="M135" i="3" s="1"/>
  <c r="K206" i="3"/>
  <c r="M206" i="3" s="1"/>
  <c r="H207" i="3"/>
  <c r="K90" i="3"/>
  <c r="M90" i="3" s="1"/>
  <c r="K188" i="3"/>
  <c r="M188" i="3" s="1"/>
  <c r="G165" i="3"/>
  <c r="J165" i="3" s="1"/>
  <c r="M165" i="3" s="1"/>
  <c r="K120" i="3"/>
  <c r="N120" i="3" s="1"/>
  <c r="K197" i="3"/>
  <c r="M197" i="3" s="1"/>
  <c r="K196" i="3"/>
  <c r="M196" i="3" s="1"/>
  <c r="K193" i="3"/>
  <c r="N193" i="3" s="1"/>
  <c r="K195" i="3"/>
  <c r="M195" i="3" s="1"/>
  <c r="H192" i="3"/>
  <c r="G192" i="3"/>
  <c r="J192" i="3" s="1"/>
  <c r="M192" i="3" s="1"/>
  <c r="G255" i="3"/>
  <c r="J255" i="3" s="1"/>
  <c r="M255" i="3" s="1"/>
  <c r="G219" i="3"/>
  <c r="J219" i="3" s="1"/>
  <c r="M219" i="3" s="1"/>
  <c r="G210" i="3"/>
  <c r="J210" i="3" s="1"/>
  <c r="M210" i="3" s="1"/>
  <c r="D25" i="19"/>
  <c r="G25" i="19" s="1"/>
  <c r="J38" i="5"/>
  <c r="L38" i="5" s="1"/>
  <c r="M38" i="5" s="1"/>
  <c r="J37" i="5"/>
  <c r="L37" i="5" s="1"/>
  <c r="M37" i="5" s="1"/>
  <c r="J36" i="5"/>
  <c r="L36" i="5" s="1"/>
  <c r="M36" i="5" s="1"/>
  <c r="J35" i="5"/>
  <c r="J34" i="5"/>
  <c r="L34" i="5" s="1"/>
  <c r="M34" i="5" s="1"/>
  <c r="J33" i="5"/>
  <c r="L33" i="5" s="1"/>
  <c r="M33" i="5" s="1"/>
  <c r="J32" i="5"/>
  <c r="J31" i="5"/>
  <c r="L31" i="5" s="1"/>
  <c r="M31" i="5" s="1"/>
  <c r="J30" i="5"/>
  <c r="L30" i="5" s="1"/>
  <c r="M30" i="5" s="1"/>
  <c r="J29" i="5"/>
  <c r="L29" i="5" s="1"/>
  <c r="M29" i="5" s="1"/>
  <c r="J28" i="5"/>
  <c r="L28" i="5" s="1"/>
  <c r="M28" i="5" s="1"/>
  <c r="J27" i="5"/>
  <c r="J26" i="5"/>
  <c r="L26" i="5" s="1"/>
  <c r="M26" i="5" s="1"/>
  <c r="J25" i="5"/>
  <c r="L25" i="5" s="1"/>
  <c r="M25" i="5" s="1"/>
  <c r="J24" i="5"/>
  <c r="L24" i="5" s="1"/>
  <c r="M24" i="5" s="1"/>
  <c r="J23" i="5"/>
  <c r="L23" i="5" s="1"/>
  <c r="M23" i="5" s="1"/>
  <c r="J22" i="5"/>
  <c r="D33" i="5"/>
  <c r="F33" i="5" s="1"/>
  <c r="D31" i="5"/>
  <c r="F31" i="5" s="1"/>
  <c r="D29" i="5"/>
  <c r="F29" i="5" s="1"/>
  <c r="D28" i="5"/>
  <c r="F28" i="5" s="1"/>
  <c r="D26" i="5"/>
  <c r="F26" i="5" s="1"/>
  <c r="D25" i="5"/>
  <c r="F25" i="5" s="1"/>
  <c r="D24" i="5"/>
  <c r="F24" i="5" s="1"/>
  <c r="D23" i="5"/>
  <c r="F23" i="5" s="1"/>
  <c r="D32" i="5"/>
  <c r="F32" i="5" s="1"/>
  <c r="F40" i="5"/>
  <c r="F39" i="5" l="1"/>
  <c r="K207" i="3"/>
  <c r="M207" i="3" s="1"/>
  <c r="K191" i="3"/>
  <c r="M191" i="3" s="1"/>
  <c r="K189" i="3"/>
  <c r="M189" i="3" s="1"/>
  <c r="K209" i="3"/>
  <c r="M209" i="3" s="1"/>
  <c r="G273" i="3"/>
  <c r="J273" i="3" s="1"/>
  <c r="M273" i="3" s="1"/>
  <c r="K192" i="3"/>
  <c r="N192" i="3" s="1"/>
  <c r="L27" i="5"/>
  <c r="M27" i="5" s="1"/>
  <c r="L35" i="5"/>
  <c r="M35" i="5" s="1"/>
  <c r="L32" i="5"/>
  <c r="M32" i="5" s="1"/>
  <c r="J39" i="5"/>
  <c r="D39" i="5"/>
  <c r="L22" i="5"/>
  <c r="H79" i="5"/>
  <c r="L79" i="5" s="1"/>
  <c r="M79" i="5" s="1"/>
  <c r="J77" i="5"/>
  <c r="F77" i="5"/>
  <c r="C11" i="5" s="1"/>
  <c r="J76" i="5"/>
  <c r="L76" i="5" s="1"/>
  <c r="M76" i="5" s="1"/>
  <c r="F76" i="5"/>
  <c r="J75" i="5"/>
  <c r="L75" i="5" s="1"/>
  <c r="M75" i="5" s="1"/>
  <c r="F75" i="5"/>
  <c r="J74" i="5"/>
  <c r="L74" i="5" s="1"/>
  <c r="M74" i="5" s="1"/>
  <c r="F74" i="5"/>
  <c r="J73" i="5"/>
  <c r="L73" i="5" s="1"/>
  <c r="M73" i="5" s="1"/>
  <c r="F73" i="5"/>
  <c r="J72" i="5"/>
  <c r="L72" i="5" s="1"/>
  <c r="M72" i="5" s="1"/>
  <c r="F72" i="5"/>
  <c r="J71" i="5"/>
  <c r="L71" i="5" s="1"/>
  <c r="M71" i="5" s="1"/>
  <c r="F71" i="5"/>
  <c r="J70" i="5"/>
  <c r="L70" i="5" s="1"/>
  <c r="M70" i="5" s="1"/>
  <c r="F70" i="5"/>
  <c r="J69" i="5"/>
  <c r="L69" i="5" s="1"/>
  <c r="M69" i="5" s="1"/>
  <c r="F69" i="5"/>
  <c r="J68" i="5"/>
  <c r="L68" i="5" s="1"/>
  <c r="M68" i="5" s="1"/>
  <c r="F68" i="5"/>
  <c r="J67" i="5"/>
  <c r="L67" i="5" s="1"/>
  <c r="M67" i="5" s="1"/>
  <c r="F67" i="5"/>
  <c r="J66" i="5"/>
  <c r="L66" i="5" s="1"/>
  <c r="M66" i="5" s="1"/>
  <c r="F66" i="5"/>
  <c r="J65" i="5"/>
  <c r="L65" i="5" s="1"/>
  <c r="M65" i="5" s="1"/>
  <c r="F65" i="5"/>
  <c r="J64" i="5"/>
  <c r="L64" i="5" s="1"/>
  <c r="M64" i="5" s="1"/>
  <c r="F64" i="5"/>
  <c r="K63" i="5"/>
  <c r="H63" i="5"/>
  <c r="G63" i="5"/>
  <c r="D63" i="5"/>
  <c r="J62" i="5"/>
  <c r="L62" i="5" s="1"/>
  <c r="M62" i="5" s="1"/>
  <c r="F62" i="5"/>
  <c r="J61" i="5"/>
  <c r="L61" i="5" s="1"/>
  <c r="M61" i="5" s="1"/>
  <c r="F61" i="5"/>
  <c r="J60" i="5"/>
  <c r="F60" i="5"/>
  <c r="K59" i="5"/>
  <c r="K78" i="5" s="1"/>
  <c r="H59" i="5"/>
  <c r="H78" i="5" s="1"/>
  <c r="G59" i="5"/>
  <c r="G78" i="5" s="1"/>
  <c r="J58" i="5"/>
  <c r="L58" i="5" s="1"/>
  <c r="M58" i="5" s="1"/>
  <c r="F58" i="5"/>
  <c r="J57" i="5"/>
  <c r="L57" i="5" s="1"/>
  <c r="M57" i="5" s="1"/>
  <c r="F57" i="5"/>
  <c r="J56" i="5"/>
  <c r="L56" i="5" s="1"/>
  <c r="M56" i="5" s="1"/>
  <c r="F56" i="5"/>
  <c r="J55" i="5"/>
  <c r="L55" i="5" s="1"/>
  <c r="M55" i="5" s="1"/>
  <c r="F55" i="5"/>
  <c r="J54" i="5"/>
  <c r="L54" i="5" s="1"/>
  <c r="M54" i="5" s="1"/>
  <c r="F54" i="5"/>
  <c r="J53" i="5"/>
  <c r="L53" i="5" s="1"/>
  <c r="M53" i="5" s="1"/>
  <c r="F53" i="5"/>
  <c r="J52" i="5"/>
  <c r="L52" i="5" s="1"/>
  <c r="M52" i="5" s="1"/>
  <c r="F52" i="5"/>
  <c r="J51" i="5"/>
  <c r="L51" i="5" s="1"/>
  <c r="M51" i="5" s="1"/>
  <c r="F51" i="5"/>
  <c r="J50" i="5"/>
  <c r="L50" i="5" s="1"/>
  <c r="M50" i="5" s="1"/>
  <c r="F50" i="5"/>
  <c r="J49" i="5"/>
  <c r="L49" i="5" s="1"/>
  <c r="M49" i="5" s="1"/>
  <c r="F49" i="5"/>
  <c r="J48" i="5"/>
  <c r="L48" i="5" s="1"/>
  <c r="M48" i="5" s="1"/>
  <c r="F48" i="5"/>
  <c r="J47" i="5"/>
  <c r="L47" i="5" s="1"/>
  <c r="M47" i="5" s="1"/>
  <c r="F47" i="5"/>
  <c r="J46" i="5"/>
  <c r="L46" i="5" s="1"/>
  <c r="M46" i="5" s="1"/>
  <c r="F46" i="5"/>
  <c r="J45" i="5"/>
  <c r="L45" i="5" s="1"/>
  <c r="M45" i="5" s="1"/>
  <c r="F45" i="5"/>
  <c r="J44" i="5"/>
  <c r="L44" i="5" s="1"/>
  <c r="M44" i="5" s="1"/>
  <c r="F44" i="5"/>
  <c r="J43" i="5"/>
  <c r="L43" i="5" s="1"/>
  <c r="M43" i="5" s="1"/>
  <c r="F43" i="5"/>
  <c r="J42" i="5"/>
  <c r="L42" i="5" s="1"/>
  <c r="M42" i="5" s="1"/>
  <c r="F42" i="5"/>
  <c r="J41" i="5"/>
  <c r="L41" i="5" s="1"/>
  <c r="M41" i="5" s="1"/>
  <c r="F41" i="5"/>
  <c r="J40" i="5"/>
  <c r="D59" i="5"/>
  <c r="D78" i="5" l="1"/>
  <c r="G11" i="5"/>
  <c r="G91" i="3" s="1"/>
  <c r="J91" i="3" s="1"/>
  <c r="V91" i="3"/>
  <c r="W91" i="3" s="1"/>
  <c r="X91" i="3" s="1"/>
  <c r="C5" i="5"/>
  <c r="F2" i="5"/>
  <c r="H2" i="5" s="1"/>
  <c r="C2" i="5"/>
  <c r="G2" i="5" s="1"/>
  <c r="C8" i="5"/>
  <c r="F3" i="5"/>
  <c r="H3" i="5" s="1"/>
  <c r="L77" i="5"/>
  <c r="M77" i="5" s="1"/>
  <c r="F11" i="5"/>
  <c r="H11" i="5" s="1"/>
  <c r="H91" i="3" s="1"/>
  <c r="F8" i="5"/>
  <c r="H8" i="5" s="1"/>
  <c r="H88" i="3" s="1"/>
  <c r="L60" i="5"/>
  <c r="M60" i="5" s="1"/>
  <c r="F7" i="5"/>
  <c r="H7" i="5" s="1"/>
  <c r="H87" i="3" s="1"/>
  <c r="F5" i="5"/>
  <c r="H5" i="5" s="1"/>
  <c r="H85" i="3" s="1"/>
  <c r="C7" i="5"/>
  <c r="C3" i="5"/>
  <c r="G3" i="5" s="1"/>
  <c r="M22" i="5"/>
  <c r="L39" i="5"/>
  <c r="F63" i="5"/>
  <c r="E63" i="5" s="1"/>
  <c r="G80" i="5"/>
  <c r="K80" i="5"/>
  <c r="H80" i="5"/>
  <c r="D80" i="5"/>
  <c r="J59" i="5"/>
  <c r="I59" i="5" s="1"/>
  <c r="J63" i="5"/>
  <c r="I63" i="5" s="1"/>
  <c r="F59" i="5"/>
  <c r="E59" i="5" s="1"/>
  <c r="L40" i="5"/>
  <c r="M39" i="5" l="1"/>
  <c r="J78" i="5"/>
  <c r="F78" i="5"/>
  <c r="H202" i="3"/>
  <c r="H184" i="3"/>
  <c r="K85" i="3"/>
  <c r="N85" i="3" s="1"/>
  <c r="H204" i="3"/>
  <c r="H186" i="3"/>
  <c r="K87" i="3"/>
  <c r="G5" i="5"/>
  <c r="G85" i="3" s="1"/>
  <c r="J85" i="3" s="1"/>
  <c r="M85" i="3" s="1"/>
  <c r="V85" i="3"/>
  <c r="W85" i="3" s="1"/>
  <c r="X85" i="3" s="1"/>
  <c r="G7" i="5"/>
  <c r="G87" i="3" s="1"/>
  <c r="J87" i="3" s="1"/>
  <c r="V87" i="3"/>
  <c r="W87" i="3" s="1"/>
  <c r="X87" i="3" s="1"/>
  <c r="H205" i="3"/>
  <c r="H187" i="3"/>
  <c r="K88" i="3"/>
  <c r="G8" i="5"/>
  <c r="G88" i="3" s="1"/>
  <c r="J88" i="3" s="1"/>
  <c r="V88" i="3"/>
  <c r="W88" i="3" s="1"/>
  <c r="X88" i="3" s="1"/>
  <c r="G208" i="3"/>
  <c r="J208" i="3" s="1"/>
  <c r="G190" i="3"/>
  <c r="J190" i="3" s="1"/>
  <c r="H208" i="3"/>
  <c r="H190" i="3"/>
  <c r="K91" i="3"/>
  <c r="M91" i="3" s="1"/>
  <c r="L63" i="5"/>
  <c r="M63" i="5" s="1"/>
  <c r="F4" i="5"/>
  <c r="H4" i="5" s="1"/>
  <c r="H84" i="3" s="1"/>
  <c r="C4" i="5"/>
  <c r="J80" i="5"/>
  <c r="I80" i="5" s="1"/>
  <c r="M40" i="5"/>
  <c r="L59" i="5"/>
  <c r="M59" i="5" s="1"/>
  <c r="L78" i="5" l="1"/>
  <c r="M87" i="3"/>
  <c r="M88" i="3"/>
  <c r="H201" i="3"/>
  <c r="K84" i="3"/>
  <c r="N84" i="3" s="1"/>
  <c r="K187" i="3"/>
  <c r="G204" i="3"/>
  <c r="J204" i="3" s="1"/>
  <c r="G186" i="3"/>
  <c r="J186" i="3" s="1"/>
  <c r="K190" i="3"/>
  <c r="M190" i="3" s="1"/>
  <c r="G205" i="3"/>
  <c r="J205" i="3" s="1"/>
  <c r="G187" i="3"/>
  <c r="J187" i="3" s="1"/>
  <c r="K205" i="3"/>
  <c r="K208" i="3"/>
  <c r="M208" i="3" s="1"/>
  <c r="K186" i="3"/>
  <c r="K184" i="3"/>
  <c r="N184" i="3" s="1"/>
  <c r="G4" i="5"/>
  <c r="G84" i="3" s="1"/>
  <c r="J84" i="3" s="1"/>
  <c r="M84" i="3" s="1"/>
  <c r="V84" i="3"/>
  <c r="W84" i="3" s="1"/>
  <c r="X84" i="3" s="1"/>
  <c r="G202" i="3"/>
  <c r="J202" i="3" s="1"/>
  <c r="M202" i="3" s="1"/>
  <c r="G184" i="3"/>
  <c r="J184" i="3" s="1"/>
  <c r="M184" i="3" s="1"/>
  <c r="K204" i="3"/>
  <c r="K202" i="3"/>
  <c r="N202" i="3" s="1"/>
  <c r="I78" i="5"/>
  <c r="F80" i="5"/>
  <c r="E80" i="5" s="1"/>
  <c r="E78" i="5"/>
  <c r="M186" i="3" l="1"/>
  <c r="M187" i="3"/>
  <c r="M204" i="3"/>
  <c r="M205" i="3"/>
  <c r="G201" i="3"/>
  <c r="J201" i="3" s="1"/>
  <c r="M201" i="3" s="1"/>
  <c r="K201" i="3"/>
  <c r="N201" i="3" s="1"/>
  <c r="L80" i="5"/>
  <c r="M80" i="5" s="1"/>
  <c r="M78" i="5"/>
  <c r="Q117" i="8" l="1"/>
  <c r="P117" i="8"/>
  <c r="Q116" i="8"/>
  <c r="P116" i="8"/>
  <c r="Q115" i="8"/>
  <c r="P115" i="8"/>
  <c r="L118" i="8"/>
  <c r="K118" i="8"/>
  <c r="J118" i="8"/>
  <c r="I118" i="8"/>
  <c r="D12" i="8" s="1"/>
  <c r="G118" i="8"/>
  <c r="D118" i="8"/>
  <c r="H116" i="8"/>
  <c r="H117" i="8"/>
  <c r="H127" i="8"/>
  <c r="C13" i="8" s="1"/>
  <c r="N325" i="16" s="1"/>
  <c r="H120" i="8"/>
  <c r="C11" i="8" s="1"/>
  <c r="H115" i="8"/>
  <c r="H113" i="8"/>
  <c r="C14" i="8" s="1"/>
  <c r="V119" i="3" s="1"/>
  <c r="W119" i="3" s="1"/>
  <c r="X119" i="3" s="1"/>
  <c r="H107" i="8"/>
  <c r="H106" i="8"/>
  <c r="H105" i="8"/>
  <c r="H104" i="8"/>
  <c r="H98" i="8"/>
  <c r="C10" i="8" s="1"/>
  <c r="V116" i="3" s="1"/>
  <c r="W116" i="3" s="1"/>
  <c r="X116" i="3" s="1"/>
  <c r="Q98" i="8"/>
  <c r="P98" i="8"/>
  <c r="H92" i="8"/>
  <c r="H91" i="8"/>
  <c r="H90" i="8"/>
  <c r="H89" i="8"/>
  <c r="H88" i="8"/>
  <c r="H87" i="8"/>
  <c r="H86" i="8"/>
  <c r="H85" i="8"/>
  <c r="H84" i="8"/>
  <c r="H83" i="8"/>
  <c r="H82" i="8"/>
  <c r="H81" i="8"/>
  <c r="H80" i="8"/>
  <c r="H79" i="8"/>
  <c r="H78" i="8"/>
  <c r="H77" i="8"/>
  <c r="H76" i="8"/>
  <c r="H75" i="8"/>
  <c r="H74" i="8"/>
  <c r="H68" i="8"/>
  <c r="H67" i="8"/>
  <c r="H66" i="8"/>
  <c r="H65" i="8"/>
  <c r="H64" i="8"/>
  <c r="H63" i="8"/>
  <c r="H62" i="8"/>
  <c r="H61" i="8"/>
  <c r="H60" i="8"/>
  <c r="H59" i="8"/>
  <c r="H53" i="8"/>
  <c r="H52" i="8"/>
  <c r="H51" i="8"/>
  <c r="H50" i="8"/>
  <c r="H49" i="8"/>
  <c r="H48" i="8"/>
  <c r="H47" i="8"/>
  <c r="H46" i="8"/>
  <c r="H45" i="8"/>
  <c r="H44" i="8"/>
  <c r="H43" i="8"/>
  <c r="H42" i="8"/>
  <c r="H41" i="8"/>
  <c r="H40" i="8"/>
  <c r="H39" i="8"/>
  <c r="H38" i="8"/>
  <c r="H37" i="8"/>
  <c r="H36" i="8"/>
  <c r="H35" i="8"/>
  <c r="H34" i="8"/>
  <c r="H23" i="8"/>
  <c r="H24" i="8"/>
  <c r="H25" i="8"/>
  <c r="H26" i="8"/>
  <c r="H27" i="8"/>
  <c r="H28" i="8"/>
  <c r="H22" i="8"/>
  <c r="Q127" i="8"/>
  <c r="P127" i="8"/>
  <c r="Q120" i="8"/>
  <c r="P120" i="8"/>
  <c r="Q113" i="8"/>
  <c r="P113" i="8"/>
  <c r="Q107" i="8"/>
  <c r="P107" i="8"/>
  <c r="Q106" i="8"/>
  <c r="P106" i="8"/>
  <c r="Q105" i="8"/>
  <c r="P105" i="8"/>
  <c r="Q104" i="8"/>
  <c r="P104" i="8"/>
  <c r="L108" i="8"/>
  <c r="K108" i="8"/>
  <c r="J108" i="8"/>
  <c r="I108" i="8"/>
  <c r="D8" i="8" s="1"/>
  <c r="D108" i="8"/>
  <c r="Q92" i="8"/>
  <c r="P92" i="8"/>
  <c r="Q91" i="8"/>
  <c r="P91" i="8"/>
  <c r="Q90" i="8"/>
  <c r="P90" i="8"/>
  <c r="Q89" i="8"/>
  <c r="P89" i="8"/>
  <c r="Q88" i="8"/>
  <c r="P88" i="8"/>
  <c r="Q87" i="8"/>
  <c r="P87" i="8"/>
  <c r="Q86" i="8"/>
  <c r="P86" i="8"/>
  <c r="Q85" i="8"/>
  <c r="P85" i="8"/>
  <c r="Q84" i="8"/>
  <c r="P84" i="8"/>
  <c r="Q83" i="8"/>
  <c r="P83" i="8"/>
  <c r="Q82" i="8"/>
  <c r="P82" i="8"/>
  <c r="Q81" i="8"/>
  <c r="P81" i="8"/>
  <c r="Q80" i="8"/>
  <c r="P80" i="8"/>
  <c r="Q79" i="8"/>
  <c r="P79" i="8"/>
  <c r="Q78" i="8"/>
  <c r="P78" i="8"/>
  <c r="Q77" i="8"/>
  <c r="P77" i="8"/>
  <c r="Q76" i="8"/>
  <c r="P76" i="8"/>
  <c r="Q75" i="8"/>
  <c r="P75" i="8"/>
  <c r="Q74" i="8"/>
  <c r="P74" i="8"/>
  <c r="L93" i="8"/>
  <c r="K93" i="8"/>
  <c r="J93" i="8"/>
  <c r="I93" i="8"/>
  <c r="D9" i="8" s="1"/>
  <c r="D93" i="8"/>
  <c r="Q68" i="8"/>
  <c r="P68" i="8"/>
  <c r="Q67" i="8"/>
  <c r="P67" i="8"/>
  <c r="Q66" i="8"/>
  <c r="P66" i="8"/>
  <c r="Q65" i="8"/>
  <c r="P65" i="8"/>
  <c r="Q64" i="8"/>
  <c r="P64" i="8"/>
  <c r="Q63" i="8"/>
  <c r="P63" i="8"/>
  <c r="Q62" i="8"/>
  <c r="P62" i="8"/>
  <c r="Q61" i="8"/>
  <c r="P61" i="8"/>
  <c r="Q60" i="8"/>
  <c r="P60" i="8"/>
  <c r="Q59" i="8"/>
  <c r="P59" i="8"/>
  <c r="L69" i="8"/>
  <c r="K69" i="8"/>
  <c r="J69" i="8"/>
  <c r="I69" i="8"/>
  <c r="D4" i="8" s="1"/>
  <c r="D69" i="8"/>
  <c r="P35" i="8"/>
  <c r="Q35" i="8"/>
  <c r="P36" i="8"/>
  <c r="Q36" i="8"/>
  <c r="P37" i="8"/>
  <c r="Q37" i="8"/>
  <c r="P38" i="8"/>
  <c r="Q38" i="8"/>
  <c r="P39" i="8"/>
  <c r="Q39" i="8"/>
  <c r="P40" i="8"/>
  <c r="Q40" i="8"/>
  <c r="P41" i="8"/>
  <c r="Q41" i="8"/>
  <c r="P42" i="8"/>
  <c r="Q42" i="8"/>
  <c r="P43" i="8"/>
  <c r="Q43" i="8"/>
  <c r="P44" i="8"/>
  <c r="Q44" i="8"/>
  <c r="P45" i="8"/>
  <c r="Q45" i="8"/>
  <c r="P46" i="8"/>
  <c r="Q46" i="8"/>
  <c r="P47" i="8"/>
  <c r="Q47" i="8"/>
  <c r="P48" i="8"/>
  <c r="Q48" i="8"/>
  <c r="P49" i="8"/>
  <c r="Q49" i="8"/>
  <c r="P50" i="8"/>
  <c r="Q50" i="8"/>
  <c r="P51" i="8"/>
  <c r="Q51" i="8"/>
  <c r="P52" i="8"/>
  <c r="Q52" i="8"/>
  <c r="P53" i="8"/>
  <c r="Q53" i="8"/>
  <c r="Q34" i="8"/>
  <c r="P34" i="8"/>
  <c r="L54" i="8"/>
  <c r="K54" i="8"/>
  <c r="J54" i="8"/>
  <c r="I54" i="8"/>
  <c r="D54" i="8"/>
  <c r="P23" i="8"/>
  <c r="Q23" i="8"/>
  <c r="P24" i="8"/>
  <c r="Q24" i="8"/>
  <c r="P25" i="8"/>
  <c r="Q25" i="8"/>
  <c r="P26" i="8"/>
  <c r="Q26" i="8"/>
  <c r="P27" i="8"/>
  <c r="Q27" i="8"/>
  <c r="P28" i="8"/>
  <c r="Q28" i="8"/>
  <c r="Q22" i="8"/>
  <c r="P22" i="8"/>
  <c r="L29" i="8"/>
  <c r="K29" i="8"/>
  <c r="J29" i="8"/>
  <c r="I29" i="8"/>
  <c r="D6" i="8" s="1"/>
  <c r="D29" i="8"/>
  <c r="I112" i="7"/>
  <c r="N112" i="7" s="1"/>
  <c r="M112" i="7"/>
  <c r="D240" i="16" l="1"/>
  <c r="N357" i="16"/>
  <c r="K325" i="16"/>
  <c r="V117" i="3"/>
  <c r="W117" i="3" s="1"/>
  <c r="X117" i="3" s="1"/>
  <c r="I71" i="8"/>
  <c r="D5" i="8" s="1"/>
  <c r="D3" i="8"/>
  <c r="O275" i="16"/>
  <c r="J71" i="8"/>
  <c r="H118" i="8"/>
  <c r="C12" i="8" s="1"/>
  <c r="K71" i="8"/>
  <c r="L71" i="8"/>
  <c r="P118" i="8"/>
  <c r="Q118" i="8"/>
  <c r="D71" i="8"/>
  <c r="Q54" i="8"/>
  <c r="H108" i="8"/>
  <c r="C8" i="8" s="1"/>
  <c r="H93" i="8"/>
  <c r="C9" i="8" s="1"/>
  <c r="H69" i="8"/>
  <c r="C4" i="8" s="1"/>
  <c r="H54" i="8"/>
  <c r="Q93" i="8"/>
  <c r="F9" i="8" s="1"/>
  <c r="H115" i="3" s="1"/>
  <c r="Q108" i="8"/>
  <c r="H29" i="8"/>
  <c r="C6" i="8" s="1"/>
  <c r="V112" i="3" s="1"/>
  <c r="W112" i="3" s="1"/>
  <c r="X112" i="3" s="1"/>
  <c r="Q29" i="8"/>
  <c r="Q69" i="8"/>
  <c r="I113" i="7"/>
  <c r="F11" i="7" s="1"/>
  <c r="H113" i="7"/>
  <c r="E102" i="7"/>
  <c r="E108" i="7"/>
  <c r="E113" i="7"/>
  <c r="C11" i="7" s="1"/>
  <c r="V108" i="3" s="1"/>
  <c r="W108" i="3" s="1"/>
  <c r="X108" i="3" s="1"/>
  <c r="F113" i="7"/>
  <c r="N107" i="7"/>
  <c r="M107" i="7"/>
  <c r="N106" i="7"/>
  <c r="M106" i="7"/>
  <c r="I108" i="7"/>
  <c r="F12" i="7" s="1"/>
  <c r="H108" i="7"/>
  <c r="E12" i="7" s="1"/>
  <c r="G12" i="7" s="1"/>
  <c r="G109" i="3" s="1"/>
  <c r="J109" i="3" s="1"/>
  <c r="F108" i="7"/>
  <c r="N101" i="7"/>
  <c r="M101" i="7"/>
  <c r="N100" i="7"/>
  <c r="M100" i="7"/>
  <c r="I102" i="7"/>
  <c r="F14" i="7" s="1"/>
  <c r="H102" i="7"/>
  <c r="E14" i="7" s="1"/>
  <c r="G14" i="7" s="1"/>
  <c r="G110" i="3" s="1"/>
  <c r="J110" i="3" s="1"/>
  <c r="F102" i="7"/>
  <c r="N95" i="7"/>
  <c r="M95" i="7"/>
  <c r="N94" i="7"/>
  <c r="M94" i="7"/>
  <c r="N93" i="7"/>
  <c r="M93" i="7"/>
  <c r="N92" i="7"/>
  <c r="M92" i="7"/>
  <c r="I96" i="7"/>
  <c r="F8" i="7" s="1"/>
  <c r="H96" i="7"/>
  <c r="E8" i="7" s="1"/>
  <c r="F96" i="7"/>
  <c r="E96" i="7"/>
  <c r="C8" i="7" s="1"/>
  <c r="V105" i="3" s="1"/>
  <c r="W105" i="3" s="1"/>
  <c r="X105" i="3" s="1"/>
  <c r="N87" i="7"/>
  <c r="M87" i="7"/>
  <c r="N86" i="7"/>
  <c r="M86" i="7"/>
  <c r="N85" i="7"/>
  <c r="M85" i="7"/>
  <c r="N84" i="7"/>
  <c r="M84" i="7"/>
  <c r="N83" i="7"/>
  <c r="M83" i="7"/>
  <c r="N82" i="7"/>
  <c r="M82" i="7"/>
  <c r="N81" i="7"/>
  <c r="M81" i="7"/>
  <c r="N80" i="7"/>
  <c r="M80" i="7"/>
  <c r="N79" i="7"/>
  <c r="M79" i="7"/>
  <c r="N78" i="7"/>
  <c r="M78" i="7"/>
  <c r="I88" i="7"/>
  <c r="F6" i="7" s="1"/>
  <c r="H88" i="7"/>
  <c r="E6" i="7" s="1"/>
  <c r="F88" i="7"/>
  <c r="E88" i="7"/>
  <c r="C6" i="7" s="1"/>
  <c r="V103" i="3" s="1"/>
  <c r="W103" i="3" s="1"/>
  <c r="X103" i="3" s="1"/>
  <c r="N73" i="7"/>
  <c r="M73" i="7"/>
  <c r="I74" i="7"/>
  <c r="F10" i="7" s="1"/>
  <c r="H74" i="7"/>
  <c r="E10" i="7" s="1"/>
  <c r="F74" i="7"/>
  <c r="E74" i="7"/>
  <c r="C10" i="7" s="1"/>
  <c r="V107" i="3" s="1"/>
  <c r="W107" i="3" s="1"/>
  <c r="X107" i="3" s="1"/>
  <c r="M67" i="7"/>
  <c r="N67" i="7"/>
  <c r="M68" i="7"/>
  <c r="N68" i="7"/>
  <c r="N66" i="7"/>
  <c r="M66" i="7"/>
  <c r="I69" i="7"/>
  <c r="F9" i="7" s="1"/>
  <c r="H69" i="7"/>
  <c r="E9" i="7" s="1"/>
  <c r="F69" i="7"/>
  <c r="E69" i="7"/>
  <c r="C9" i="7" s="1"/>
  <c r="V106" i="3" s="1"/>
  <c r="W106" i="3" s="1"/>
  <c r="X106" i="3" s="1"/>
  <c r="N61" i="7"/>
  <c r="M61" i="7"/>
  <c r="N60" i="7"/>
  <c r="M60" i="7"/>
  <c r="N59" i="7"/>
  <c r="M59" i="7"/>
  <c r="N58" i="7"/>
  <c r="M58" i="7"/>
  <c r="N57" i="7"/>
  <c r="M57" i="7"/>
  <c r="N56" i="7"/>
  <c r="M56" i="7"/>
  <c r="N55" i="7"/>
  <c r="M55" i="7"/>
  <c r="N54" i="7"/>
  <c r="M54" i="7"/>
  <c r="N53" i="7"/>
  <c r="M53" i="7"/>
  <c r="N52" i="7"/>
  <c r="M52" i="7"/>
  <c r="N51" i="7"/>
  <c r="M51" i="7"/>
  <c r="N50" i="7"/>
  <c r="M50" i="7"/>
  <c r="N49" i="7"/>
  <c r="M49" i="7"/>
  <c r="I62" i="7"/>
  <c r="F4" i="7" s="1"/>
  <c r="H62" i="7"/>
  <c r="E4" i="7" s="1"/>
  <c r="F62" i="7"/>
  <c r="E62" i="7"/>
  <c r="C4" i="7" s="1"/>
  <c r="I45" i="7"/>
  <c r="F3" i="7" s="1"/>
  <c r="F45" i="7"/>
  <c r="N44" i="7"/>
  <c r="N43" i="7"/>
  <c r="N42" i="7"/>
  <c r="N41" i="7"/>
  <c r="N40" i="7"/>
  <c r="N39" i="7"/>
  <c r="N38" i="7"/>
  <c r="N37" i="7"/>
  <c r="N36" i="7"/>
  <c r="N35" i="7"/>
  <c r="N34" i="7"/>
  <c r="N33" i="7"/>
  <c r="N32" i="7"/>
  <c r="N31" i="7"/>
  <c r="N30" i="7"/>
  <c r="N29" i="7"/>
  <c r="N28" i="7"/>
  <c r="N27" i="7"/>
  <c r="N26" i="7"/>
  <c r="N25" i="7"/>
  <c r="N24" i="7"/>
  <c r="N23" i="7"/>
  <c r="N22" i="7"/>
  <c r="M44" i="7"/>
  <c r="M43" i="7"/>
  <c r="M42" i="7"/>
  <c r="M41" i="7"/>
  <c r="M40" i="7"/>
  <c r="M39" i="7"/>
  <c r="M38" i="7"/>
  <c r="M37" i="7"/>
  <c r="M36" i="7"/>
  <c r="M35" i="7"/>
  <c r="M34" i="7"/>
  <c r="M33" i="7"/>
  <c r="M32" i="7"/>
  <c r="M31" i="7"/>
  <c r="M30" i="7"/>
  <c r="M29" i="7"/>
  <c r="M28" i="7"/>
  <c r="M27" i="7"/>
  <c r="M26" i="7"/>
  <c r="M25" i="7"/>
  <c r="M24" i="7"/>
  <c r="M23" i="7"/>
  <c r="M22" i="7"/>
  <c r="H45" i="7"/>
  <c r="E3" i="7" s="1"/>
  <c r="L45" i="7"/>
  <c r="E45" i="7"/>
  <c r="N93" i="6"/>
  <c r="M93" i="6"/>
  <c r="N92" i="6"/>
  <c r="M92" i="6"/>
  <c r="K94" i="6"/>
  <c r="G94" i="6"/>
  <c r="F11" i="6" s="1"/>
  <c r="F94" i="6"/>
  <c r="E11" i="6" s="1"/>
  <c r="E94" i="6"/>
  <c r="D11" i="6" s="1"/>
  <c r="N87" i="6"/>
  <c r="M87" i="6"/>
  <c r="N86" i="6"/>
  <c r="M86" i="6"/>
  <c r="N85" i="6"/>
  <c r="M85" i="6"/>
  <c r="N84" i="6"/>
  <c r="M84" i="6"/>
  <c r="N83" i="6"/>
  <c r="M83" i="6"/>
  <c r="N82" i="6"/>
  <c r="M82" i="6"/>
  <c r="N81" i="6"/>
  <c r="M81" i="6"/>
  <c r="N80" i="6"/>
  <c r="M80" i="6"/>
  <c r="K88" i="6"/>
  <c r="G88" i="6"/>
  <c r="F88" i="6"/>
  <c r="E88" i="6"/>
  <c r="N75" i="6"/>
  <c r="M75" i="6"/>
  <c r="N74" i="6"/>
  <c r="M74" i="6"/>
  <c r="N73" i="6"/>
  <c r="M73" i="6"/>
  <c r="N72" i="6"/>
  <c r="M72" i="6"/>
  <c r="N71" i="6"/>
  <c r="M71" i="6"/>
  <c r="N70" i="6"/>
  <c r="M70" i="6"/>
  <c r="N69" i="6"/>
  <c r="M69" i="6"/>
  <c r="N68" i="6"/>
  <c r="M68" i="6"/>
  <c r="N67" i="6"/>
  <c r="M67" i="6"/>
  <c r="N66" i="6"/>
  <c r="M66" i="6"/>
  <c r="N65" i="6"/>
  <c r="M65" i="6"/>
  <c r="N64" i="6"/>
  <c r="M64" i="6"/>
  <c r="K76" i="6"/>
  <c r="G76" i="6"/>
  <c r="F12" i="6" s="1"/>
  <c r="F76" i="6"/>
  <c r="E12" i="6" s="1"/>
  <c r="E76" i="6"/>
  <c r="D12" i="6" s="1"/>
  <c r="N59" i="6"/>
  <c r="M59" i="6"/>
  <c r="N58" i="6"/>
  <c r="M58" i="6"/>
  <c r="K60" i="6"/>
  <c r="G60" i="6"/>
  <c r="F14" i="6" s="1"/>
  <c r="F60" i="6"/>
  <c r="E14" i="6" s="1"/>
  <c r="E60" i="6"/>
  <c r="D14" i="6" s="1"/>
  <c r="N53" i="6"/>
  <c r="M53" i="6"/>
  <c r="N52" i="6"/>
  <c r="M52" i="6"/>
  <c r="N51" i="6"/>
  <c r="M51" i="6"/>
  <c r="N50" i="6"/>
  <c r="M50" i="6"/>
  <c r="K54" i="6"/>
  <c r="G54" i="6"/>
  <c r="F9" i="6" s="1"/>
  <c r="F54" i="6"/>
  <c r="E9" i="6" s="1"/>
  <c r="E54" i="6"/>
  <c r="D9" i="6" s="1"/>
  <c r="N46" i="6"/>
  <c r="M46" i="6"/>
  <c r="K47" i="6"/>
  <c r="G47" i="6"/>
  <c r="F10" i="6" s="1"/>
  <c r="F47" i="6"/>
  <c r="E10" i="6" s="1"/>
  <c r="E47" i="6"/>
  <c r="D10" i="6" s="1"/>
  <c r="M36" i="6"/>
  <c r="N36" i="6"/>
  <c r="M37" i="6"/>
  <c r="N37" i="6"/>
  <c r="M38" i="6"/>
  <c r="N38" i="6"/>
  <c r="N35" i="6"/>
  <c r="M35" i="6"/>
  <c r="K39" i="6"/>
  <c r="K42" i="6" s="1"/>
  <c r="G39" i="6"/>
  <c r="F4" i="6" s="1"/>
  <c r="F39" i="6"/>
  <c r="E4" i="6" s="1"/>
  <c r="E39" i="6"/>
  <c r="D4" i="6" s="1"/>
  <c r="N24" i="6"/>
  <c r="N25" i="6"/>
  <c r="N26" i="6"/>
  <c r="N27" i="6"/>
  <c r="N28" i="6"/>
  <c r="N29" i="6"/>
  <c r="N30" i="6"/>
  <c r="N23" i="6"/>
  <c r="M24" i="6"/>
  <c r="M25" i="6"/>
  <c r="M26" i="6"/>
  <c r="M27" i="6"/>
  <c r="M28" i="6"/>
  <c r="M29" i="6"/>
  <c r="M30" i="6"/>
  <c r="M23" i="6"/>
  <c r="G31" i="6"/>
  <c r="F3" i="6" s="1"/>
  <c r="F31" i="6"/>
  <c r="E3" i="6" s="1"/>
  <c r="E31" i="6"/>
  <c r="D3" i="6" s="1"/>
  <c r="AC325" i="16" l="1"/>
  <c r="D153" i="16"/>
  <c r="K357" i="16"/>
  <c r="AC357" i="16" s="1"/>
  <c r="F64" i="7"/>
  <c r="H3" i="6"/>
  <c r="Q71" i="8"/>
  <c r="F5" i="8" s="1"/>
  <c r="H111" i="3" s="1"/>
  <c r="K111" i="3" s="1"/>
  <c r="N111" i="3" s="1"/>
  <c r="H9" i="6"/>
  <c r="H97" i="3" s="1"/>
  <c r="H14" i="6"/>
  <c r="H12" i="6"/>
  <c r="H100" i="3" s="1"/>
  <c r="H11" i="6"/>
  <c r="L275" i="16"/>
  <c r="C153" i="16" s="1"/>
  <c r="C240" i="16"/>
  <c r="V118" i="3"/>
  <c r="V115" i="3"/>
  <c r="W115" i="3" s="1"/>
  <c r="X115" i="3" s="1"/>
  <c r="K115" i="3"/>
  <c r="V114" i="3"/>
  <c r="D54" i="19"/>
  <c r="G54" i="19" s="1"/>
  <c r="D44" i="19"/>
  <c r="G44" i="19" s="1"/>
  <c r="D42" i="19"/>
  <c r="G42" i="19" s="1"/>
  <c r="D52" i="19"/>
  <c r="G52" i="19" s="1"/>
  <c r="C3" i="8"/>
  <c r="H71" i="8"/>
  <c r="C5" i="8" s="1"/>
  <c r="V111" i="3" s="1"/>
  <c r="W111" i="3" s="1"/>
  <c r="X111" i="3" s="1"/>
  <c r="M113" i="7"/>
  <c r="E11" i="7"/>
  <c r="G11" i="7" s="1"/>
  <c r="G108" i="3" s="1"/>
  <c r="J108" i="3" s="1"/>
  <c r="G9" i="7"/>
  <c r="G106" i="3" s="1"/>
  <c r="J106" i="3" s="1"/>
  <c r="G6" i="7"/>
  <c r="G103" i="3" s="1"/>
  <c r="J103" i="3" s="1"/>
  <c r="M103" i="3" s="1"/>
  <c r="G8" i="7"/>
  <c r="G105" i="3" s="1"/>
  <c r="J105" i="3" s="1"/>
  <c r="G4" i="7"/>
  <c r="G10" i="7"/>
  <c r="G107" i="3" s="1"/>
  <c r="J107" i="3" s="1"/>
  <c r="E64" i="7"/>
  <c r="C5" i="7" s="1"/>
  <c r="V102" i="3" s="1"/>
  <c r="W102" i="3" s="1"/>
  <c r="X102" i="3" s="1"/>
  <c r="H64" i="7"/>
  <c r="E5" i="7" s="1"/>
  <c r="I64" i="7"/>
  <c r="F5" i="7" s="1"/>
  <c r="M69" i="7"/>
  <c r="M88" i="7"/>
  <c r="M96" i="7"/>
  <c r="M62" i="7"/>
  <c r="M74" i="7"/>
  <c r="C3" i="7"/>
  <c r="G3" i="7" s="1"/>
  <c r="M45" i="7"/>
  <c r="M108" i="7"/>
  <c r="M102" i="7"/>
  <c r="H4" i="6"/>
  <c r="H10" i="6"/>
  <c r="H98" i="3" s="1"/>
  <c r="N94" i="6"/>
  <c r="N54" i="6"/>
  <c r="N88" i="6"/>
  <c r="N47" i="6"/>
  <c r="N31" i="6"/>
  <c r="G42" i="6"/>
  <c r="F5" i="6" s="1"/>
  <c r="E42" i="6"/>
  <c r="D5" i="6" s="1"/>
  <c r="F42" i="6"/>
  <c r="E5" i="6" s="1"/>
  <c r="N60" i="6"/>
  <c r="N76" i="6"/>
  <c r="N39" i="6"/>
  <c r="M64" i="7" l="1"/>
  <c r="H235" i="3"/>
  <c r="K100" i="3"/>
  <c r="H233" i="3"/>
  <c r="K98" i="3"/>
  <c r="F13" i="12"/>
  <c r="H146" i="3" s="1"/>
  <c r="H101" i="3"/>
  <c r="H232" i="3"/>
  <c r="K97" i="3"/>
  <c r="F118" i="3"/>
  <c r="W118" i="3" s="1"/>
  <c r="X118" i="3" s="1"/>
  <c r="F10" i="12"/>
  <c r="H144" i="3" s="1"/>
  <c r="H99" i="3"/>
  <c r="D38" i="19"/>
  <c r="G38" i="19" s="1"/>
  <c r="D48" i="19"/>
  <c r="G48" i="19" s="1"/>
  <c r="D39" i="19"/>
  <c r="G39" i="19" s="1"/>
  <c r="D49" i="19"/>
  <c r="G49" i="19" s="1"/>
  <c r="D36" i="19"/>
  <c r="G36" i="19" s="1"/>
  <c r="D46" i="19"/>
  <c r="G46" i="19" s="1"/>
  <c r="D51" i="19"/>
  <c r="G51" i="19" s="1"/>
  <c r="D41" i="19"/>
  <c r="G41" i="19" s="1"/>
  <c r="D40" i="19"/>
  <c r="G40" i="19" s="1"/>
  <c r="D50" i="19"/>
  <c r="G50" i="19" s="1"/>
  <c r="D9" i="19"/>
  <c r="G289" i="3" s="1"/>
  <c r="J289" i="3" s="1"/>
  <c r="G5" i="7"/>
  <c r="G102" i="3" s="1"/>
  <c r="J102" i="3" s="1"/>
  <c r="M102" i="3" s="1"/>
  <c r="H5" i="6"/>
  <c r="H93" i="3" s="1"/>
  <c r="N42" i="6"/>
  <c r="I61" i="10"/>
  <c r="O117" i="8"/>
  <c r="N117" i="8"/>
  <c r="O116" i="8"/>
  <c r="N116" i="8"/>
  <c r="O127" i="8"/>
  <c r="F13" i="8" s="1"/>
  <c r="N127" i="8"/>
  <c r="E13" i="8" s="1"/>
  <c r="O120" i="8"/>
  <c r="F11" i="8" s="1"/>
  <c r="H117" i="3" s="1"/>
  <c r="N120" i="8"/>
  <c r="E11" i="8" s="1"/>
  <c r="G117" i="3" s="1"/>
  <c r="J117" i="3" s="1"/>
  <c r="O115" i="8"/>
  <c r="F12" i="8" s="1"/>
  <c r="H118" i="3" s="1"/>
  <c r="N115" i="8"/>
  <c r="E12" i="8" s="1"/>
  <c r="G118" i="3" s="1"/>
  <c r="J118" i="3" s="1"/>
  <c r="E14" i="8"/>
  <c r="G119" i="3" s="1"/>
  <c r="J119" i="3" s="1"/>
  <c r="O113" i="8"/>
  <c r="F14" i="8" s="1"/>
  <c r="H119" i="3" s="1"/>
  <c r="N113" i="8"/>
  <c r="G108" i="8"/>
  <c r="O107" i="8"/>
  <c r="N107" i="8"/>
  <c r="O106" i="8"/>
  <c r="N106" i="8"/>
  <c r="O105" i="8"/>
  <c r="N105" i="8"/>
  <c r="O104" i="8"/>
  <c r="N104" i="8"/>
  <c r="O98" i="8"/>
  <c r="F10" i="8" s="1"/>
  <c r="H116" i="3" s="1"/>
  <c r="N98" i="8"/>
  <c r="G93" i="8"/>
  <c r="O92" i="8"/>
  <c r="N92" i="8"/>
  <c r="O91" i="8"/>
  <c r="N91" i="8"/>
  <c r="O90" i="8"/>
  <c r="N90" i="8"/>
  <c r="O89" i="8"/>
  <c r="N89" i="8"/>
  <c r="O88" i="8"/>
  <c r="N88" i="8"/>
  <c r="O87" i="8"/>
  <c r="N87" i="8"/>
  <c r="O86" i="8"/>
  <c r="N86" i="8"/>
  <c r="O85" i="8"/>
  <c r="N85" i="8"/>
  <c r="O84" i="8"/>
  <c r="N84" i="8"/>
  <c r="O83" i="8"/>
  <c r="N83" i="8"/>
  <c r="O82" i="8"/>
  <c r="N82" i="8"/>
  <c r="O81" i="8"/>
  <c r="N81" i="8"/>
  <c r="O80" i="8"/>
  <c r="N80" i="8"/>
  <c r="O79" i="8"/>
  <c r="N79" i="8"/>
  <c r="O78" i="8"/>
  <c r="N78" i="8"/>
  <c r="O77" i="8"/>
  <c r="N77" i="8"/>
  <c r="O76" i="8"/>
  <c r="N76" i="8"/>
  <c r="O75" i="8"/>
  <c r="N75" i="8"/>
  <c r="O74" i="8"/>
  <c r="N74" i="8"/>
  <c r="G69" i="8"/>
  <c r="O68" i="8"/>
  <c r="N68" i="8"/>
  <c r="O67" i="8"/>
  <c r="N67" i="8"/>
  <c r="O65" i="8"/>
  <c r="N65" i="8"/>
  <c r="O64" i="8"/>
  <c r="N64" i="8"/>
  <c r="O63" i="8"/>
  <c r="N63" i="8"/>
  <c r="O62" i="8"/>
  <c r="N62" i="8"/>
  <c r="O61" i="8"/>
  <c r="N61" i="8"/>
  <c r="O60" i="8"/>
  <c r="N60" i="8"/>
  <c r="O59" i="8"/>
  <c r="N59" i="8"/>
  <c r="G54" i="8"/>
  <c r="O53" i="8"/>
  <c r="N53" i="8"/>
  <c r="O52" i="8"/>
  <c r="N52" i="8"/>
  <c r="O51" i="8"/>
  <c r="N51" i="8"/>
  <c r="O50" i="8"/>
  <c r="N50" i="8"/>
  <c r="O49" i="8"/>
  <c r="N49" i="8"/>
  <c r="O48" i="8"/>
  <c r="N48" i="8"/>
  <c r="O47" i="8"/>
  <c r="N47" i="8"/>
  <c r="O46" i="8"/>
  <c r="N46" i="8"/>
  <c r="O45" i="8"/>
  <c r="N45" i="8"/>
  <c r="O44" i="8"/>
  <c r="N44" i="8"/>
  <c r="O43" i="8"/>
  <c r="N43" i="8"/>
  <c r="O42" i="8"/>
  <c r="N42" i="8"/>
  <c r="O41" i="8"/>
  <c r="N41" i="8"/>
  <c r="O40" i="8"/>
  <c r="N40" i="8"/>
  <c r="O39" i="8"/>
  <c r="N39" i="8"/>
  <c r="O38" i="8"/>
  <c r="N38" i="8"/>
  <c r="O37" i="8"/>
  <c r="N37" i="8"/>
  <c r="O36" i="8"/>
  <c r="N36" i="8"/>
  <c r="O35" i="8"/>
  <c r="N35" i="8"/>
  <c r="O34" i="8"/>
  <c r="N34" i="8"/>
  <c r="G29" i="8"/>
  <c r="O28" i="8"/>
  <c r="N28" i="8"/>
  <c r="O27" i="8"/>
  <c r="N27" i="8"/>
  <c r="O26" i="8"/>
  <c r="N26" i="8"/>
  <c r="O25" i="8"/>
  <c r="N25" i="8"/>
  <c r="O24" i="8"/>
  <c r="N24" i="8"/>
  <c r="O23" i="8"/>
  <c r="N23" i="8"/>
  <c r="O22" i="8"/>
  <c r="N22" i="8"/>
  <c r="N115" i="7"/>
  <c r="J115" i="7"/>
  <c r="M115" i="7" s="1"/>
  <c r="G113" i="7"/>
  <c r="J112" i="7"/>
  <c r="G108" i="7"/>
  <c r="J107" i="7"/>
  <c r="J106" i="7"/>
  <c r="G102" i="7"/>
  <c r="J101" i="7"/>
  <c r="J100" i="7"/>
  <c r="G96" i="7"/>
  <c r="J95" i="7"/>
  <c r="J94" i="7"/>
  <c r="J93" i="7"/>
  <c r="J92" i="7"/>
  <c r="G88" i="7"/>
  <c r="J87" i="7"/>
  <c r="J86" i="7"/>
  <c r="J85" i="7"/>
  <c r="J84" i="7"/>
  <c r="J83" i="7"/>
  <c r="J82" i="7"/>
  <c r="J81" i="7"/>
  <c r="J80" i="7"/>
  <c r="J79" i="7"/>
  <c r="J78" i="7"/>
  <c r="G74" i="7"/>
  <c r="J73" i="7"/>
  <c r="G69" i="7"/>
  <c r="J68" i="7"/>
  <c r="J67" i="7"/>
  <c r="J66" i="7"/>
  <c r="G62" i="7"/>
  <c r="J61" i="7"/>
  <c r="J60" i="7"/>
  <c r="J59" i="7"/>
  <c r="J58" i="7"/>
  <c r="J57" i="7"/>
  <c r="J56" i="7"/>
  <c r="J55" i="7"/>
  <c r="J54" i="7"/>
  <c r="J53" i="7"/>
  <c r="J52" i="7"/>
  <c r="J51" i="7"/>
  <c r="J50" i="7"/>
  <c r="J49" i="7"/>
  <c r="G45" i="7"/>
  <c r="D3" i="7" s="1"/>
  <c r="H3" i="7" s="1"/>
  <c r="J44" i="7"/>
  <c r="J43" i="7"/>
  <c r="J42" i="7"/>
  <c r="J41" i="7"/>
  <c r="J40" i="7"/>
  <c r="J39" i="7"/>
  <c r="J38" i="7"/>
  <c r="J37" i="7"/>
  <c r="J36" i="7"/>
  <c r="J35" i="7"/>
  <c r="J34" i="7"/>
  <c r="J33" i="7"/>
  <c r="J32" i="7"/>
  <c r="J31" i="7"/>
  <c r="J30" i="7"/>
  <c r="J29" i="7"/>
  <c r="J28" i="7"/>
  <c r="J27" i="7"/>
  <c r="J26" i="7"/>
  <c r="J25" i="7"/>
  <c r="J24" i="7"/>
  <c r="J23" i="7"/>
  <c r="J22" i="7"/>
  <c r="N102" i="6"/>
  <c r="M102" i="6"/>
  <c r="N101" i="6"/>
  <c r="M101" i="6"/>
  <c r="N100" i="6"/>
  <c r="M100" i="6"/>
  <c r="N99" i="6"/>
  <c r="M99" i="6"/>
  <c r="N98" i="6"/>
  <c r="M98" i="6"/>
  <c r="D94" i="6"/>
  <c r="D88" i="6"/>
  <c r="M88" i="6" s="1"/>
  <c r="D76" i="6"/>
  <c r="D60" i="6"/>
  <c r="D54" i="6"/>
  <c r="D47" i="6"/>
  <c r="D39" i="6"/>
  <c r="D31" i="6"/>
  <c r="K119" i="3" l="1"/>
  <c r="M119" i="3" s="1"/>
  <c r="H261" i="3"/>
  <c r="K144" i="3"/>
  <c r="K233" i="3"/>
  <c r="K118" i="3"/>
  <c r="M118" i="3" s="1"/>
  <c r="K116" i="3"/>
  <c r="K117" i="3"/>
  <c r="M117" i="3" s="1"/>
  <c r="H228" i="3"/>
  <c r="K93" i="3"/>
  <c r="N93" i="3" s="1"/>
  <c r="H236" i="3"/>
  <c r="K101" i="3"/>
  <c r="E54" i="3"/>
  <c r="H263" i="3"/>
  <c r="K146" i="3"/>
  <c r="H234" i="3"/>
  <c r="K99" i="3"/>
  <c r="K232" i="3"/>
  <c r="K235" i="3"/>
  <c r="D3" i="19"/>
  <c r="G283" i="3" s="1"/>
  <c r="J283" i="3" s="1"/>
  <c r="M283" i="3" s="1"/>
  <c r="D6" i="19"/>
  <c r="G286" i="3" s="1"/>
  <c r="J286" i="3" s="1"/>
  <c r="D35" i="19"/>
  <c r="G35" i="19" s="1"/>
  <c r="D45" i="19"/>
  <c r="G45" i="19" s="1"/>
  <c r="D15" i="10"/>
  <c r="V130" i="3" s="1"/>
  <c r="W130" i="3" s="1"/>
  <c r="X130" i="3" s="1"/>
  <c r="I79" i="10"/>
  <c r="D16" i="10" s="1"/>
  <c r="V131" i="3" s="1"/>
  <c r="W131" i="3" s="1"/>
  <c r="X131" i="3" s="1"/>
  <c r="K61" i="10"/>
  <c r="F14" i="10" s="1"/>
  <c r="D14" i="10"/>
  <c r="G71" i="8"/>
  <c r="P71" i="8" s="1"/>
  <c r="E5" i="8" s="1"/>
  <c r="G111" i="3" s="1"/>
  <c r="J111" i="3" s="1"/>
  <c r="M111" i="3" s="1"/>
  <c r="N62" i="7"/>
  <c r="D4" i="7"/>
  <c r="H4" i="7" s="1"/>
  <c r="N88" i="7"/>
  <c r="D6" i="7"/>
  <c r="N102" i="7"/>
  <c r="D14" i="7"/>
  <c r="N69" i="7"/>
  <c r="D9" i="7"/>
  <c r="N108" i="7"/>
  <c r="D12" i="7"/>
  <c r="N74" i="7"/>
  <c r="D10" i="7"/>
  <c r="N96" i="7"/>
  <c r="D8" i="7"/>
  <c r="N113" i="7"/>
  <c r="D11" i="7"/>
  <c r="J108" i="7"/>
  <c r="G64" i="7"/>
  <c r="N45" i="7"/>
  <c r="J102" i="7"/>
  <c r="C4" i="6"/>
  <c r="G4" i="6" s="1"/>
  <c r="D42" i="6"/>
  <c r="M39" i="6"/>
  <c r="C11" i="6"/>
  <c r="M94" i="6"/>
  <c r="C3" i="6"/>
  <c r="G3" i="6" s="1"/>
  <c r="M31" i="6"/>
  <c r="C10" i="6"/>
  <c r="M47" i="6"/>
  <c r="C9" i="6"/>
  <c r="M54" i="6"/>
  <c r="C14" i="6"/>
  <c r="M60" i="6"/>
  <c r="C12" i="6"/>
  <c r="M76" i="6"/>
  <c r="P108" i="8"/>
  <c r="E8" i="8" s="1"/>
  <c r="G114" i="3" s="1"/>
  <c r="J114" i="3" s="1"/>
  <c r="P29" i="8"/>
  <c r="E6" i="8" s="1"/>
  <c r="G112" i="3" s="1"/>
  <c r="J112" i="3" s="1"/>
  <c r="M112" i="3" s="1"/>
  <c r="P54" i="8"/>
  <c r="E3" i="8" s="1"/>
  <c r="P93" i="8"/>
  <c r="E9" i="8" s="1"/>
  <c r="G115" i="3" s="1"/>
  <c r="J115" i="3" s="1"/>
  <c r="M115" i="3" s="1"/>
  <c r="P69" i="8"/>
  <c r="E4" i="8" s="1"/>
  <c r="E10" i="8"/>
  <c r="G116" i="3" s="1"/>
  <c r="J116" i="3" s="1"/>
  <c r="F8" i="8"/>
  <c r="H114" i="3" s="1"/>
  <c r="F4" i="8"/>
  <c r="F6" i="8"/>
  <c r="H112" i="3" s="1"/>
  <c r="F3" i="8"/>
  <c r="M116" i="3" l="1"/>
  <c r="H8" i="7"/>
  <c r="H105" i="3" s="1"/>
  <c r="H12" i="7"/>
  <c r="H109" i="3" s="1"/>
  <c r="H14" i="7"/>
  <c r="H110" i="3" s="1"/>
  <c r="K261" i="3"/>
  <c r="G12" i="6"/>
  <c r="G100" i="3" s="1"/>
  <c r="J100" i="3" s="1"/>
  <c r="M100" i="3" s="1"/>
  <c r="V100" i="3"/>
  <c r="W100" i="3" s="1"/>
  <c r="X100" i="3" s="1"/>
  <c r="G9" i="6"/>
  <c r="G97" i="3" s="1"/>
  <c r="J97" i="3" s="1"/>
  <c r="M97" i="3" s="1"/>
  <c r="V97" i="3"/>
  <c r="W97" i="3" s="1"/>
  <c r="X97" i="3" s="1"/>
  <c r="K112" i="3"/>
  <c r="N112" i="3" s="1"/>
  <c r="K234" i="3"/>
  <c r="K263" i="3"/>
  <c r="K236" i="3"/>
  <c r="G14" i="6"/>
  <c r="V101" i="3"/>
  <c r="W101" i="3" s="1"/>
  <c r="X101" i="3" s="1"/>
  <c r="G10" i="6"/>
  <c r="G98" i="3" s="1"/>
  <c r="J98" i="3" s="1"/>
  <c r="M98" i="3" s="1"/>
  <c r="V98" i="3"/>
  <c r="W98" i="3" s="1"/>
  <c r="X98" i="3" s="1"/>
  <c r="G11" i="6"/>
  <c r="V99" i="3"/>
  <c r="W99" i="3" s="1"/>
  <c r="X99" i="3" s="1"/>
  <c r="H11" i="7"/>
  <c r="H108" i="3" s="1"/>
  <c r="H10" i="7"/>
  <c r="H107" i="3" s="1"/>
  <c r="H9" i="7"/>
  <c r="H106" i="3" s="1"/>
  <c r="H6" i="7"/>
  <c r="H103" i="3" s="1"/>
  <c r="K114" i="3"/>
  <c r="M114" i="3" s="1"/>
  <c r="K228" i="3"/>
  <c r="N228" i="3" s="1"/>
  <c r="E14" i="10"/>
  <c r="V129" i="3"/>
  <c r="W129" i="3" s="1"/>
  <c r="X129" i="3" s="1"/>
  <c r="J79" i="10"/>
  <c r="G16" i="10" s="1"/>
  <c r="E16" i="10" s="1"/>
  <c r="G183" i="3" s="1"/>
  <c r="J183" i="3" s="1"/>
  <c r="M183" i="3" s="1"/>
  <c r="G15" i="10"/>
  <c r="E15" i="10" s="1"/>
  <c r="K79" i="10"/>
  <c r="F16" i="10" s="1"/>
  <c r="H183" i="3" s="1"/>
  <c r="N64" i="7"/>
  <c r="D5" i="7"/>
  <c r="C5" i="6"/>
  <c r="M42" i="6"/>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J47" i="15" s="1"/>
  <c r="F47" i="15" s="1"/>
  <c r="K23"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1" i="2"/>
  <c r="M182" i="2"/>
  <c r="M183" i="2"/>
  <c r="M184" i="2"/>
  <c r="M185" i="2"/>
  <c r="M186" i="2"/>
  <c r="M187" i="2"/>
  <c r="M188" i="2"/>
  <c r="M189" i="2"/>
  <c r="M190" i="2"/>
  <c r="M146" i="2"/>
  <c r="G5" i="6" l="1"/>
  <c r="G93" i="3" s="1"/>
  <c r="J93" i="3" s="1"/>
  <c r="M93" i="3" s="1"/>
  <c r="V93" i="3"/>
  <c r="W93" i="3" s="1"/>
  <c r="X93" i="3" s="1"/>
  <c r="H5" i="7"/>
  <c r="H102" i="3" s="1"/>
  <c r="E13" i="12"/>
  <c r="G146" i="3" s="1"/>
  <c r="J146" i="3" s="1"/>
  <c r="M146" i="3" s="1"/>
  <c r="G101" i="3"/>
  <c r="J101" i="3" s="1"/>
  <c r="M101" i="3" s="1"/>
  <c r="G235" i="3"/>
  <c r="J235" i="3" s="1"/>
  <c r="M235" i="3" s="1"/>
  <c r="E54" i="19"/>
  <c r="H54" i="19" s="1"/>
  <c r="K110" i="3"/>
  <c r="M110" i="3" s="1"/>
  <c r="E44" i="19"/>
  <c r="H44" i="19" s="1"/>
  <c r="E38" i="19"/>
  <c r="H38" i="19" s="1"/>
  <c r="K105" i="3"/>
  <c r="M105" i="3" s="1"/>
  <c r="E48" i="19"/>
  <c r="H48" i="19" s="1"/>
  <c r="K103" i="3"/>
  <c r="N103" i="3" s="1"/>
  <c r="E46" i="19"/>
  <c r="H46" i="19" s="1"/>
  <c r="E36" i="19"/>
  <c r="H36" i="19" s="1"/>
  <c r="E50" i="19"/>
  <c r="H50" i="19" s="1"/>
  <c r="K107" i="3"/>
  <c r="M107" i="3" s="1"/>
  <c r="E40" i="19"/>
  <c r="H40" i="19" s="1"/>
  <c r="E10" i="12"/>
  <c r="G144" i="3" s="1"/>
  <c r="J144" i="3" s="1"/>
  <c r="M144" i="3" s="1"/>
  <c r="G99" i="3"/>
  <c r="J99" i="3" s="1"/>
  <c r="M99" i="3" s="1"/>
  <c r="K106" i="3"/>
  <c r="M106" i="3" s="1"/>
  <c r="E39" i="19"/>
  <c r="H39" i="19" s="1"/>
  <c r="E49" i="19"/>
  <c r="H49" i="19" s="1"/>
  <c r="E41" i="19"/>
  <c r="H41" i="19" s="1"/>
  <c r="E51" i="19"/>
  <c r="H51" i="19" s="1"/>
  <c r="K108" i="3"/>
  <c r="M108" i="3" s="1"/>
  <c r="G232" i="3"/>
  <c r="J232" i="3" s="1"/>
  <c r="M232" i="3" s="1"/>
  <c r="F49" i="15"/>
  <c r="N47" i="15"/>
  <c r="G233" i="3"/>
  <c r="J233" i="3" s="1"/>
  <c r="M233" i="3" s="1"/>
  <c r="E42" i="19"/>
  <c r="H42" i="19" s="1"/>
  <c r="E52" i="19"/>
  <c r="H52" i="19" s="1"/>
  <c r="K109" i="3"/>
  <c r="M109" i="3" s="1"/>
  <c r="K183" i="3"/>
  <c r="N183" i="3" s="1"/>
  <c r="B56" i="1"/>
  <c r="I57" i="1"/>
  <c r="G56" i="1"/>
  <c r="I56" i="1" s="1"/>
  <c r="I65" i="1"/>
  <c r="G65" i="1"/>
  <c r="C9" i="1" l="1"/>
  <c r="V70" i="3" s="1"/>
  <c r="W70" i="3" s="1"/>
  <c r="X70" i="3" s="1"/>
  <c r="E3" i="19"/>
  <c r="H283" i="3" s="1"/>
  <c r="G234" i="3"/>
  <c r="J234" i="3" s="1"/>
  <c r="M234" i="3" s="1"/>
  <c r="G263" i="3"/>
  <c r="J263" i="3" s="1"/>
  <c r="M263" i="3" s="1"/>
  <c r="K102" i="3"/>
  <c r="N102" i="3" s="1"/>
  <c r="E45" i="19"/>
  <c r="H45" i="19" s="1"/>
  <c r="E35" i="19"/>
  <c r="H35" i="19" s="1"/>
  <c r="D9" i="1"/>
  <c r="G261" i="3"/>
  <c r="J261" i="3" s="1"/>
  <c r="M261" i="3" s="1"/>
  <c r="N49" i="15"/>
  <c r="M47" i="15"/>
  <c r="E9" i="19"/>
  <c r="H289" i="3" s="1"/>
  <c r="F51" i="15"/>
  <c r="J51" i="15" s="1"/>
  <c r="E4" i="15" s="1"/>
  <c r="G156" i="3" s="1"/>
  <c r="J156" i="3" s="1"/>
  <c r="M156" i="3" s="1"/>
  <c r="J49" i="15"/>
  <c r="E3" i="15" s="1"/>
  <c r="E6" i="19"/>
  <c r="H286" i="3" s="1"/>
  <c r="G236" i="3"/>
  <c r="J236" i="3" s="1"/>
  <c r="M236" i="3" s="1"/>
  <c r="G228" i="3"/>
  <c r="J228" i="3" s="1"/>
  <c r="M228" i="3" s="1"/>
  <c r="J65" i="1"/>
  <c r="J57" i="1"/>
  <c r="J56" i="1"/>
  <c r="K283" i="3" l="1"/>
  <c r="N283" i="3" s="1"/>
  <c r="E2" i="19"/>
  <c r="H282" i="3" s="1"/>
  <c r="K286" i="3"/>
  <c r="M286" i="3" s="1"/>
  <c r="H9" i="1"/>
  <c r="H70" i="3" s="1"/>
  <c r="K289" i="3"/>
  <c r="M289" i="3" s="1"/>
  <c r="N51" i="15"/>
  <c r="M51" i="15" s="1"/>
  <c r="M49" i="15"/>
  <c r="D15" i="19"/>
  <c r="G15" i="19" s="1"/>
  <c r="D2" i="19" s="1"/>
  <c r="G282" i="3" s="1"/>
  <c r="J282" i="3" s="1"/>
  <c r="M282" i="3" s="1"/>
  <c r="G246" i="3"/>
  <c r="J246" i="3" s="1"/>
  <c r="M246" i="3" s="1"/>
  <c r="G237" i="3"/>
  <c r="J237" i="3" s="1"/>
  <c r="M237" i="3" s="1"/>
  <c r="G9" i="1"/>
  <c r="G70" i="3" s="1"/>
  <c r="J70" i="3" s="1"/>
  <c r="L29" i="1"/>
  <c r="L30" i="1"/>
  <c r="L31" i="1"/>
  <c r="L41" i="1"/>
  <c r="L42" i="1"/>
  <c r="L43" i="1"/>
  <c r="L44" i="1"/>
  <c r="L45" i="1"/>
  <c r="L46" i="1"/>
  <c r="L47" i="1"/>
  <c r="L48" i="1"/>
  <c r="L49" i="1"/>
  <c r="L56" i="1"/>
  <c r="L57" i="1"/>
  <c r="L58" i="1"/>
  <c r="L59" i="1"/>
  <c r="L65" i="1"/>
  <c r="L66" i="1"/>
  <c r="L69"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K282" i="3" l="1"/>
  <c r="N282" i="3" s="1"/>
  <c r="K70" i="3"/>
  <c r="M70" i="3" s="1"/>
  <c r="I64" i="1"/>
  <c r="I63" i="1"/>
  <c r="I62" i="1"/>
  <c r="I61" i="1"/>
  <c r="G60" i="1"/>
  <c r="K181" i="2"/>
  <c r="K182" i="2"/>
  <c r="K177" i="2"/>
  <c r="K175" i="2"/>
  <c r="K174" i="2"/>
  <c r="K155" i="2"/>
  <c r="K154" i="2"/>
  <c r="K153" i="2"/>
  <c r="L153" i="2"/>
  <c r="L147" i="2"/>
  <c r="L148" i="2"/>
  <c r="L149" i="2"/>
  <c r="L150" i="2"/>
  <c r="L151" i="2"/>
  <c r="L152"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1" i="2"/>
  <c r="L182" i="2"/>
  <c r="L184" i="2"/>
  <c r="L185" i="2"/>
  <c r="L186" i="2"/>
  <c r="L187" i="2"/>
  <c r="L188" i="2"/>
  <c r="L189" i="2"/>
  <c r="L190" i="2"/>
  <c r="L191" i="2"/>
  <c r="L192" i="2"/>
  <c r="L193" i="2"/>
  <c r="L194" i="2"/>
  <c r="L146" i="2"/>
  <c r="I53" i="1"/>
  <c r="I54" i="1"/>
  <c r="I55" i="1"/>
  <c r="I51" i="1"/>
  <c r="I52" i="1"/>
  <c r="G50" i="1"/>
  <c r="L61" i="1" l="1"/>
  <c r="J52" i="1"/>
  <c r="L52" i="1"/>
  <c r="J62" i="1"/>
  <c r="L62" i="1"/>
  <c r="J63" i="1"/>
  <c r="L63" i="1"/>
  <c r="J54" i="1"/>
  <c r="L54" i="1"/>
  <c r="J61" i="1"/>
  <c r="J51" i="1"/>
  <c r="L51" i="1"/>
  <c r="J64" i="1"/>
  <c r="L64" i="1"/>
  <c r="J55" i="1"/>
  <c r="L55" i="1"/>
  <c r="J53" i="1"/>
  <c r="L53" i="1"/>
  <c r="I50" i="1"/>
  <c r="I60" i="1"/>
  <c r="J46" i="1"/>
  <c r="J44" i="1"/>
  <c r="H24" i="1"/>
  <c r="G24" i="1"/>
  <c r="I39" i="1"/>
  <c r="I38" i="1"/>
  <c r="I37" i="1"/>
  <c r="I36" i="1"/>
  <c r="I35" i="1"/>
  <c r="I34" i="1"/>
  <c r="I33" i="1"/>
  <c r="I32" i="1"/>
  <c r="I25" i="1"/>
  <c r="G28" i="1"/>
  <c r="G27" i="1"/>
  <c r="I27" i="1" s="1"/>
  <c r="C4" i="1" l="1"/>
  <c r="L34" i="1"/>
  <c r="L38" i="1"/>
  <c r="J38" i="1"/>
  <c r="J35" i="1"/>
  <c r="L35" i="1"/>
  <c r="J34" i="1"/>
  <c r="J36" i="1"/>
  <c r="L36" i="1"/>
  <c r="I26" i="1"/>
  <c r="I28" i="1"/>
  <c r="C3" i="1" s="1"/>
  <c r="J37" i="1"/>
  <c r="L37" i="1"/>
  <c r="J27" i="1"/>
  <c r="L27" i="1"/>
  <c r="J25" i="1"/>
  <c r="L25" i="1"/>
  <c r="J39" i="1"/>
  <c r="L39" i="1"/>
  <c r="J60" i="1"/>
  <c r="L60" i="1"/>
  <c r="J50" i="1"/>
  <c r="L50" i="1"/>
  <c r="J32" i="1"/>
  <c r="L32" i="1"/>
  <c r="J33" i="1"/>
  <c r="L33" i="1"/>
  <c r="G40" i="1"/>
  <c r="I24" i="1"/>
  <c r="C5" i="1" l="1"/>
  <c r="C8" i="1"/>
  <c r="G3" i="1"/>
  <c r="G4" i="1"/>
  <c r="J26" i="1"/>
  <c r="L26" i="1"/>
  <c r="J28" i="1"/>
  <c r="L28" i="1"/>
  <c r="J24" i="1"/>
  <c r="L24" i="1"/>
  <c r="I40" i="1"/>
  <c r="V69" i="3" l="1"/>
  <c r="W69" i="3" s="1"/>
  <c r="X69" i="3" s="1"/>
  <c r="G5" i="1"/>
  <c r="G66" i="3" s="1"/>
  <c r="J66" i="3" s="1"/>
  <c r="M66" i="3" s="1"/>
  <c r="V66" i="3"/>
  <c r="W66" i="3" s="1"/>
  <c r="X66" i="3" s="1"/>
  <c r="L40" i="1"/>
  <c r="G8" i="1"/>
  <c r="G69" i="3" s="1"/>
  <c r="J69" i="3" s="1"/>
  <c r="M69" i="3" s="1"/>
  <c r="H40" i="1"/>
  <c r="J40" i="1"/>
  <c r="P147" i="2" l="1"/>
  <c r="P148" i="2"/>
  <c r="P149" i="2"/>
  <c r="P150" i="2"/>
  <c r="P151" i="2"/>
  <c r="P152" i="2"/>
  <c r="P153" i="2"/>
  <c r="P154" i="2"/>
  <c r="P155" i="2"/>
  <c r="P156" i="2"/>
  <c r="P157" i="2"/>
  <c r="P158" i="2"/>
  <c r="P159" i="2"/>
  <c r="P160" i="2"/>
  <c r="P161" i="2"/>
  <c r="P162" i="2"/>
  <c r="P163" i="2"/>
  <c r="P164" i="2"/>
  <c r="P165" i="2"/>
  <c r="P167" i="2"/>
  <c r="P170" i="2"/>
  <c r="P171" i="2"/>
  <c r="P172" i="2"/>
  <c r="P179" i="2"/>
  <c r="P181" i="2"/>
  <c r="P182" i="2"/>
  <c r="P184" i="2"/>
  <c r="P191" i="2"/>
  <c r="P192" i="2"/>
  <c r="P193" i="2"/>
  <c r="P195" i="2"/>
  <c r="P196" i="2"/>
  <c r="P197" i="2"/>
  <c r="P198" i="2"/>
  <c r="Q198" i="2" s="1"/>
  <c r="P146" i="2"/>
  <c r="R198" i="2" l="1"/>
  <c r="J180" i="2" l="1"/>
  <c r="J199" i="2" l="1"/>
  <c r="M180" i="2"/>
  <c r="P183" i="2"/>
  <c r="L183" i="2"/>
  <c r="L180" i="2"/>
  <c r="P194" i="2"/>
  <c r="P180" i="2"/>
  <c r="P188" i="2"/>
  <c r="P173" i="2"/>
  <c r="P189" i="2"/>
  <c r="P166" i="2"/>
  <c r="P174" i="2"/>
  <c r="P190" i="2"/>
  <c r="P175" i="2"/>
  <c r="P168" i="2"/>
  <c r="P176" i="2"/>
  <c r="P169" i="2"/>
  <c r="P177" i="2"/>
  <c r="P185" i="2"/>
  <c r="P186" i="2"/>
  <c r="P187" i="2"/>
  <c r="P178" i="2"/>
  <c r="O158" i="2"/>
  <c r="R158" i="2" s="1"/>
  <c r="O159" i="2"/>
  <c r="R159" i="2" s="1"/>
  <c r="O160" i="2"/>
  <c r="R160" i="2" s="1"/>
  <c r="N159" i="2"/>
  <c r="Q159" i="2" s="1"/>
  <c r="N160" i="2"/>
  <c r="Q160" i="2" s="1"/>
  <c r="N158" i="2"/>
  <c r="Q158" i="2" s="1"/>
  <c r="O156" i="2"/>
  <c r="R156" i="2" s="1"/>
  <c r="O157" i="2"/>
  <c r="R157" i="2" s="1"/>
  <c r="N157" i="2"/>
  <c r="Q157" i="2" s="1"/>
  <c r="N156" i="2"/>
  <c r="Q156" i="2" s="1"/>
  <c r="M199" i="2" l="1"/>
  <c r="P199" i="2"/>
  <c r="N147" i="2"/>
  <c r="Q147" i="2" s="1"/>
  <c r="O147" i="2"/>
  <c r="R147" i="2" s="1"/>
  <c r="N148" i="2"/>
  <c r="Q148" i="2" s="1"/>
  <c r="O148" i="2"/>
  <c r="R148" i="2" s="1"/>
  <c r="N149" i="2"/>
  <c r="Q149" i="2" s="1"/>
  <c r="O149" i="2"/>
  <c r="R149" i="2" s="1"/>
  <c r="N150" i="2"/>
  <c r="Q150" i="2" s="1"/>
  <c r="O150" i="2"/>
  <c r="R150" i="2" s="1"/>
  <c r="N151" i="2"/>
  <c r="Q151" i="2" s="1"/>
  <c r="O151" i="2"/>
  <c r="R151" i="2" s="1"/>
  <c r="N152" i="2"/>
  <c r="Q152" i="2" s="1"/>
  <c r="O152" i="2"/>
  <c r="R152" i="2" s="1"/>
  <c r="N153" i="2"/>
  <c r="Q153" i="2" s="1"/>
  <c r="O153" i="2"/>
  <c r="R153" i="2" s="1"/>
  <c r="N154" i="2"/>
  <c r="Q154" i="2" s="1"/>
  <c r="O154" i="2"/>
  <c r="R154" i="2" s="1"/>
  <c r="N155" i="2"/>
  <c r="Q155" i="2" s="1"/>
  <c r="O155" i="2"/>
  <c r="R155" i="2" s="1"/>
  <c r="N161" i="2"/>
  <c r="Q161" i="2" s="1"/>
  <c r="O161" i="2"/>
  <c r="R161" i="2" s="1"/>
  <c r="N162" i="2"/>
  <c r="Q162" i="2" s="1"/>
  <c r="O162" i="2"/>
  <c r="R162" i="2" s="1"/>
  <c r="N163" i="2"/>
  <c r="Q163" i="2" s="1"/>
  <c r="O163" i="2"/>
  <c r="R163" i="2" s="1"/>
  <c r="N164" i="2"/>
  <c r="Q164" i="2" s="1"/>
  <c r="O164" i="2"/>
  <c r="R164" i="2" s="1"/>
  <c r="N165" i="2"/>
  <c r="Q165" i="2" s="1"/>
  <c r="O165" i="2"/>
  <c r="R165" i="2" s="1"/>
  <c r="N166" i="2"/>
  <c r="Q166" i="2" s="1"/>
  <c r="O166" i="2"/>
  <c r="R166" i="2" s="1"/>
  <c r="N167" i="2"/>
  <c r="Q167" i="2" s="1"/>
  <c r="O167" i="2"/>
  <c r="R167" i="2" s="1"/>
  <c r="N168" i="2"/>
  <c r="Q168" i="2" s="1"/>
  <c r="O168" i="2"/>
  <c r="R168" i="2" s="1"/>
  <c r="N169" i="2"/>
  <c r="Q169" i="2" s="1"/>
  <c r="O169" i="2"/>
  <c r="R169" i="2" s="1"/>
  <c r="N170" i="2"/>
  <c r="Q170" i="2" s="1"/>
  <c r="O170" i="2"/>
  <c r="R170" i="2" s="1"/>
  <c r="N171" i="2"/>
  <c r="Q171" i="2" s="1"/>
  <c r="O171" i="2"/>
  <c r="R171" i="2" s="1"/>
  <c r="N172" i="2"/>
  <c r="Q172" i="2" s="1"/>
  <c r="O172" i="2"/>
  <c r="R172" i="2" s="1"/>
  <c r="N173" i="2"/>
  <c r="Q173" i="2" s="1"/>
  <c r="O173" i="2"/>
  <c r="R173" i="2" s="1"/>
  <c r="N174" i="2"/>
  <c r="Q174" i="2" s="1"/>
  <c r="O174" i="2"/>
  <c r="R174" i="2" s="1"/>
  <c r="N175" i="2"/>
  <c r="Q175" i="2" s="1"/>
  <c r="O175" i="2"/>
  <c r="R175" i="2" s="1"/>
  <c r="N176" i="2"/>
  <c r="Q176" i="2" s="1"/>
  <c r="O176" i="2"/>
  <c r="R176" i="2" s="1"/>
  <c r="N177" i="2"/>
  <c r="Q177" i="2" s="1"/>
  <c r="O177" i="2"/>
  <c r="R177" i="2" s="1"/>
  <c r="N178" i="2"/>
  <c r="Q178" i="2" s="1"/>
  <c r="O178" i="2"/>
  <c r="R178" i="2" s="1"/>
  <c r="N179" i="2"/>
  <c r="Q179" i="2" s="1"/>
  <c r="O179" i="2"/>
  <c r="R179" i="2" s="1"/>
  <c r="N180" i="2"/>
  <c r="Q180" i="2" s="1"/>
  <c r="O180" i="2"/>
  <c r="R180" i="2" s="1"/>
  <c r="N181" i="2"/>
  <c r="Q181" i="2" s="1"/>
  <c r="O181" i="2"/>
  <c r="N182" i="2"/>
  <c r="Q182" i="2" s="1"/>
  <c r="O182" i="2"/>
  <c r="R182" i="2" s="1"/>
  <c r="N183" i="2"/>
  <c r="Q183" i="2" s="1"/>
  <c r="O183" i="2"/>
  <c r="R183" i="2" s="1"/>
  <c r="N184" i="2"/>
  <c r="Q184" i="2" s="1"/>
  <c r="O184" i="2"/>
  <c r="R184" i="2" s="1"/>
  <c r="N185" i="2"/>
  <c r="Q185" i="2" s="1"/>
  <c r="O185" i="2"/>
  <c r="R185" i="2" s="1"/>
  <c r="N186" i="2"/>
  <c r="Q186" i="2" s="1"/>
  <c r="O186" i="2"/>
  <c r="R186" i="2" s="1"/>
  <c r="N187" i="2"/>
  <c r="Q187" i="2" s="1"/>
  <c r="O187" i="2"/>
  <c r="R187" i="2" s="1"/>
  <c r="N188" i="2"/>
  <c r="Q188" i="2" s="1"/>
  <c r="O188" i="2"/>
  <c r="R188" i="2" s="1"/>
  <c r="N189" i="2"/>
  <c r="Q189" i="2" s="1"/>
  <c r="O189" i="2"/>
  <c r="R189" i="2" s="1"/>
  <c r="N190" i="2"/>
  <c r="Q190" i="2" s="1"/>
  <c r="O190" i="2"/>
  <c r="R190" i="2" s="1"/>
  <c r="N195" i="2"/>
  <c r="Q195" i="2" s="1"/>
  <c r="O195" i="2"/>
  <c r="R195" i="2" s="1"/>
  <c r="N196" i="2"/>
  <c r="Q196" i="2" s="1"/>
  <c r="O196" i="2"/>
  <c r="R196" i="2" s="1"/>
  <c r="N197" i="2"/>
  <c r="Q197" i="2" s="1"/>
  <c r="O197" i="2"/>
  <c r="R197" i="2" s="1"/>
  <c r="N199" i="2"/>
  <c r="O199" i="2"/>
  <c r="O146" i="2"/>
  <c r="R146" i="2" s="1"/>
  <c r="N146" i="2"/>
  <c r="Q146" i="2" s="1"/>
  <c r="R199" i="2" l="1"/>
  <c r="Q199" i="2"/>
  <c r="R181" i="2"/>
  <c r="D193" i="2"/>
  <c r="D194" i="2"/>
  <c r="D191" i="2"/>
  <c r="D192" i="2"/>
  <c r="N25" i="1"/>
  <c r="O25" i="1"/>
  <c r="N26" i="1"/>
  <c r="O26" i="1"/>
  <c r="N27" i="1"/>
  <c r="O27" i="1"/>
  <c r="N28" i="1"/>
  <c r="O28" i="1"/>
  <c r="N29" i="1"/>
  <c r="O29" i="1"/>
  <c r="N30" i="1"/>
  <c r="O30" i="1"/>
  <c r="N31" i="1"/>
  <c r="O31" i="1"/>
  <c r="N32" i="1"/>
  <c r="O32" i="1"/>
  <c r="N33" i="1"/>
  <c r="O33" i="1"/>
  <c r="N34" i="1"/>
  <c r="O34" i="1"/>
  <c r="N35" i="1"/>
  <c r="O35" i="1"/>
  <c r="N36" i="1"/>
  <c r="O36" i="1"/>
  <c r="N37" i="1"/>
  <c r="O37" i="1"/>
  <c r="N38" i="1"/>
  <c r="O38" i="1"/>
  <c r="N39" i="1"/>
  <c r="O39" i="1"/>
  <c r="N40" i="1"/>
  <c r="O40" i="1"/>
  <c r="N41" i="1"/>
  <c r="O41" i="1"/>
  <c r="N42" i="1"/>
  <c r="O42" i="1"/>
  <c r="N43" i="1"/>
  <c r="O43" i="1"/>
  <c r="N44" i="1"/>
  <c r="O44" i="1"/>
  <c r="N45" i="1"/>
  <c r="O45" i="1"/>
  <c r="N46" i="1"/>
  <c r="O46" i="1"/>
  <c r="N47" i="1"/>
  <c r="O47" i="1"/>
  <c r="N48" i="1"/>
  <c r="O48" i="1"/>
  <c r="N49" i="1"/>
  <c r="O49" i="1"/>
  <c r="N50" i="1"/>
  <c r="O50" i="1"/>
  <c r="N51" i="1"/>
  <c r="O51" i="1"/>
  <c r="N52" i="1"/>
  <c r="O52" i="1"/>
  <c r="N53" i="1"/>
  <c r="O53" i="1"/>
  <c r="N54" i="1"/>
  <c r="O54" i="1"/>
  <c r="N55" i="1"/>
  <c r="O55" i="1"/>
  <c r="N56" i="1"/>
  <c r="O56" i="1"/>
  <c r="N57" i="1"/>
  <c r="O57" i="1"/>
  <c r="N58" i="1"/>
  <c r="O58" i="1"/>
  <c r="N59" i="1"/>
  <c r="O59" i="1"/>
  <c r="N60" i="1"/>
  <c r="O60" i="1"/>
  <c r="N61" i="1"/>
  <c r="O61" i="1"/>
  <c r="N62" i="1"/>
  <c r="O62" i="1"/>
  <c r="N63" i="1"/>
  <c r="O63" i="1"/>
  <c r="N64" i="1"/>
  <c r="O64" i="1"/>
  <c r="N65" i="1"/>
  <c r="O65" i="1"/>
  <c r="N66" i="1"/>
  <c r="O66" i="1"/>
  <c r="N67" i="1"/>
  <c r="O67" i="1"/>
  <c r="N68" i="1"/>
  <c r="O68" i="1"/>
  <c r="N69" i="1"/>
  <c r="O69" i="1"/>
  <c r="N24" i="1"/>
  <c r="O24" i="1"/>
  <c r="C192" i="2" l="1"/>
  <c r="O192" i="2"/>
  <c r="R192" i="2" s="1"/>
  <c r="C191" i="2"/>
  <c r="O191" i="2"/>
  <c r="R191" i="2" s="1"/>
  <c r="C194" i="2"/>
  <c r="O194" i="2"/>
  <c r="R194" i="2" s="1"/>
  <c r="C193" i="2"/>
  <c r="O193" i="2"/>
  <c r="R193" i="2" s="1"/>
  <c r="N193" i="2" l="1"/>
  <c r="Q193" i="2" s="1"/>
  <c r="M193" i="2"/>
  <c r="N194" i="2"/>
  <c r="Q194" i="2" s="1"/>
  <c r="M194" i="2"/>
  <c r="N191" i="2"/>
  <c r="Q191" i="2" s="1"/>
  <c r="M191" i="2"/>
  <c r="N192" i="2"/>
  <c r="Q192" i="2" s="1"/>
  <c r="M192" i="2"/>
  <c r="V145" i="3"/>
  <c r="W145" i="3" s="1"/>
  <c r="X145" i="3" s="1"/>
  <c r="P72" i="12" l="1"/>
  <c r="N72" i="12"/>
  <c r="F11" i="12" l="1"/>
  <c r="H145" i="3" s="1"/>
  <c r="K145" i="3" l="1"/>
  <c r="M145" i="3" s="1"/>
  <c r="H262" i="3"/>
  <c r="K262" i="3" l="1"/>
  <c r="M262" i="3" s="1"/>
  <c r="K165" i="3" l="1"/>
  <c r="N165" i="3" s="1"/>
  <c r="H273" i="3"/>
  <c r="K273" i="3" l="1"/>
  <c r="N273" i="3" s="1"/>
  <c r="F44" i="30" l="1"/>
  <c r="G44" i="30" s="1"/>
  <c r="I6" i="29" l="1"/>
  <c r="J15" i="29" s="1"/>
  <c r="K24" i="29" s="1"/>
  <c r="L33" i="29" s="1"/>
  <c r="M42" i="29" s="1"/>
  <c r="C6" i="29"/>
  <c r="D15" i="29" s="1"/>
  <c r="E24" i="29" s="1"/>
  <c r="F33" i="29" s="1"/>
  <c r="G42" i="29" s="1"/>
  <c r="H51" i="29" s="1"/>
  <c r="I60" i="29" s="1"/>
  <c r="J69" i="29" s="1"/>
  <c r="K78" i="29" s="1"/>
  <c r="L87" i="29" s="1"/>
  <c r="M96" i="29" s="1"/>
  <c r="D6" i="29"/>
  <c r="E15" i="29" s="1"/>
  <c r="F24" i="29" s="1"/>
  <c r="G33" i="29" s="1"/>
  <c r="H42" i="29" s="1"/>
  <c r="I51" i="29" s="1"/>
  <c r="J60" i="29" s="1"/>
  <c r="K69" i="29" s="1"/>
  <c r="L78" i="29" s="1"/>
  <c r="M87" i="29" s="1"/>
  <c r="J6" i="29"/>
  <c r="K15" i="29" s="1"/>
  <c r="L24" i="29" s="1"/>
  <c r="M33" i="29" s="1"/>
  <c r="L6" i="29"/>
  <c r="M15" i="29" s="1"/>
  <c r="E6" i="29"/>
  <c r="F15" i="29" s="1"/>
  <c r="G24" i="29" s="1"/>
  <c r="H33" i="29" s="1"/>
  <c r="I42" i="29" s="1"/>
  <c r="J51" i="29" s="1"/>
  <c r="K60" i="29" s="1"/>
  <c r="L69" i="29" s="1"/>
  <c r="M78" i="29" s="1"/>
  <c r="M6" i="29"/>
  <c r="K6" i="29"/>
  <c r="L15" i="29" s="1"/>
  <c r="M24" i="29" s="1"/>
  <c r="F6" i="29"/>
  <c r="G15" i="29" s="1"/>
  <c r="H24" i="29" s="1"/>
  <c r="I33" i="29" s="1"/>
  <c r="J42" i="29" s="1"/>
  <c r="K51" i="29" s="1"/>
  <c r="L60" i="29" s="1"/>
  <c r="M69" i="29" s="1"/>
  <c r="G6" i="29"/>
  <c r="H15" i="29" s="1"/>
  <c r="I24" i="29" s="1"/>
  <c r="J33" i="29" s="1"/>
  <c r="K42" i="29" s="1"/>
  <c r="L51" i="29" s="1"/>
  <c r="M60" i="29" s="1"/>
  <c r="H6" i="29"/>
  <c r="I15" i="29" s="1"/>
  <c r="J24" i="29" s="1"/>
  <c r="K33" i="29" s="1"/>
  <c r="L42" i="29" s="1"/>
  <c r="M51" i="29" s="1"/>
  <c r="AF270" i="16" l="1"/>
  <c r="H321" i="16" l="1"/>
  <c r="H322" i="16"/>
  <c r="H324" i="16"/>
  <c r="H326" i="16"/>
  <c r="H323" i="16"/>
  <c r="H327" i="16"/>
  <c r="H328" i="16"/>
  <c r="H325" i="16"/>
  <c r="H320" i="16"/>
  <c r="D62" i="16"/>
  <c r="D65" i="16"/>
  <c r="D63" i="16"/>
  <c r="D61" i="16"/>
  <c r="D66" i="16"/>
  <c r="D67" i="16"/>
  <c r="D68" i="16"/>
  <c r="D64" i="16"/>
  <c r="I277" i="16"/>
  <c r="C68" i="16" s="1"/>
  <c r="I271" i="16"/>
  <c r="I270" i="16"/>
  <c r="I276" i="16"/>
  <c r="C67" i="16" s="1"/>
  <c r="I273" i="16"/>
  <c r="C64" i="16" s="1"/>
  <c r="I278" i="16"/>
  <c r="I272" i="16"/>
  <c r="C63" i="16" s="1"/>
  <c r="I274" i="16"/>
  <c r="C65" i="16" s="1"/>
  <c r="I275" i="16"/>
  <c r="C66" i="16" s="1"/>
  <c r="C62" i="16"/>
  <c r="X320" i="16" l="1"/>
  <c r="D89" i="16"/>
  <c r="D85" i="16"/>
  <c r="C61" i="16"/>
  <c r="F195" i="3" s="1"/>
  <c r="AG270" i="16"/>
  <c r="F123" i="3"/>
  <c r="W123" i="3" s="1"/>
  <c r="X123" i="3" s="1"/>
  <c r="F114" i="3"/>
  <c r="F222" i="3"/>
  <c r="F213" i="3"/>
  <c r="F150" i="3"/>
  <c r="W150" i="3" s="1"/>
  <c r="X150" i="3" s="1"/>
  <c r="C89" i="16"/>
  <c r="F285" i="3" s="1"/>
  <c r="C85" i="16"/>
  <c r="C28" i="19" s="1"/>
  <c r="F177" i="3"/>
  <c r="W177" i="3" s="1"/>
  <c r="X177" i="3" s="1"/>
  <c r="F267" i="3"/>
  <c r="W114" i="3" l="1"/>
  <c r="X114" i="3" s="1"/>
  <c r="C5" i="19"/>
  <c r="H28" i="19"/>
  <c r="G28" i="19"/>
  <c r="E50" i="3"/>
  <c r="B2" i="75" l="1"/>
  <c r="C2" i="75" s="1"/>
  <c r="D2" i="75" s="1"/>
  <c r="E2" i="75" s="1"/>
  <c r="F2" i="75" s="1"/>
  <c r="G2" i="75" s="1"/>
  <c r="H2" i="75" s="1"/>
  <c r="I2" i="75" s="1"/>
  <c r="J2" i="75" s="1"/>
  <c r="K2" i="75" s="1"/>
  <c r="L2" i="75" s="1"/>
  <c r="M2" i="75" s="1"/>
  <c r="B3" i="75"/>
  <c r="C3" i="75" s="1"/>
  <c r="D3" i="75" s="1"/>
  <c r="E3" i="75" s="1"/>
  <c r="F3" i="75" s="1"/>
  <c r="G3" i="75" s="1"/>
  <c r="H3" i="75" s="1"/>
  <c r="I3" i="75" s="1"/>
  <c r="J3" i="75" s="1"/>
  <c r="K3" i="75" s="1"/>
  <c r="L3" i="75" s="1"/>
  <c r="M3" i="75" s="1"/>
  <c r="B4" i="75"/>
  <c r="C4" i="75" s="1"/>
  <c r="D4" i="75" s="1"/>
  <c r="E4" i="75" s="1"/>
  <c r="F4" i="75" s="1"/>
  <c r="G4" i="75" s="1"/>
  <c r="H4" i="75" s="1"/>
  <c r="I4" i="75" s="1"/>
  <c r="J4" i="75" s="1"/>
  <c r="K4" i="75" s="1"/>
  <c r="L4" i="75" s="1"/>
  <c r="M4" i="75" s="1"/>
  <c r="D5" i="19"/>
  <c r="G285" i="3" s="1"/>
  <c r="J285" i="3" s="1"/>
  <c r="E5" i="19"/>
  <c r="H285" i="3" s="1"/>
  <c r="K285" i="3" l="1"/>
  <c r="M285" i="3" l="1"/>
  <c r="G39" i="3" l="1"/>
  <c r="D35" i="3"/>
  <c r="E40" i="3"/>
  <c r="C37" i="3"/>
  <c r="D39" i="3"/>
  <c r="E41" i="3"/>
  <c r="G36" i="3"/>
  <c r="D43" i="3"/>
  <c r="F36" i="3"/>
  <c r="G41" i="3"/>
  <c r="D42" i="3"/>
  <c r="E39" i="3"/>
  <c r="E35" i="3"/>
  <c r="G38" i="3"/>
  <c r="G35" i="3"/>
  <c r="C35" i="3"/>
  <c r="F39" i="3"/>
  <c r="C43" i="3"/>
  <c r="C40" i="3"/>
  <c r="C38" i="3"/>
  <c r="C42" i="3"/>
  <c r="F37" i="3"/>
  <c r="E38" i="3"/>
  <c r="D40" i="3"/>
  <c r="F43" i="3"/>
  <c r="D38" i="3"/>
  <c r="F40" i="3"/>
  <c r="G37" i="3"/>
  <c r="D41" i="3"/>
  <c r="D36" i="3"/>
  <c r="G43" i="3"/>
  <c r="F42" i="3"/>
  <c r="E36" i="3"/>
  <c r="F35" i="3"/>
  <c r="G40" i="3"/>
  <c r="F41" i="3"/>
  <c r="E43" i="3"/>
  <c r="C39" i="3"/>
  <c r="D37" i="3"/>
  <c r="C41" i="3"/>
  <c r="E42" i="3"/>
  <c r="F38" i="3"/>
  <c r="G42" i="3"/>
  <c r="E37" i="3"/>
  <c r="C36" i="3"/>
  <c r="M13" i="3" l="1"/>
  <c r="D29" i="86" s="1"/>
  <c r="E29" i="86" s="1"/>
  <c r="F29" i="86" s="1"/>
  <c r="G29" i="86" s="1"/>
  <c r="H29" i="86" s="1"/>
  <c r="I29" i="86" s="1"/>
  <c r="J29" i="86" s="1"/>
  <c r="K29" i="86" s="1"/>
  <c r="L29" i="86" s="1"/>
  <c r="M29" i="86" s="1"/>
  <c r="N29" i="86" s="1"/>
  <c r="F13" i="3"/>
  <c r="D29" i="74" s="1"/>
  <c r="E29" i="74" s="1"/>
  <c r="F29" i="74" s="1"/>
  <c r="G29" i="74" s="1"/>
  <c r="H29" i="74" s="1"/>
  <c r="I29" i="74" s="1"/>
  <c r="J29" i="74" s="1"/>
  <c r="K29" i="74" s="1"/>
  <c r="L29" i="74" s="1"/>
  <c r="M29" i="74" s="1"/>
  <c r="N29" i="74" s="1"/>
  <c r="M16" i="3"/>
  <c r="D31" i="86" s="1"/>
  <c r="E31" i="86" s="1"/>
  <c r="F31" i="86" s="1"/>
  <c r="G31" i="86" s="1"/>
  <c r="H31" i="86" s="1"/>
  <c r="I31" i="86" s="1"/>
  <c r="J31" i="86" s="1"/>
  <c r="K31" i="86" s="1"/>
  <c r="L31" i="86" s="1"/>
  <c r="M31" i="86" s="1"/>
  <c r="N31" i="86" s="1"/>
  <c r="F16" i="3"/>
  <c r="D31" i="74" s="1"/>
  <c r="E31" i="74" s="1"/>
  <c r="F31" i="74" s="1"/>
  <c r="G31" i="74" s="1"/>
  <c r="H31" i="74" s="1"/>
  <c r="I31" i="74" s="1"/>
  <c r="J31" i="74" s="1"/>
  <c r="K31" i="74" s="1"/>
  <c r="L31" i="74" s="1"/>
  <c r="M31" i="74" s="1"/>
  <c r="N31" i="74" s="1"/>
  <c r="D11" i="3"/>
  <c r="D11" i="74" s="1"/>
  <c r="E11" i="74" s="1"/>
  <c r="F11" i="74" s="1"/>
  <c r="G11" i="74" s="1"/>
  <c r="H11" i="74" s="1"/>
  <c r="I11" i="74" s="1"/>
  <c r="J11" i="74" s="1"/>
  <c r="K11" i="74" s="1"/>
  <c r="L11" i="74" s="1"/>
  <c r="M11" i="74" s="1"/>
  <c r="N11" i="74" s="1"/>
  <c r="K11" i="3"/>
  <c r="D11" i="86" s="1"/>
  <c r="E11" i="86" s="1"/>
  <c r="F11" i="86" s="1"/>
  <c r="G11" i="86" s="1"/>
  <c r="H11" i="86" s="1"/>
  <c r="I11" i="86" s="1"/>
  <c r="J11" i="86" s="1"/>
  <c r="K11" i="86" s="1"/>
  <c r="L11" i="86" s="1"/>
  <c r="M11" i="86" s="1"/>
  <c r="N11" i="86" s="1"/>
  <c r="K15" i="3"/>
  <c r="D14" i="86" s="1"/>
  <c r="E14" i="86" s="1"/>
  <c r="F14" i="86" s="1"/>
  <c r="G14" i="86" s="1"/>
  <c r="H14" i="86" s="1"/>
  <c r="I14" i="86" s="1"/>
  <c r="J14" i="86" s="1"/>
  <c r="K14" i="86" s="1"/>
  <c r="L14" i="86" s="1"/>
  <c r="M14" i="86" s="1"/>
  <c r="N14" i="86" s="1"/>
  <c r="D15" i="3"/>
  <c r="D14" i="74" s="1"/>
  <c r="E14" i="74" s="1"/>
  <c r="F14" i="74" s="1"/>
  <c r="G14" i="74" s="1"/>
  <c r="H14" i="74" s="1"/>
  <c r="I14" i="74" s="1"/>
  <c r="J14" i="74" s="1"/>
  <c r="K14" i="74" s="1"/>
  <c r="L14" i="74" s="1"/>
  <c r="M14" i="74" s="1"/>
  <c r="N14" i="74" s="1"/>
  <c r="J18" i="3"/>
  <c r="D9" i="86" s="1"/>
  <c r="E9" i="86" s="1"/>
  <c r="F9" i="86" s="1"/>
  <c r="G9" i="86" s="1"/>
  <c r="H9" i="86" s="1"/>
  <c r="I9" i="86" s="1"/>
  <c r="J9" i="86" s="1"/>
  <c r="K9" i="86" s="1"/>
  <c r="L9" i="86" s="1"/>
  <c r="M9" i="86" s="1"/>
  <c r="N9" i="86" s="1"/>
  <c r="C18" i="3"/>
  <c r="D9" i="74" s="1"/>
  <c r="E9" i="74" s="1"/>
  <c r="F9" i="74" s="1"/>
  <c r="G9" i="74" s="1"/>
  <c r="H9" i="74" s="1"/>
  <c r="I9" i="74" s="1"/>
  <c r="J9" i="74" s="1"/>
  <c r="K9" i="74" s="1"/>
  <c r="L9" i="74" s="1"/>
  <c r="M9" i="74" s="1"/>
  <c r="N9" i="74" s="1"/>
  <c r="E14" i="3"/>
  <c r="D20" i="74" s="1"/>
  <c r="E20" i="74" s="1"/>
  <c r="F20" i="74" s="1"/>
  <c r="G20" i="74" s="1"/>
  <c r="H20" i="74" s="1"/>
  <c r="I20" i="74" s="1"/>
  <c r="J20" i="74" s="1"/>
  <c r="K20" i="74" s="1"/>
  <c r="L20" i="74" s="1"/>
  <c r="M20" i="74" s="1"/>
  <c r="N20" i="74" s="1"/>
  <c r="L14" i="3"/>
  <c r="D20" i="86" s="1"/>
  <c r="E20" i="86" s="1"/>
  <c r="F20" i="86" s="1"/>
  <c r="G20" i="86" s="1"/>
  <c r="H20" i="86" s="1"/>
  <c r="I20" i="86" s="1"/>
  <c r="J20" i="86" s="1"/>
  <c r="K20" i="86" s="1"/>
  <c r="L20" i="86" s="1"/>
  <c r="M20" i="86" s="1"/>
  <c r="N20" i="86" s="1"/>
  <c r="L16" i="3"/>
  <c r="D23" i="86" s="1"/>
  <c r="E23" i="86" s="1"/>
  <c r="F23" i="86" s="1"/>
  <c r="G23" i="86" s="1"/>
  <c r="H23" i="86" s="1"/>
  <c r="I23" i="86" s="1"/>
  <c r="J23" i="86" s="1"/>
  <c r="K23" i="86" s="1"/>
  <c r="L23" i="86" s="1"/>
  <c r="M23" i="86" s="1"/>
  <c r="N23" i="86" s="1"/>
  <c r="E16" i="3"/>
  <c r="D23" i="74" s="1"/>
  <c r="E23" i="74" s="1"/>
  <c r="F23" i="74" s="1"/>
  <c r="G23" i="74" s="1"/>
  <c r="H23" i="74" s="1"/>
  <c r="I23" i="74" s="1"/>
  <c r="J23" i="74" s="1"/>
  <c r="K23" i="74" s="1"/>
  <c r="L23" i="74" s="1"/>
  <c r="M23" i="74" s="1"/>
  <c r="N23" i="74" s="1"/>
  <c r="E17" i="3"/>
  <c r="D24" i="74" s="1"/>
  <c r="E24" i="74" s="1"/>
  <c r="F24" i="74" s="1"/>
  <c r="G24" i="74" s="1"/>
  <c r="H24" i="74" s="1"/>
  <c r="I24" i="74" s="1"/>
  <c r="J24" i="74" s="1"/>
  <c r="K24" i="74" s="1"/>
  <c r="L24" i="74" s="1"/>
  <c r="M24" i="74" s="1"/>
  <c r="N24" i="74" s="1"/>
  <c r="L17" i="3"/>
  <c r="D24" i="86" s="1"/>
  <c r="E24" i="86" s="1"/>
  <c r="F24" i="86" s="1"/>
  <c r="G24" i="86" s="1"/>
  <c r="H24" i="86" s="1"/>
  <c r="I24" i="86" s="1"/>
  <c r="J24" i="86" s="1"/>
  <c r="K24" i="86" s="1"/>
  <c r="L24" i="86" s="1"/>
  <c r="M24" i="86" s="1"/>
  <c r="N24" i="86" s="1"/>
  <c r="G15" i="3"/>
  <c r="D38" i="74" s="1"/>
  <c r="E38" i="74" s="1"/>
  <c r="F38" i="74" s="1"/>
  <c r="G38" i="74" s="1"/>
  <c r="H38" i="74" s="1"/>
  <c r="I38" i="74" s="1"/>
  <c r="J38" i="74" s="1"/>
  <c r="K38" i="74" s="1"/>
  <c r="L38" i="74" s="1"/>
  <c r="M38" i="74" s="1"/>
  <c r="N38" i="74" s="1"/>
  <c r="N15" i="3"/>
  <c r="D38" i="86" s="1"/>
  <c r="E38" i="86" s="1"/>
  <c r="F38" i="86" s="1"/>
  <c r="G38" i="86" s="1"/>
  <c r="H38" i="86" s="1"/>
  <c r="I38" i="86" s="1"/>
  <c r="J38" i="86" s="1"/>
  <c r="K38" i="86" s="1"/>
  <c r="L38" i="86" s="1"/>
  <c r="M38" i="86" s="1"/>
  <c r="N38" i="86" s="1"/>
  <c r="K16" i="3"/>
  <c r="D15" i="86" s="1"/>
  <c r="E15" i="86" s="1"/>
  <c r="F15" i="86" s="1"/>
  <c r="G15" i="86" s="1"/>
  <c r="H15" i="86" s="1"/>
  <c r="I15" i="86" s="1"/>
  <c r="J15" i="86" s="1"/>
  <c r="K15" i="86" s="1"/>
  <c r="L15" i="86" s="1"/>
  <c r="M15" i="86" s="1"/>
  <c r="N15" i="86" s="1"/>
  <c r="D16" i="3"/>
  <c r="D15" i="74" s="1"/>
  <c r="E15" i="74" s="1"/>
  <c r="F15" i="74" s="1"/>
  <c r="G15" i="74" s="1"/>
  <c r="H15" i="74" s="1"/>
  <c r="I15" i="74" s="1"/>
  <c r="J15" i="74" s="1"/>
  <c r="K15" i="74" s="1"/>
  <c r="L15" i="74" s="1"/>
  <c r="M15" i="74" s="1"/>
  <c r="N15" i="74" s="1"/>
  <c r="L13" i="3"/>
  <c r="D21" i="86" s="1"/>
  <c r="E21" i="86" s="1"/>
  <c r="F21" i="86" s="1"/>
  <c r="G21" i="86" s="1"/>
  <c r="H21" i="86" s="1"/>
  <c r="I21" i="86" s="1"/>
  <c r="J21" i="86" s="1"/>
  <c r="K21" i="86" s="1"/>
  <c r="L21" i="86" s="1"/>
  <c r="M21" i="86" s="1"/>
  <c r="N21" i="86" s="1"/>
  <c r="E13" i="3"/>
  <c r="D21" i="74" s="1"/>
  <c r="E21" i="74" s="1"/>
  <c r="F21" i="74" s="1"/>
  <c r="G21" i="74" s="1"/>
  <c r="H21" i="74" s="1"/>
  <c r="I21" i="74" s="1"/>
  <c r="J21" i="74" s="1"/>
  <c r="K21" i="74" s="1"/>
  <c r="L21" i="74" s="1"/>
  <c r="M21" i="74" s="1"/>
  <c r="N21" i="74" s="1"/>
  <c r="M14" i="3"/>
  <c r="D28" i="86" s="1"/>
  <c r="E28" i="86" s="1"/>
  <c r="F28" i="86" s="1"/>
  <c r="G28" i="86" s="1"/>
  <c r="H28" i="86" s="1"/>
  <c r="I28" i="86" s="1"/>
  <c r="J28" i="86" s="1"/>
  <c r="K28" i="86" s="1"/>
  <c r="L28" i="86" s="1"/>
  <c r="M28" i="86" s="1"/>
  <c r="N28" i="86" s="1"/>
  <c r="F14" i="3"/>
  <c r="D28" i="74" s="1"/>
  <c r="E28" i="74" s="1"/>
  <c r="F28" i="74" s="1"/>
  <c r="G28" i="74" s="1"/>
  <c r="H28" i="74" s="1"/>
  <c r="I28" i="74" s="1"/>
  <c r="J28" i="74" s="1"/>
  <c r="K28" i="74" s="1"/>
  <c r="L28" i="74" s="1"/>
  <c r="M28" i="74" s="1"/>
  <c r="N28" i="74" s="1"/>
  <c r="D17" i="3"/>
  <c r="D16" i="74" s="1"/>
  <c r="E16" i="74" s="1"/>
  <c r="F16" i="74" s="1"/>
  <c r="G16" i="74" s="1"/>
  <c r="H16" i="74" s="1"/>
  <c r="I16" i="74" s="1"/>
  <c r="J16" i="74" s="1"/>
  <c r="K16" i="74" s="1"/>
  <c r="L16" i="74" s="1"/>
  <c r="M16" i="74" s="1"/>
  <c r="N16" i="74" s="1"/>
  <c r="K17" i="3"/>
  <c r="D16" i="86" s="1"/>
  <c r="E16" i="86" s="1"/>
  <c r="F16" i="86" s="1"/>
  <c r="G16" i="86" s="1"/>
  <c r="H16" i="86" s="1"/>
  <c r="I16" i="86" s="1"/>
  <c r="J16" i="86" s="1"/>
  <c r="K16" i="86" s="1"/>
  <c r="L16" i="86" s="1"/>
  <c r="M16" i="86" s="1"/>
  <c r="N16" i="86" s="1"/>
  <c r="D14" i="3"/>
  <c r="D12" i="74" s="1"/>
  <c r="E12" i="74" s="1"/>
  <c r="F12" i="74" s="1"/>
  <c r="G12" i="74" s="1"/>
  <c r="H12" i="74" s="1"/>
  <c r="I12" i="74" s="1"/>
  <c r="J12" i="74" s="1"/>
  <c r="K12" i="74" s="1"/>
  <c r="L12" i="74" s="1"/>
  <c r="M12" i="74" s="1"/>
  <c r="N12" i="74" s="1"/>
  <c r="K14" i="3"/>
  <c r="D12" i="86" s="1"/>
  <c r="E12" i="86" s="1"/>
  <c r="F12" i="86" s="1"/>
  <c r="G12" i="86" s="1"/>
  <c r="H12" i="86" s="1"/>
  <c r="I12" i="86" s="1"/>
  <c r="J12" i="86" s="1"/>
  <c r="K12" i="86" s="1"/>
  <c r="L12" i="86" s="1"/>
  <c r="M12" i="86" s="1"/>
  <c r="N12" i="86" s="1"/>
  <c r="J16" i="3"/>
  <c r="D7" i="86" s="1"/>
  <c r="E7" i="86" s="1"/>
  <c r="F7" i="86" s="1"/>
  <c r="G7" i="86" s="1"/>
  <c r="H7" i="86" s="1"/>
  <c r="I7" i="86" s="1"/>
  <c r="J7" i="86" s="1"/>
  <c r="K7" i="86" s="1"/>
  <c r="L7" i="86" s="1"/>
  <c r="M7" i="86" s="1"/>
  <c r="N7" i="86" s="1"/>
  <c r="C16" i="3"/>
  <c r="D7" i="74" s="1"/>
  <c r="E7" i="74" s="1"/>
  <c r="F7" i="74" s="1"/>
  <c r="G7" i="74" s="1"/>
  <c r="H7" i="74" s="1"/>
  <c r="I7" i="74" s="1"/>
  <c r="J7" i="74" s="1"/>
  <c r="K7" i="74" s="1"/>
  <c r="L7" i="74" s="1"/>
  <c r="M7" i="74" s="1"/>
  <c r="N7" i="74" s="1"/>
  <c r="M10" i="3"/>
  <c r="D26" i="86" s="1"/>
  <c r="E26" i="86" s="1"/>
  <c r="F26" i="86" s="1"/>
  <c r="G26" i="86" s="1"/>
  <c r="H26" i="86" s="1"/>
  <c r="I26" i="86" s="1"/>
  <c r="J26" i="86" s="1"/>
  <c r="K26" i="86" s="1"/>
  <c r="L26" i="86" s="1"/>
  <c r="M26" i="86" s="1"/>
  <c r="N26" i="86" s="1"/>
  <c r="F10" i="3"/>
  <c r="D26" i="74" s="1"/>
  <c r="E26" i="74" s="1"/>
  <c r="F26" i="74" s="1"/>
  <c r="G26" i="74" s="1"/>
  <c r="H26" i="74" s="1"/>
  <c r="I26" i="74" s="1"/>
  <c r="J26" i="74" s="1"/>
  <c r="K26" i="74" s="1"/>
  <c r="L26" i="74" s="1"/>
  <c r="M26" i="74" s="1"/>
  <c r="N26" i="74" s="1"/>
  <c r="G12" i="3"/>
  <c r="N12" i="3"/>
  <c r="F12" i="3"/>
  <c r="M12" i="3"/>
  <c r="J10" i="3"/>
  <c r="D2" i="86" s="1"/>
  <c r="E2" i="86" s="1"/>
  <c r="F2" i="86" s="1"/>
  <c r="G2" i="86" s="1"/>
  <c r="H2" i="86" s="1"/>
  <c r="I2" i="86" s="1"/>
  <c r="J2" i="86" s="1"/>
  <c r="K2" i="86" s="1"/>
  <c r="L2" i="86" s="1"/>
  <c r="M2" i="86" s="1"/>
  <c r="N2" i="86" s="1"/>
  <c r="C10" i="3"/>
  <c r="D2" i="74" s="1"/>
  <c r="E2" i="74" s="1"/>
  <c r="F2" i="74" s="1"/>
  <c r="G2" i="74" s="1"/>
  <c r="G16" i="3"/>
  <c r="D39" i="74" s="1"/>
  <c r="E39" i="74" s="1"/>
  <c r="F39" i="74" s="1"/>
  <c r="G39" i="74" s="1"/>
  <c r="H39" i="74" s="1"/>
  <c r="I39" i="74" s="1"/>
  <c r="J39" i="74" s="1"/>
  <c r="K39" i="74" s="1"/>
  <c r="L39" i="74" s="1"/>
  <c r="M39" i="74" s="1"/>
  <c r="N39" i="74" s="1"/>
  <c r="N16" i="3"/>
  <c r="D39" i="86" s="1"/>
  <c r="E39" i="86" s="1"/>
  <c r="F39" i="86" s="1"/>
  <c r="G39" i="86" s="1"/>
  <c r="H39" i="86" s="1"/>
  <c r="I39" i="86" s="1"/>
  <c r="J39" i="86" s="1"/>
  <c r="K39" i="86" s="1"/>
  <c r="L39" i="86" s="1"/>
  <c r="M39" i="86" s="1"/>
  <c r="N39" i="86" s="1"/>
  <c r="J12" i="3"/>
  <c r="C12" i="3"/>
  <c r="J11" i="3"/>
  <c r="D3" i="86" s="1"/>
  <c r="E3" i="86" s="1"/>
  <c r="F3" i="86" s="1"/>
  <c r="G3" i="86" s="1"/>
  <c r="H3" i="86" s="1"/>
  <c r="I3" i="86" s="1"/>
  <c r="J3" i="86" s="1"/>
  <c r="K3" i="86" s="1"/>
  <c r="L3" i="86" s="1"/>
  <c r="M3" i="86" s="1"/>
  <c r="N3" i="86" s="1"/>
  <c r="C11" i="3"/>
  <c r="D3" i="74" s="1"/>
  <c r="E3" i="74" s="1"/>
  <c r="F3" i="74" s="1"/>
  <c r="G3" i="74" s="1"/>
  <c r="H3" i="74" s="1"/>
  <c r="I3" i="74" s="1"/>
  <c r="J3" i="74" s="1"/>
  <c r="K3" i="74" s="1"/>
  <c r="L3" i="74" s="1"/>
  <c r="M3" i="74" s="1"/>
  <c r="N3" i="74" s="1"/>
  <c r="K12" i="3"/>
  <c r="D12" i="3"/>
  <c r="E11" i="3"/>
  <c r="D19" i="74" s="1"/>
  <c r="E19" i="74" s="1"/>
  <c r="F19" i="74" s="1"/>
  <c r="G19" i="74" s="1"/>
  <c r="H19" i="74" s="1"/>
  <c r="I19" i="74" s="1"/>
  <c r="J19" i="74" s="1"/>
  <c r="K19" i="74" s="1"/>
  <c r="L19" i="74" s="1"/>
  <c r="M19" i="74" s="1"/>
  <c r="N19" i="74" s="1"/>
  <c r="L11" i="3"/>
  <c r="D19" i="86" s="1"/>
  <c r="E19" i="86" s="1"/>
  <c r="F19" i="86" s="1"/>
  <c r="G19" i="86" s="1"/>
  <c r="H19" i="86" s="1"/>
  <c r="I19" i="86" s="1"/>
  <c r="J19" i="86" s="1"/>
  <c r="K19" i="86" s="1"/>
  <c r="L19" i="86" s="1"/>
  <c r="M19" i="86" s="1"/>
  <c r="N19" i="86" s="1"/>
  <c r="F15" i="3"/>
  <c r="D30" i="74" s="1"/>
  <c r="E30" i="74" s="1"/>
  <c r="F30" i="74" s="1"/>
  <c r="G30" i="74" s="1"/>
  <c r="H30" i="74" s="1"/>
  <c r="I30" i="74" s="1"/>
  <c r="J30" i="74" s="1"/>
  <c r="K30" i="74" s="1"/>
  <c r="L30" i="74" s="1"/>
  <c r="M30" i="74" s="1"/>
  <c r="N30" i="74" s="1"/>
  <c r="M15" i="3"/>
  <c r="D30" i="86" s="1"/>
  <c r="E30" i="86" s="1"/>
  <c r="F30" i="86" s="1"/>
  <c r="G30" i="86" s="1"/>
  <c r="H30" i="86" s="1"/>
  <c r="I30" i="86" s="1"/>
  <c r="J30" i="86" s="1"/>
  <c r="K30" i="86" s="1"/>
  <c r="L30" i="86" s="1"/>
  <c r="M30" i="86" s="1"/>
  <c r="N30" i="86" s="1"/>
  <c r="J17" i="3"/>
  <c r="D8" i="86" s="1"/>
  <c r="E8" i="86" s="1"/>
  <c r="F8" i="86" s="1"/>
  <c r="G8" i="86" s="1"/>
  <c r="H8" i="86" s="1"/>
  <c r="I8" i="86" s="1"/>
  <c r="J8" i="86" s="1"/>
  <c r="K8" i="86" s="1"/>
  <c r="L8" i="86" s="1"/>
  <c r="M8" i="86" s="1"/>
  <c r="N8" i="86" s="1"/>
  <c r="C17" i="3"/>
  <c r="D8" i="74" s="1"/>
  <c r="E8" i="74" s="1"/>
  <c r="F8" i="74" s="1"/>
  <c r="G8" i="74" s="1"/>
  <c r="H8" i="74" s="1"/>
  <c r="I8" i="74" s="1"/>
  <c r="J8" i="74" s="1"/>
  <c r="K8" i="74" s="1"/>
  <c r="L8" i="74" s="1"/>
  <c r="M8" i="74" s="1"/>
  <c r="N8" i="74" s="1"/>
  <c r="G10" i="3"/>
  <c r="D34" i="74" s="1"/>
  <c r="E34" i="74" s="1"/>
  <c r="F34" i="74" s="1"/>
  <c r="G34" i="74" s="1"/>
  <c r="H34" i="74" s="1"/>
  <c r="I34" i="74" s="1"/>
  <c r="J34" i="74" s="1"/>
  <c r="K34" i="74" s="1"/>
  <c r="L34" i="74" s="1"/>
  <c r="M34" i="74" s="1"/>
  <c r="N34" i="74" s="1"/>
  <c r="N10" i="3"/>
  <c r="D34" i="86" s="1"/>
  <c r="E34" i="86" s="1"/>
  <c r="F34" i="86" s="1"/>
  <c r="G34" i="86" s="1"/>
  <c r="H34" i="86" s="1"/>
  <c r="I34" i="86" s="1"/>
  <c r="J34" i="86" s="1"/>
  <c r="K34" i="86" s="1"/>
  <c r="L34" i="86" s="1"/>
  <c r="M34" i="86" s="1"/>
  <c r="N34" i="86" s="1"/>
  <c r="M11" i="3"/>
  <c r="D27" i="86" s="1"/>
  <c r="E27" i="86" s="1"/>
  <c r="F27" i="86" s="1"/>
  <c r="G27" i="86" s="1"/>
  <c r="H27" i="86" s="1"/>
  <c r="I27" i="86" s="1"/>
  <c r="J27" i="86" s="1"/>
  <c r="K27" i="86" s="1"/>
  <c r="L27" i="86" s="1"/>
  <c r="M27" i="86" s="1"/>
  <c r="N27" i="86" s="1"/>
  <c r="F11" i="3"/>
  <c r="D27" i="74" s="1"/>
  <c r="E27" i="74" s="1"/>
  <c r="F27" i="74" s="1"/>
  <c r="G27" i="74" s="1"/>
  <c r="H27" i="74" s="1"/>
  <c r="I27" i="74" s="1"/>
  <c r="J27" i="74" s="1"/>
  <c r="K27" i="74" s="1"/>
  <c r="L27" i="74" s="1"/>
  <c r="M27" i="74" s="1"/>
  <c r="N27" i="74" s="1"/>
  <c r="E15" i="3"/>
  <c r="D22" i="74" s="1"/>
  <c r="E22" i="74" s="1"/>
  <c r="F22" i="74" s="1"/>
  <c r="G22" i="74" s="1"/>
  <c r="H22" i="74" s="1"/>
  <c r="I22" i="74" s="1"/>
  <c r="J22" i="74" s="1"/>
  <c r="K22" i="74" s="1"/>
  <c r="L22" i="74" s="1"/>
  <c r="M22" i="74" s="1"/>
  <c r="N22" i="74" s="1"/>
  <c r="L15" i="3"/>
  <c r="D22" i="86" s="1"/>
  <c r="E22" i="86" s="1"/>
  <c r="F22" i="86" s="1"/>
  <c r="G22" i="86" s="1"/>
  <c r="H22" i="86" s="1"/>
  <c r="I22" i="86" s="1"/>
  <c r="J22" i="86" s="1"/>
  <c r="K22" i="86" s="1"/>
  <c r="L22" i="86" s="1"/>
  <c r="M22" i="86" s="1"/>
  <c r="N22" i="86" s="1"/>
  <c r="E12" i="3"/>
  <c r="L12" i="3"/>
  <c r="C14" i="3"/>
  <c r="D4" i="74" s="1"/>
  <c r="E4" i="74" s="1"/>
  <c r="F4" i="74" s="1"/>
  <c r="G4" i="74" s="1"/>
  <c r="H4" i="74" s="1"/>
  <c r="I4" i="74" s="1"/>
  <c r="J4" i="74" s="1"/>
  <c r="K4" i="74" s="1"/>
  <c r="L4" i="74" s="1"/>
  <c r="M4" i="74" s="1"/>
  <c r="N4" i="74" s="1"/>
  <c r="J14" i="3"/>
  <c r="D4" i="86" s="1"/>
  <c r="E4" i="86" s="1"/>
  <c r="F4" i="86" s="1"/>
  <c r="G4" i="86" s="1"/>
  <c r="H4" i="86" s="1"/>
  <c r="I4" i="86" s="1"/>
  <c r="J4" i="86" s="1"/>
  <c r="K4" i="86" s="1"/>
  <c r="L4" i="86" s="1"/>
  <c r="M4" i="86" s="1"/>
  <c r="N4" i="86" s="1"/>
  <c r="M17" i="3"/>
  <c r="D32" i="86" s="1"/>
  <c r="E32" i="86" s="1"/>
  <c r="F32" i="86" s="1"/>
  <c r="G32" i="86" s="1"/>
  <c r="H32" i="86" s="1"/>
  <c r="I32" i="86" s="1"/>
  <c r="J32" i="86" s="1"/>
  <c r="K32" i="86" s="1"/>
  <c r="L32" i="86" s="1"/>
  <c r="M32" i="86" s="1"/>
  <c r="N32" i="86" s="1"/>
  <c r="F17" i="3"/>
  <c r="D32" i="74" s="1"/>
  <c r="E32" i="74" s="1"/>
  <c r="F32" i="74" s="1"/>
  <c r="G32" i="74" s="1"/>
  <c r="H32" i="74" s="1"/>
  <c r="I32" i="74" s="1"/>
  <c r="J32" i="74" s="1"/>
  <c r="K32" i="74" s="1"/>
  <c r="L32" i="74" s="1"/>
  <c r="M32" i="74" s="1"/>
  <c r="N32" i="74" s="1"/>
  <c r="K13" i="3"/>
  <c r="D13" i="86" s="1"/>
  <c r="E13" i="86" s="1"/>
  <c r="F13" i="86" s="1"/>
  <c r="G13" i="86" s="1"/>
  <c r="H13" i="86" s="1"/>
  <c r="I13" i="86" s="1"/>
  <c r="J13" i="86" s="1"/>
  <c r="K13" i="86" s="1"/>
  <c r="L13" i="86" s="1"/>
  <c r="M13" i="86" s="1"/>
  <c r="N13" i="86" s="1"/>
  <c r="D13" i="3"/>
  <c r="D13" i="74" s="1"/>
  <c r="E13" i="74" s="1"/>
  <c r="F13" i="74" s="1"/>
  <c r="G13" i="74" s="1"/>
  <c r="H13" i="74" s="1"/>
  <c r="I13" i="74" s="1"/>
  <c r="J13" i="74" s="1"/>
  <c r="K13" i="74" s="1"/>
  <c r="L13" i="74" s="1"/>
  <c r="M13" i="74" s="1"/>
  <c r="N13" i="74" s="1"/>
  <c r="J13" i="3"/>
  <c r="D5" i="86" s="1"/>
  <c r="E5" i="86" s="1"/>
  <c r="F5" i="86" s="1"/>
  <c r="G5" i="86" s="1"/>
  <c r="H5" i="86" s="1"/>
  <c r="I5" i="86" s="1"/>
  <c r="J5" i="86" s="1"/>
  <c r="K5" i="86" s="1"/>
  <c r="L5" i="86" s="1"/>
  <c r="M5" i="86" s="1"/>
  <c r="N5" i="86" s="1"/>
  <c r="C13" i="3"/>
  <c r="D5" i="74" s="1"/>
  <c r="E5" i="74" s="1"/>
  <c r="F5" i="74" s="1"/>
  <c r="G5" i="74" s="1"/>
  <c r="H5" i="74" s="1"/>
  <c r="I5" i="74" s="1"/>
  <c r="J5" i="74" s="1"/>
  <c r="K5" i="74" s="1"/>
  <c r="L5" i="74" s="1"/>
  <c r="M5" i="74" s="1"/>
  <c r="N5" i="74" s="1"/>
  <c r="G13" i="3"/>
  <c r="D37" i="74" s="1"/>
  <c r="E37" i="74" s="1"/>
  <c r="F37" i="74" s="1"/>
  <c r="G37" i="74" s="1"/>
  <c r="H37" i="74" s="1"/>
  <c r="I37" i="74" s="1"/>
  <c r="J37" i="74" s="1"/>
  <c r="K37" i="74" s="1"/>
  <c r="L37" i="74" s="1"/>
  <c r="M37" i="74" s="1"/>
  <c r="N37" i="74" s="1"/>
  <c r="N13" i="3"/>
  <c r="D37" i="86" s="1"/>
  <c r="E37" i="86" s="1"/>
  <c r="F37" i="86" s="1"/>
  <c r="G37" i="86" s="1"/>
  <c r="H37" i="86" s="1"/>
  <c r="I37" i="86" s="1"/>
  <c r="J37" i="86" s="1"/>
  <c r="K37" i="86" s="1"/>
  <c r="L37" i="86" s="1"/>
  <c r="M37" i="86" s="1"/>
  <c r="N37" i="86" s="1"/>
  <c r="K18" i="3"/>
  <c r="D17" i="86" s="1"/>
  <c r="E17" i="86" s="1"/>
  <c r="F17" i="86" s="1"/>
  <c r="G17" i="86" s="1"/>
  <c r="H17" i="86" s="1"/>
  <c r="I17" i="86" s="1"/>
  <c r="J17" i="86" s="1"/>
  <c r="K17" i="86" s="1"/>
  <c r="L17" i="86" s="1"/>
  <c r="M17" i="86" s="1"/>
  <c r="N17" i="86" s="1"/>
  <c r="D18" i="3"/>
  <c r="D17" i="74" s="1"/>
  <c r="E17" i="74" s="1"/>
  <c r="F17" i="74" s="1"/>
  <c r="G17" i="74" s="1"/>
  <c r="H17" i="74" s="1"/>
  <c r="I17" i="74" s="1"/>
  <c r="J17" i="74" s="1"/>
  <c r="K17" i="74" s="1"/>
  <c r="L17" i="74" s="1"/>
  <c r="M17" i="74" s="1"/>
  <c r="N17" i="74" s="1"/>
  <c r="K10" i="3"/>
  <c r="D10" i="86" s="1"/>
  <c r="E10" i="86" s="1"/>
  <c r="F10" i="86" s="1"/>
  <c r="G10" i="86" s="1"/>
  <c r="H10" i="86" s="1"/>
  <c r="I10" i="86" s="1"/>
  <c r="J10" i="86" s="1"/>
  <c r="K10" i="86" s="1"/>
  <c r="L10" i="86" s="1"/>
  <c r="M10" i="86" s="1"/>
  <c r="N10" i="86" s="1"/>
  <c r="D10" i="3"/>
  <c r="D10" i="74" s="1"/>
  <c r="E10" i="74" s="1"/>
  <c r="F10" i="74" s="1"/>
  <c r="G10" i="74" s="1"/>
  <c r="H10" i="74" s="1"/>
  <c r="I10" i="74" s="1"/>
  <c r="J10" i="74" s="1"/>
  <c r="K10" i="74" s="1"/>
  <c r="L10" i="74" s="1"/>
  <c r="M10" i="74" s="1"/>
  <c r="N10" i="74" s="1"/>
  <c r="N17" i="3"/>
  <c r="D40" i="86" s="1"/>
  <c r="E40" i="86" s="1"/>
  <c r="F40" i="86" s="1"/>
  <c r="G40" i="86" s="1"/>
  <c r="H40" i="86" s="1"/>
  <c r="I40" i="86" s="1"/>
  <c r="J40" i="86" s="1"/>
  <c r="K40" i="86" s="1"/>
  <c r="L40" i="86" s="1"/>
  <c r="M40" i="86" s="1"/>
  <c r="N40" i="86" s="1"/>
  <c r="G17" i="3"/>
  <c r="D40" i="74" s="1"/>
  <c r="E40" i="74" s="1"/>
  <c r="F40" i="74" s="1"/>
  <c r="G40" i="74" s="1"/>
  <c r="H40" i="74" s="1"/>
  <c r="I40" i="74" s="1"/>
  <c r="J40" i="74" s="1"/>
  <c r="K40" i="74" s="1"/>
  <c r="L40" i="74" s="1"/>
  <c r="M40" i="74" s="1"/>
  <c r="N40" i="74" s="1"/>
  <c r="E18" i="3"/>
  <c r="D25" i="74" s="1"/>
  <c r="E25" i="74" s="1"/>
  <c r="F25" i="74" s="1"/>
  <c r="G25" i="74" s="1"/>
  <c r="H25" i="74" s="1"/>
  <c r="I25" i="74" s="1"/>
  <c r="J25" i="74" s="1"/>
  <c r="K25" i="74" s="1"/>
  <c r="L25" i="74" s="1"/>
  <c r="M25" i="74" s="1"/>
  <c r="N25" i="74" s="1"/>
  <c r="L18" i="3"/>
  <c r="D25" i="86" s="1"/>
  <c r="E25" i="86" s="1"/>
  <c r="F25" i="86" s="1"/>
  <c r="G25" i="86" s="1"/>
  <c r="H25" i="86" s="1"/>
  <c r="I25" i="86" s="1"/>
  <c r="J25" i="86" s="1"/>
  <c r="K25" i="86" s="1"/>
  <c r="L25" i="86" s="1"/>
  <c r="M25" i="86" s="1"/>
  <c r="N25" i="86" s="1"/>
  <c r="G18" i="3"/>
  <c r="D41" i="74" s="1"/>
  <c r="E41" i="74" s="1"/>
  <c r="F41" i="74" s="1"/>
  <c r="G41" i="74" s="1"/>
  <c r="H41" i="74" s="1"/>
  <c r="I41" i="74" s="1"/>
  <c r="J41" i="74" s="1"/>
  <c r="K41" i="74" s="1"/>
  <c r="L41" i="74" s="1"/>
  <c r="M41" i="74" s="1"/>
  <c r="N41" i="74" s="1"/>
  <c r="N18" i="3"/>
  <c r="D41" i="86" s="1"/>
  <c r="E41" i="86" s="1"/>
  <c r="F41" i="86" s="1"/>
  <c r="G41" i="86" s="1"/>
  <c r="H41" i="86" s="1"/>
  <c r="I41" i="86" s="1"/>
  <c r="J41" i="86" s="1"/>
  <c r="K41" i="86" s="1"/>
  <c r="L41" i="86" s="1"/>
  <c r="M41" i="86" s="1"/>
  <c r="N41" i="86" s="1"/>
  <c r="F18" i="3"/>
  <c r="D33" i="74" s="1"/>
  <c r="E33" i="74" s="1"/>
  <c r="F33" i="74" s="1"/>
  <c r="G33" i="74" s="1"/>
  <c r="H33" i="74" s="1"/>
  <c r="I33" i="74" s="1"/>
  <c r="J33" i="74" s="1"/>
  <c r="K33" i="74" s="1"/>
  <c r="L33" i="74" s="1"/>
  <c r="M33" i="74" s="1"/>
  <c r="N33" i="74" s="1"/>
  <c r="M18" i="3"/>
  <c r="D33" i="86" s="1"/>
  <c r="E33" i="86" s="1"/>
  <c r="F33" i="86" s="1"/>
  <c r="G33" i="86" s="1"/>
  <c r="H33" i="86" s="1"/>
  <c r="I33" i="86" s="1"/>
  <c r="J33" i="86" s="1"/>
  <c r="K33" i="86" s="1"/>
  <c r="L33" i="86" s="1"/>
  <c r="M33" i="86" s="1"/>
  <c r="N33" i="86" s="1"/>
  <c r="C15" i="3"/>
  <c r="D6" i="74" s="1"/>
  <c r="E6" i="74" s="1"/>
  <c r="F6" i="74" s="1"/>
  <c r="G6" i="74" s="1"/>
  <c r="H6" i="74" s="1"/>
  <c r="I6" i="74" s="1"/>
  <c r="J6" i="74" s="1"/>
  <c r="K6" i="74" s="1"/>
  <c r="L6" i="74" s="1"/>
  <c r="M6" i="74" s="1"/>
  <c r="N6" i="74" s="1"/>
  <c r="J15" i="3"/>
  <c r="D6" i="86" s="1"/>
  <c r="E6" i="86" s="1"/>
  <c r="F6" i="86" s="1"/>
  <c r="G6" i="86" s="1"/>
  <c r="H6" i="86" s="1"/>
  <c r="I6" i="86" s="1"/>
  <c r="J6" i="86" s="1"/>
  <c r="K6" i="86" s="1"/>
  <c r="L6" i="86" s="1"/>
  <c r="M6" i="86" s="1"/>
  <c r="N6" i="86" s="1"/>
  <c r="L10" i="3"/>
  <c r="D18" i="86" s="1"/>
  <c r="E18" i="86" s="1"/>
  <c r="F18" i="86" s="1"/>
  <c r="G18" i="86" s="1"/>
  <c r="H18" i="86" s="1"/>
  <c r="I18" i="86" s="1"/>
  <c r="J18" i="86" s="1"/>
  <c r="K18" i="86" s="1"/>
  <c r="L18" i="86" s="1"/>
  <c r="M18" i="86" s="1"/>
  <c r="N18" i="86" s="1"/>
  <c r="E10" i="3"/>
  <c r="D18" i="74" s="1"/>
  <c r="E18" i="74" s="1"/>
  <c r="F18" i="74" s="1"/>
  <c r="G18" i="74" s="1"/>
  <c r="H18" i="74" s="1"/>
  <c r="I18" i="74" s="1"/>
  <c r="J18" i="74" s="1"/>
  <c r="K18" i="74" s="1"/>
  <c r="L18" i="74" s="1"/>
  <c r="M18" i="74" s="1"/>
  <c r="N18" i="74" s="1"/>
  <c r="N11" i="3"/>
  <c r="D35" i="86" s="1"/>
  <c r="E35" i="86" s="1"/>
  <c r="F35" i="86" s="1"/>
  <c r="G35" i="86" s="1"/>
  <c r="H35" i="86" s="1"/>
  <c r="I35" i="86" s="1"/>
  <c r="J35" i="86" s="1"/>
  <c r="K35" i="86" s="1"/>
  <c r="L35" i="86" s="1"/>
  <c r="M35" i="86" s="1"/>
  <c r="N35" i="86" s="1"/>
  <c r="G11" i="3"/>
  <c r="D35" i="74" s="1"/>
  <c r="E35" i="74" s="1"/>
  <c r="F35" i="74" s="1"/>
  <c r="G35" i="74" s="1"/>
  <c r="H35" i="74" s="1"/>
  <c r="I35" i="74" s="1"/>
  <c r="J35" i="74" s="1"/>
  <c r="K35" i="74" s="1"/>
  <c r="L35" i="74" s="1"/>
  <c r="M35" i="74" s="1"/>
  <c r="N35" i="74" s="1"/>
  <c r="N14" i="3"/>
  <c r="D36" i="86" s="1"/>
  <c r="E36" i="86" s="1"/>
  <c r="F36" i="86" s="1"/>
  <c r="G36" i="86" s="1"/>
  <c r="H36" i="86" s="1"/>
  <c r="I36" i="86" s="1"/>
  <c r="J36" i="86" s="1"/>
  <c r="K36" i="86" s="1"/>
  <c r="L36" i="86" s="1"/>
  <c r="M36" i="86" s="1"/>
  <c r="N36" i="86" s="1"/>
  <c r="G14" i="3"/>
  <c r="D36" i="74" s="1"/>
  <c r="E36" i="74" s="1"/>
  <c r="F36" i="74" s="1"/>
  <c r="G36" i="74" s="1"/>
  <c r="H36" i="74" s="1"/>
  <c r="I36" i="74" s="1"/>
  <c r="J36" i="74" s="1"/>
  <c r="K36" i="74" s="1"/>
  <c r="L36" i="74" s="1"/>
  <c r="M36" i="74" s="1"/>
  <c r="N36" i="74" s="1"/>
  <c r="H2" i="74" l="1"/>
  <c r="I2" i="74" l="1"/>
  <c r="J2" i="74" l="1"/>
  <c r="K2" i="74" l="1"/>
  <c r="L2" i="74" l="1"/>
  <c r="M2" i="74" l="1"/>
  <c r="N2" i="74" l="1"/>
</calcChain>
</file>

<file path=xl/comments1.xml><?xml version="1.0" encoding="utf-8"?>
<comments xmlns="http://schemas.openxmlformats.org/spreadsheetml/2006/main">
  <authors>
    <author>Author</author>
  </authors>
  <commentList>
    <comment ref="L7" authorId="0" shapeId="0">
      <text>
        <r>
          <rPr>
            <sz val="9"/>
            <color indexed="81"/>
            <rFont val="Tahoma"/>
            <family val="2"/>
          </rPr>
          <t>Provisional from Abridged PPAC Ready Reckoner March 2021</t>
        </r>
      </text>
    </comment>
    <comment ref="F21" authorId="0" shapeId="0">
      <text>
        <r>
          <rPr>
            <sz val="9"/>
            <color indexed="81"/>
            <rFont val="Tahoma"/>
            <family val="2"/>
          </rPr>
          <t xml:space="preserve">Basic Price is all inclusive gross (pre-discount) price and linked to international crude price.
</t>
        </r>
      </text>
    </comment>
  </commentList>
</comments>
</file>

<file path=xl/comments2.xml><?xml version="1.0" encoding="utf-8"?>
<comments xmlns="http://schemas.openxmlformats.org/spreadsheetml/2006/main">
  <authors>
    <author>Author</author>
  </authors>
  <commentList>
    <comment ref="F57" authorId="0" shapeId="0">
      <text>
        <r>
          <rPr>
            <sz val="9"/>
            <color indexed="81"/>
            <rFont val="Tahoma"/>
            <family val="2"/>
          </rPr>
          <t xml:space="preserve">Petcoke price per MT
</t>
        </r>
      </text>
    </comment>
  </commentList>
</comments>
</file>

<file path=xl/comments3.xml><?xml version="1.0" encoding="utf-8"?>
<comments xmlns="http://schemas.openxmlformats.org/spreadsheetml/2006/main">
  <authors>
    <author>as</author>
    <author>Srihari</author>
    <author>Srihari D</author>
  </authors>
  <commentList>
    <comment ref="D20" authorId="0" shapeId="0">
      <text>
        <r>
          <rPr>
            <sz val="9"/>
            <color indexed="81"/>
            <rFont val="Tahoma"/>
            <family val="2"/>
          </rPr>
          <t xml:space="preserve">This is fairly conservative. KERC and TNERC have approved Rs. 3.4 and 3.35 cr / MW respectively in 2018, 2019 period. </t>
        </r>
      </text>
    </comment>
    <comment ref="E20" authorId="0" shapeId="0">
      <text>
        <r>
          <rPr>
            <sz val="9"/>
            <color indexed="81"/>
            <rFont val="Tahoma"/>
            <family val="2"/>
          </rPr>
          <t xml:space="preserve">This is fairly conservative. KERC and TNERC have approved Rs. 6 and 5.25 cr / MW respectively in 2018, 2019 period. </t>
        </r>
      </text>
    </comment>
    <comment ref="F23" authorId="1" shapeId="0">
      <text>
        <r>
          <rPr>
            <sz val="9"/>
            <color indexed="81"/>
            <rFont val="Tahoma"/>
            <family val="2"/>
          </rPr>
          <t>25 + 15 years to include life extension through R&amp;M</t>
        </r>
      </text>
    </comment>
    <comment ref="B31" authorId="2" shapeId="0">
      <text>
        <r>
          <rPr>
            <sz val="9"/>
            <color indexed="81"/>
            <rFont val="Tahoma"/>
            <family val="2"/>
          </rPr>
          <t>28.25% (25% IT rate + 10% surcharge + 3% education cess)</t>
        </r>
      </text>
    </comment>
    <comment ref="B62" authorId="1" shapeId="0">
      <text>
        <r>
          <rPr>
            <sz val="9"/>
            <color indexed="81"/>
            <rFont val="Tahoma"/>
            <family val="2"/>
          </rPr>
          <t xml:space="preserve">Fixed Cost stream in current Rs as obtained from the respective tariff tools </t>
        </r>
      </text>
    </comment>
  </commentList>
</comments>
</file>

<file path=xl/comments4.xml><?xml version="1.0" encoding="utf-8"?>
<comments xmlns="http://schemas.openxmlformats.org/spreadsheetml/2006/main">
  <authors>
    <author>Srihari</author>
  </authors>
  <commentList>
    <comment ref="M65" authorId="0" shapeId="0">
      <text>
        <r>
          <rPr>
            <sz val="9"/>
            <color indexed="81"/>
            <rFont val="Tahoma"/>
            <family val="2"/>
          </rPr>
          <t>Add VC component to FC for all technologies != ET_COAL, ET_CCGT and ET_OCGT, and make VC=0.</t>
        </r>
      </text>
    </comment>
    <comment ref="N65" authorId="0" shapeId="0">
      <text>
        <r>
          <rPr>
            <sz val="9"/>
            <color indexed="81"/>
            <rFont val="Tahoma"/>
            <family val="2"/>
          </rPr>
          <t>Add VC component to FC for all technologies != ET_COAL, ET_CCGT and ET_OCGT, and make VC=0.</t>
        </r>
      </text>
    </comment>
    <comment ref="G165" authorId="0" shapeId="0">
      <text>
        <r>
          <rPr>
            <sz val="9"/>
            <color indexed="81"/>
            <rFont val="Tahoma"/>
            <family val="2"/>
          </rPr>
          <t>AERC does not report costs for coal based generation, hence assume WB costs.</t>
        </r>
      </text>
    </comment>
    <comment ref="H165" authorId="0" shapeId="0">
      <text>
        <r>
          <rPr>
            <sz val="9"/>
            <color indexed="81"/>
            <rFont val="Tahoma"/>
            <family val="2"/>
          </rPr>
          <t>AERC does not report costs for coal based generation, hence assume WB costs.</t>
        </r>
      </text>
    </comment>
    <comment ref="H279" authorId="0" shapeId="0">
      <text>
        <r>
          <rPr>
            <sz val="9"/>
            <color indexed="81"/>
            <rFont val="Tahoma"/>
            <family val="2"/>
          </rPr>
          <t>No Biomass capacity reported for AS, hence considered CERC costs for NE.</t>
        </r>
      </text>
    </comment>
  </commentList>
</comments>
</file>

<file path=xl/comments5.xml><?xml version="1.0" encoding="utf-8"?>
<comments xmlns="http://schemas.openxmlformats.org/spreadsheetml/2006/main">
  <authors>
    <author>Srihari</author>
  </authors>
  <commentList>
    <comment ref="D269" authorId="0" shapeId="0">
      <text>
        <r>
          <rPr>
            <sz val="9"/>
            <color indexed="81"/>
            <rFont val="Tahoma"/>
            <family val="2"/>
          </rPr>
          <t>This is in order to group union territories under the UT group. The column to the left with individual UT codes is needed to calculate weighted average VC and FC in the UT sheet.</t>
        </r>
      </text>
    </comment>
    <comment ref="D319" authorId="0" shapeId="0">
      <text>
        <r>
          <rPr>
            <sz val="9"/>
            <color indexed="81"/>
            <rFont val="Tahoma"/>
            <family val="2"/>
          </rPr>
          <t>This is in order to group union territories under the UT group. The column to the left with individual UT codes is needed to calculate weighted average VC and FC in the UT sheet</t>
        </r>
      </text>
    </comment>
  </commentList>
</comments>
</file>

<file path=xl/comments6.xml><?xml version="1.0" encoding="utf-8"?>
<comments xmlns="http://schemas.openxmlformats.org/spreadsheetml/2006/main">
  <authors>
    <author>Srihari</author>
  </authors>
  <commentList>
    <comment ref="B67" authorId="0" shapeId="0">
      <text>
        <r>
          <rPr>
            <sz val="9"/>
            <color indexed="81"/>
            <rFont val="Tahoma"/>
            <family val="2"/>
          </rPr>
          <t>NTPC Rajgarh/Rajmal/Mandsaur</t>
        </r>
      </text>
    </comment>
  </commentList>
</comments>
</file>

<file path=xl/comments7.xml><?xml version="1.0" encoding="utf-8"?>
<comments xmlns="http://schemas.openxmlformats.org/spreadsheetml/2006/main">
  <authors>
    <author>Srihari</author>
  </authors>
  <commentList>
    <comment ref="L67" authorId="0" shapeId="0">
      <text>
        <r>
          <rPr>
            <sz val="9"/>
            <color indexed="81"/>
            <rFont val="Tahoma"/>
            <family val="2"/>
          </rPr>
          <t>TSERC Retail Tariff Order 2018-19 Pg 17</t>
        </r>
      </text>
    </comment>
    <comment ref="L68" authorId="0" shapeId="0">
      <text>
        <r>
          <rPr>
            <sz val="9"/>
            <color indexed="81"/>
            <rFont val="Tahoma"/>
            <family val="2"/>
          </rPr>
          <t>TSERC Retail Tariff Order 2018-19 Pg 17</t>
        </r>
      </text>
    </comment>
    <comment ref="B71" authorId="0" shapeId="0">
      <text>
        <r>
          <rPr>
            <sz val="9"/>
            <color indexed="81"/>
            <rFont val="Tahoma"/>
            <family val="2"/>
          </rPr>
          <t xml:space="preserve">
Approved generation from Wind from Table 3.15 of TSERC Retail Tariff Order 2018-19 Pg 73. Combined with combined installed capacity of SHP as reported by MNRE (128.1 MW) on 31 March 2019, this results in an average CUF of 16.43%.</t>
        </r>
      </text>
    </comment>
    <comment ref="C71" authorId="0" shapeId="0">
      <text>
        <r>
          <rPr>
            <sz val="9"/>
            <color indexed="81"/>
            <rFont val="Tahoma"/>
            <family val="2"/>
          </rPr>
          <t xml:space="preserve">
Approved fixed costs for Wind from Table 3.22 and Table 3.23 of TSERC Retail Tariff Order 2018-19 Pg 79.</t>
        </r>
      </text>
    </comment>
    <comment ref="D71" authorId="0" shapeId="0">
      <text>
        <r>
          <rPr>
            <sz val="9"/>
            <color indexed="81"/>
            <rFont val="Tahoma"/>
            <family val="2"/>
          </rPr>
          <t xml:space="preserve">
Approved variable costs from Wind from Table 3.22 and Table 3.23 of TSERC Retail Tariff Order 2018-19 Pg 79.</t>
        </r>
      </text>
    </comment>
    <comment ref="N71" authorId="0" shapeId="0">
      <text>
        <r>
          <rPr>
            <sz val="9"/>
            <color indexed="81"/>
            <rFont val="Tahoma"/>
            <family val="2"/>
          </rPr>
          <t xml:space="preserve">
3.61/unit approved in TSERC Wind Tariff Order 2018-20</t>
        </r>
      </text>
    </comment>
    <comment ref="B72" authorId="0" shapeId="0">
      <text>
        <r>
          <rPr>
            <sz val="9"/>
            <color indexed="81"/>
            <rFont val="Tahoma"/>
            <family val="2"/>
          </rPr>
          <t xml:space="preserve">
Approved generation from Solar PV from Table 3.15 of TSERC Retail Tariff Order 2018-19 Pg 73. Combined with combined installed capacity of Solar PV as reported by MNRE (3592.09 MW) on 31 March 2019, this results in an average CUF of 17.38%.</t>
        </r>
      </text>
    </comment>
    <comment ref="C72" authorId="0" shapeId="0">
      <text>
        <r>
          <rPr>
            <sz val="9"/>
            <color indexed="81"/>
            <rFont val="Tahoma"/>
            <family val="2"/>
          </rPr>
          <t xml:space="preserve">
Approved fixed costs from Solar PV from Table 3.22 and Table 3.23 of TSERC Retail Tariff Order 2018-19 Pg 79.</t>
        </r>
      </text>
    </comment>
    <comment ref="D72" authorId="0" shapeId="0">
      <text>
        <r>
          <rPr>
            <sz val="9"/>
            <color indexed="81"/>
            <rFont val="Tahoma"/>
            <family val="2"/>
          </rPr>
          <t xml:space="preserve">
Approved variable costs from Solar PV from Table 3.22 and Table 3.23 of TSERC Retail Tariff Order 2018-19 Pg 79.</t>
        </r>
      </text>
    </comment>
    <comment ref="B73" authorId="0" shapeId="0">
      <text>
        <r>
          <rPr>
            <sz val="9"/>
            <color indexed="81"/>
            <rFont val="Tahoma"/>
            <family val="2"/>
          </rPr>
          <t xml:space="preserve">
Approved generation from Mini Hydel from Table 3.15 of TSERC Retail Tariff Order 2018-19 Pg 73. Combined with combined installed capacity of SHP as reported by MNRE (90.87 MW) on 31 March 2019, this results in an average CUF of 0.75%, which is extremely low.</t>
        </r>
      </text>
    </comment>
    <comment ref="C73" authorId="0" shapeId="0">
      <text>
        <r>
          <rPr>
            <sz val="9"/>
            <color indexed="81"/>
            <rFont val="Tahoma"/>
            <family val="2"/>
          </rPr>
          <t xml:space="preserve">
Approved fixed costs from Mini Hydel from Table 3.22 and Table 3.23 of TSERC Retail Tariff Order 2018-19 Pg 79.</t>
        </r>
      </text>
    </comment>
    <comment ref="D73" authorId="0" shapeId="0">
      <text>
        <r>
          <rPr>
            <sz val="9"/>
            <color indexed="81"/>
            <rFont val="Tahoma"/>
            <family val="2"/>
          </rPr>
          <t xml:space="preserve">
Approved variable costs from Mini Hydel from Table 3.22 and Table 3.23 of TSERC Retail Tariff Order 2018-19 Pg 79.</t>
        </r>
      </text>
    </comment>
    <comment ref="B74" authorId="0" shapeId="0">
      <text>
        <r>
          <rPr>
            <sz val="9"/>
            <color indexed="81"/>
            <rFont val="Tahoma"/>
            <family val="2"/>
          </rPr>
          <t xml:space="preserve">
Approved generation from Biomass, Bagasse, Municipal and Industrial Waste from Table 3.15 of TSERC Retail Tariff Order 2018-19 Pg 73. Combined with combined installed capacity of Biomass, Bagasse and Others as reported by MNRE (177.6 MW) on 31 March 2019, this results in an average CUF of 28%.</t>
        </r>
      </text>
    </comment>
    <comment ref="C74" authorId="0" shapeId="0">
      <text>
        <r>
          <rPr>
            <sz val="9"/>
            <color indexed="81"/>
            <rFont val="Tahoma"/>
            <family val="2"/>
          </rPr>
          <t xml:space="preserve">
Approved fixed costs from Biomass, Bagasse, Municipal and Industrial Waste from Table 3.22 and Table 3.23 of TSERC Retail Tariff Order 2018-19 Pg 79.</t>
        </r>
      </text>
    </comment>
    <comment ref="D74" authorId="0" shapeId="0">
      <text>
        <r>
          <rPr>
            <sz val="9"/>
            <color indexed="81"/>
            <rFont val="Tahoma"/>
            <family val="2"/>
          </rPr>
          <t xml:space="preserve">
Approved variable costs from Biomass, Bagasse, Municipal and Industrial Waste from Table 3.22 and Table 3.23 of TSERC Retail Tariff Order 2018-19 Pg 79.</t>
        </r>
      </text>
    </comment>
    <comment ref="M74" authorId="0" shapeId="0">
      <text>
        <r>
          <rPr>
            <sz val="9"/>
            <color indexed="81"/>
            <rFont val="Tahoma"/>
            <family val="2"/>
          </rPr>
          <t xml:space="preserve">
Rs 2.23/unit according to TSERC Bagasse Tariff Order 2018-20</t>
        </r>
      </text>
    </comment>
  </commentList>
</comments>
</file>

<file path=xl/comments8.xml><?xml version="1.0" encoding="utf-8"?>
<comments xmlns="http://schemas.openxmlformats.org/spreadsheetml/2006/main">
  <authors>
    <author>Srihari</author>
  </authors>
  <commentList>
    <comment ref="C191"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D191"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C192"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D192"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C193"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D193"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C194"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 ref="D194" authorId="0" shapeId="0">
      <text>
        <r>
          <rPr>
            <sz val="9"/>
            <color indexed="81"/>
            <rFont val="Tahoma"/>
            <family val="2"/>
          </rPr>
          <t xml:space="preserve">
Tariff for these new units is approved as combined fixed and variable costs. Hence assumed fixed costs equivalent to Simhadri and allocated the rest to variable costs.</t>
        </r>
      </text>
    </comment>
  </commentList>
</comments>
</file>

<file path=xl/comments9.xml><?xml version="1.0" encoding="utf-8"?>
<comments xmlns="http://schemas.openxmlformats.org/spreadsheetml/2006/main">
  <authors>
    <author>Srihari</author>
  </authors>
  <commentList>
    <comment ref="G35" authorId="0" shapeId="0">
      <text>
        <r>
          <rPr>
            <sz val="9"/>
            <color indexed="81"/>
            <rFont val="Tahoma"/>
            <family val="2"/>
          </rPr>
          <t xml:space="preserve">
Design Energy, FC and VC as reported in Order of Case 196/2017, Table 8-33, Pg 243</t>
        </r>
      </text>
    </comment>
    <comment ref="H35" authorId="0" shapeId="0">
      <text>
        <r>
          <rPr>
            <sz val="9"/>
            <color indexed="81"/>
            <rFont val="Tahoma"/>
            <family val="2"/>
          </rPr>
          <t xml:space="preserve">
Design Energy, FC and VC as reported in Order of Case 196/2017, Table 8-33, Pg 243</t>
        </r>
      </text>
    </comment>
    <comment ref="I35" authorId="0" shapeId="0">
      <text>
        <r>
          <rPr>
            <sz val="9"/>
            <color indexed="81"/>
            <rFont val="Tahoma"/>
            <family val="2"/>
          </rPr>
          <t xml:space="preserve">
Design Energy, FC and VC as reported in Order of Case 196/2017, Table 8-33, Pg 243</t>
        </r>
      </text>
    </comment>
    <comment ref="G36" authorId="0" shapeId="0">
      <text>
        <r>
          <rPr>
            <sz val="9"/>
            <color indexed="81"/>
            <rFont val="Tahoma"/>
            <family val="2"/>
          </rPr>
          <t xml:space="preserve">
Design Energy, FC and VC as reported in Order of Case 196/2017, Table 8-33, Pg 243</t>
        </r>
      </text>
    </comment>
    <comment ref="H36" authorId="0" shapeId="0">
      <text>
        <r>
          <rPr>
            <sz val="9"/>
            <color indexed="81"/>
            <rFont val="Tahoma"/>
            <family val="2"/>
          </rPr>
          <t xml:space="preserve">
Design Energy, FC and VC as reported in Order of Case 196/2017, Table 8-33, Pg 243</t>
        </r>
      </text>
    </comment>
    <comment ref="I36" authorId="0" shapeId="0">
      <text>
        <r>
          <rPr>
            <sz val="9"/>
            <color indexed="81"/>
            <rFont val="Tahoma"/>
            <family val="2"/>
          </rPr>
          <t xml:space="preserve">
Design Energy, FC and VC as reported in Order of Case 196/2017, Table 8-33, Pg 243</t>
        </r>
      </text>
    </comment>
    <comment ref="G37" authorId="0" shapeId="0">
      <text>
        <r>
          <rPr>
            <sz val="9"/>
            <color indexed="81"/>
            <rFont val="Tahoma"/>
            <family val="2"/>
          </rPr>
          <t xml:space="preserve">
Design Energy, FC and VC as reported in Order of Case 196/2017, Table 8-33, Pg 243</t>
        </r>
      </text>
    </comment>
    <comment ref="H37" authorId="0" shapeId="0">
      <text>
        <r>
          <rPr>
            <sz val="9"/>
            <color indexed="81"/>
            <rFont val="Tahoma"/>
            <family val="2"/>
          </rPr>
          <t xml:space="preserve">
Design Energy, FC and VC as reported in Order of Case 196/2017, Table 8-33, Pg 243</t>
        </r>
      </text>
    </comment>
    <comment ref="I37" authorId="0" shapeId="0">
      <text>
        <r>
          <rPr>
            <sz val="9"/>
            <color indexed="81"/>
            <rFont val="Tahoma"/>
            <family val="2"/>
          </rPr>
          <t xml:space="preserve">
Design Energy, FC and VC as reported in Order of Case 196/2017, Table 8-33, Pg 243</t>
        </r>
      </text>
    </comment>
    <comment ref="E81" authorId="0" shapeId="0">
      <text>
        <r>
          <rPr>
            <sz val="9"/>
            <color indexed="81"/>
            <rFont val="Tahoma"/>
            <family val="2"/>
          </rPr>
          <t xml:space="preserve">
Assumed 100% share for TPC-D and BEST together.</t>
        </r>
      </text>
    </comment>
  </commentList>
</comments>
</file>

<file path=xl/comments10.xml><?xml version="1.0" encoding="utf-8"?>
<comments xmlns="http://schemas.openxmlformats.org/spreadsheetml/2006/main">
  <authors>
    <author>Srihari</author>
  </authors>
  <commentList>
    <comment ref="A124" authorId="0" shapeId="0">
      <text>
        <r>
          <rPr>
            <sz val="9"/>
            <color indexed="81"/>
            <rFont val="Tahoma"/>
            <family val="2"/>
          </rPr>
          <t xml:space="preserve">
As per the tariff order, this is non-biomass, non-SHP renewable energy. So essentially solar and wind. As per MNRE (see sheet 'LegacyCapacity'), there is no wind capacity in UP. Hence accounting this is under solar PV.</t>
        </r>
      </text>
    </comment>
  </commentList>
</comments>
</file>

<file path=xl/comments11.xml><?xml version="1.0" encoding="utf-8"?>
<comments xmlns="http://schemas.openxmlformats.org/spreadsheetml/2006/main">
  <authors>
    <author>Srihari</author>
  </authors>
  <commentList>
    <comment ref="B10" authorId="0" shapeId="0">
      <text>
        <r>
          <rPr>
            <sz val="9"/>
            <color indexed="81"/>
            <rFont val="Tahoma"/>
            <family val="2"/>
          </rPr>
          <t>CEA reports non-zero biomass capacity for MP, hence take costs from nearby state - MH.</t>
        </r>
      </text>
    </comment>
  </commentList>
</comments>
</file>

<file path=xl/comments12.xml><?xml version="1.0" encoding="utf-8"?>
<comments xmlns="http://schemas.openxmlformats.org/spreadsheetml/2006/main">
  <authors>
    <author>Srihari</author>
  </authors>
  <commentList>
    <comment ref="N70" authorId="0" shapeId="0">
      <text>
        <r>
          <rPr>
            <sz val="9"/>
            <color indexed="81"/>
            <rFont val="Tahoma"/>
            <family val="2"/>
          </rPr>
          <t xml:space="preserve">
Assumed same as bundled solar cost</t>
        </r>
      </text>
    </comment>
  </commentList>
</comments>
</file>

<file path=xl/comments13.xml><?xml version="1.0" encoding="utf-8"?>
<comments xmlns="http://schemas.openxmlformats.org/spreadsheetml/2006/main">
  <authors>
    <author>Srihari</author>
    <author>Microsoft Office User</author>
  </authors>
  <commentList>
    <comment ref="E35" authorId="0" shapeId="0">
      <text>
        <r>
          <rPr>
            <sz val="9"/>
            <color indexed="81"/>
            <rFont val="Tahoma"/>
            <family val="2"/>
          </rPr>
          <t xml:space="preserve">
According to https://www.gvk.com/ourbusiness/energy/thermal.aspx, this project has a PPA with PSPCL for 25 years. Assumed it is for the entire capacity.</t>
        </r>
      </text>
    </comment>
    <comment ref="A41" authorId="1" shapeId="0">
      <text>
        <r>
          <rPr>
            <b/>
            <sz val="10"/>
            <color indexed="81"/>
            <rFont val="Calibri"/>
            <family val="2"/>
          </rPr>
          <t>Comissioned in 2018</t>
        </r>
      </text>
    </comment>
    <comment ref="I100" authorId="0" shapeId="0">
      <text>
        <r>
          <rPr>
            <sz val="9"/>
            <color indexed="81"/>
            <rFont val="Tahoma"/>
            <family val="2"/>
          </rPr>
          <t xml:space="preserve">
Assumed to be same per-unit tariff as UP small hydro (although it is fixed cost in UP).</t>
        </r>
      </text>
    </comment>
  </commentList>
</comments>
</file>

<file path=xl/comments14.xml><?xml version="1.0" encoding="utf-8"?>
<comments xmlns="http://schemas.openxmlformats.org/spreadsheetml/2006/main">
  <authors>
    <author>Srihari</author>
  </authors>
  <commentList>
    <comment ref="G45" authorId="0" shapeId="0">
      <text>
        <r>
          <rPr>
            <sz val="9"/>
            <color indexed="81"/>
            <rFont val="Tahoma"/>
            <family val="2"/>
          </rPr>
          <t>According to http://tnebldc.org/reports1/peakdet.pdf (dtd 28 June 2019), TN gets 414MW out of the 1000 MW capacity of NTPL</t>
        </r>
      </text>
    </comment>
    <comment ref="E72" authorId="0" shapeId="0">
      <text>
        <r>
          <rPr>
            <sz val="9"/>
            <color indexed="81"/>
            <rFont val="Tahoma"/>
            <family val="2"/>
          </rPr>
          <t xml:space="preserve">
As per http://tnebldc.org/reports1/peakdet.pdf (dtd 28 June 2019), total TNEB Hydro capacity is 2314.9 MW, hence subtracted large hydro capacity from 2314.9 to dervive small hydro capacity</t>
        </r>
      </text>
    </comment>
    <comment ref="H89" authorId="0" shapeId="0">
      <text>
        <r>
          <rPr>
            <sz val="9"/>
            <color indexed="81"/>
            <rFont val="Tahoma"/>
            <family val="2"/>
          </rPr>
          <t xml:space="preserve">
As per http://tnebldc.org/reports1/peakdet.pdf (Dtd 28 June 2019), total TN wind is 8468.11 MW</t>
        </r>
      </text>
    </comment>
    <comment ref="I90" authorId="0" shapeId="0">
      <text>
        <r>
          <rPr>
            <sz val="9"/>
            <color indexed="81"/>
            <rFont val="Tahoma"/>
            <family val="2"/>
          </rPr>
          <t xml:space="preserve">
Wind generation in TN in 2017-18 as per RE generation report for March 2019</t>
        </r>
      </text>
    </comment>
    <comment ref="H93" authorId="0" shapeId="0">
      <text>
        <r>
          <rPr>
            <sz val="9"/>
            <color indexed="81"/>
            <rFont val="Tahoma"/>
            <family val="2"/>
          </rPr>
          <t xml:space="preserve">
As per http://tnebldc.org/reports1/peakdet.pdf (Dtd 28 June 2019), total TN solar is 2724.55 MW</t>
        </r>
      </text>
    </comment>
    <comment ref="I94" authorId="0" shapeId="0">
      <text>
        <r>
          <rPr>
            <sz val="9"/>
            <color indexed="81"/>
            <rFont val="Tahoma"/>
            <family val="2"/>
          </rPr>
          <t xml:space="preserve">
Biomass and bagasse generation in TN in 2017-18 as per RE generation report for March 2019</t>
        </r>
      </text>
    </comment>
    <comment ref="H97" authorId="0" shapeId="0">
      <text>
        <r>
          <rPr>
            <sz val="9"/>
            <color indexed="81"/>
            <rFont val="Tahoma"/>
            <family val="2"/>
          </rPr>
          <t xml:space="preserve">
Per http://tnebldc.org/reports1/peakdet.pdf (dtd 28 June 2019), 721.4 MW of bagasse and 265.59 MW of biomass</t>
        </r>
      </text>
    </comment>
    <comment ref="I97" authorId="0" shapeId="0">
      <text>
        <r>
          <rPr>
            <sz val="9"/>
            <color indexed="81"/>
            <rFont val="Tahoma"/>
            <family val="2"/>
          </rPr>
          <t xml:space="preserve">
Biomass and bagasse generation in TN in 2017-18 as per RE generation report for March 2019</t>
        </r>
      </text>
    </comment>
  </commentList>
</comments>
</file>

<file path=xl/comments15.xml><?xml version="1.0" encoding="utf-8"?>
<comments xmlns="http://schemas.openxmlformats.org/spreadsheetml/2006/main">
  <authors>
    <author>Srihari</author>
  </authors>
  <commentList>
    <comment ref="G88" authorId="0" shapeId="0">
      <text>
        <r>
          <rPr>
            <sz val="9"/>
            <color indexed="81"/>
            <rFont val="Tahoma"/>
            <family val="2"/>
          </rPr>
          <t xml:space="preserve">
HPERC MYT Order for FY15-19 for Baspa-II. Table 37, Page 43</t>
        </r>
      </text>
    </comment>
    <comment ref="D89" authorId="0" shapeId="0">
      <text>
        <r>
          <rPr>
            <sz val="9"/>
            <color indexed="81"/>
            <rFont val="Tahoma"/>
            <family val="2"/>
          </rPr>
          <t>Assumed this capacity refers only to Kashang Unit-I based on the reported generation (170 MU). As per http://www.hppcl.in/content/458_1_IntegratedKashangHEP.aspx, Unit-I generated 197 MU in 2017-18.</t>
        </r>
      </text>
    </comment>
    <comment ref="D90" authorId="0" shapeId="0">
      <text>
        <r>
          <rPr>
            <b/>
            <sz val="9"/>
            <color indexed="81"/>
            <rFont val="Tahoma"/>
            <family val="2"/>
          </rPr>
          <t xml:space="preserve">
</t>
        </r>
        <r>
          <rPr>
            <sz val="9"/>
            <color indexed="81"/>
            <rFont val="Tahoma"/>
            <family val="2"/>
          </rPr>
          <t>Biomass capacity as per MNRE Installed Capacity report 31 March 2019 (Waste-based generation is declared as 0 for HP)</t>
        </r>
      </text>
    </comment>
  </commentList>
</comments>
</file>

<file path=xl/comments16.xml><?xml version="1.0" encoding="utf-8"?>
<comments xmlns="http://schemas.openxmlformats.org/spreadsheetml/2006/main">
  <authors>
    <author>Srihari</author>
  </authors>
  <commentList>
    <comment ref="E7" authorId="0" shapeId="0">
      <text>
        <r>
          <rPr>
            <sz val="9"/>
            <color indexed="81"/>
            <rFont val="Tahoma"/>
            <family val="2"/>
          </rPr>
          <t>Also, based on overnight costs of recently commissioned plants.</t>
        </r>
      </text>
    </comment>
  </commentList>
</comments>
</file>

<file path=xl/connections.xml><?xml version="1.0" encoding="utf-8"?>
<connections xmlns="http://schemas.openxmlformats.org/spreadsheetml/2006/main">
  <connection id="1" keepAlive="1" name="Query - ConvEff" description="Connection to the 'ConvEff' query in the workbook." type="5" refreshedVersion="0" background="1">
    <dbPr connection="Provider=Microsoft.Mashup.OleDb.1;Data Source=$Workbook$;Location=ConvEff" command="SELECT * FROM [ConvEff]"/>
  </connection>
  <connection id="2" keepAlive="1" name="Query - ECT_EfficiencyCost_EG_PRS" description="Connection to the 'ECT_EfficiencyCost_EG_PRS' query in the workbook." type="5" refreshedVersion="0" background="1">
    <dbPr connection="Provider=Microsoft.Mashup.OleDb.1;Data Source=$Workbook$;Location=ECT_EfficiencyCost_EG_PRS" command="SELECT * FROM [ECT_EfficiencyCost_EG_PRS]"/>
  </connection>
  <connection id="3" keepAlive="1" name="Query - ECT_EfficiencyCost_EG_Ref" description="Connection to the 'ECT_EfficiencyCost_EG_Ref' query in the workbook." type="5" refreshedVersion="0" background="1">
    <dbPr connection="Provider=Microsoft.Mashup.OleDb.1;Data Source=$Workbook$;Location=ECT_EfficiencyCost_EG_Ref" command="SELECT * FROM [ECT_EfficiencyCost_EG_Ref]"/>
  </connection>
  <connection id="4" keepAlive="1" name="Query - ECT_EfficiencyCostMaxAnnualUF_PRS" description="Connection to the 'ECT_EfficiencyCostMaxAnnualUF_PRS' query in the workbook." type="5" refreshedVersion="6" background="1" saveData="1">
    <dbPr connection="Provider=Microsoft.Mashup.OleDb.1;Data Source=$Workbook$;Location=ECT_EfficiencyCostMaxAnnualUF_PRS;Extended Properties=&quot;&quot;" command="SELECT * FROM [ECT_EfficiencyCostMaxAnnualUF_PRS]"/>
  </connection>
  <connection id="5" keepAlive="1" name="Query - ECT_EfficiencyCostMaxAnnualUF_Ref" description="Connection to the 'ECT_EfficiencyCostMaxAnnualUF_Ref' query in the workbook." type="5" refreshedVersion="6" background="1" saveData="1">
    <dbPr connection="Provider=Microsoft.Mashup.OleDb.1;Data Source=$Workbook$;Location=ECT_EfficiencyCostMaxAnnualUF_Ref;Extended Properties=&quot;&quot;" command="SELECT * FROM [ECT_EfficiencyCostMaxAnnualUF_Ref]"/>
  </connection>
  <connection id="6" keepAlive="1" name="Query - LegacyFC_PRS" description="Connection to the 'LegacyFC_PRS' query in the workbook." type="5" refreshedVersion="0" background="1">
    <dbPr connection="Provider=Microsoft.Mashup.OleDb.1;Data Source=$Workbook$;Location=LegacyFC_PRS" command="SELECT * FROM [LegacyFC_PRS]"/>
  </connection>
  <connection id="7" keepAlive="1" name="Query - LegacyFC_Ref" description="Connection to the 'LegacyFC_Ref' query in the workbook." type="5" refreshedVersion="0" background="1">
    <dbPr connection="Provider=Microsoft.Mashup.OleDb.1;Data Source=$Workbook$;Location=LegacyFC_Ref" command="SELECT * FROM [LegacyFC_Ref]"/>
  </connection>
  <connection id="8" keepAlive="1" name="Query - MaxAnnualUF" description="Connection to the 'MaxAnnualUF' query in the workbook." type="5" refreshedVersion="0" background="1">
    <dbPr connection="Provider=Microsoft.Mashup.OleDb.1;Data Source=$Workbook$;Location=MaxAnnualUF" command="SELECT * FROM [MaxAnnualUF]"/>
  </connection>
  <connection id="9" keepAlive="1" name="Query - NewFC" description="Connection to the 'NewFC' query in the workbook." type="5" refreshedVersion="0" background="1">
    <dbPr connection="Provider=Microsoft.Mashup.OleDb.1;Data Source=$Workbook$;Location=NewFC" command="SELECT * FROM [NewFC]"/>
  </connection>
  <connection id="10" keepAlive="1" name="Query - OtherVC" description="Connection to the 'OtherVC' query in the workbook." type="5" refreshedVersion="0" background="1">
    <dbPr connection="Provider=Microsoft.Mashup.OleDb.1;Data Source=$Workbook$;Location=OtherVC" command="SELECT * FROM [OtherVC]"/>
  </connection>
  <connection id="11" keepAlive="1" name="Query - Regions" description="Connection to the 'Regions' query in the workbook." type="5" refreshedVersion="0" background="1">
    <dbPr connection="Provider=Microsoft.Mashup.OleDb.1;Data Source=$Workbook$;Location=Regions" command="SELECT * FROM [Regions]"/>
  </connection>
</connections>
</file>

<file path=xl/sharedStrings.xml><?xml version="1.0" encoding="utf-8"?>
<sst xmlns="http://schemas.openxmlformats.org/spreadsheetml/2006/main" count="30255" uniqueCount="2034">
  <si>
    <t>KwhEnergy</t>
  </si>
  <si>
    <t>NPC  Kaiga - I&amp; II</t>
  </si>
  <si>
    <t>NPC-MAPS</t>
  </si>
  <si>
    <t>NLC ST-I</t>
  </si>
  <si>
    <t>NLC ST-II</t>
  </si>
  <si>
    <t>NTPC(ER)-Farakka-Kahalgaon</t>
  </si>
  <si>
    <t>NTPC(ER)-Talcher-I</t>
  </si>
  <si>
    <t>NTPC(SR) I &amp; II</t>
  </si>
  <si>
    <t>NTPC(SR) ST III</t>
  </si>
  <si>
    <t>NTPC-Simhadri -I</t>
  </si>
  <si>
    <t>NTPC-Simhadri -II</t>
  </si>
  <si>
    <t>NTPC-Talcher-ST II</t>
  </si>
  <si>
    <t>NTPC KUDIGI I</t>
  </si>
  <si>
    <t>NTECL - VALLURU</t>
  </si>
  <si>
    <t>NLC Tamilnadu Power</t>
  </si>
  <si>
    <t>APGPCL ST-I</t>
  </si>
  <si>
    <t>APGPCL ST-I &amp; II</t>
  </si>
  <si>
    <t>NVVNL B.P-Coal</t>
  </si>
  <si>
    <t>NTPC NSM II -Coal</t>
  </si>
  <si>
    <t>KTPS(ABC)</t>
  </si>
  <si>
    <t>KTPS V (D)</t>
  </si>
  <si>
    <t>KTPS VI</t>
  </si>
  <si>
    <t>RTS-B</t>
  </si>
  <si>
    <t>Kakatiya Stage-I</t>
  </si>
  <si>
    <t>Kakatiya Stage-II</t>
  </si>
  <si>
    <t>TSGENCO-Hydel</t>
  </si>
  <si>
    <t>Pulichintala</t>
  </si>
  <si>
    <t>True up and Adv Itax</t>
  </si>
  <si>
    <t>VTPS IV</t>
  </si>
  <si>
    <t>RTPP-I</t>
  </si>
  <si>
    <t>RTPP-ST II</t>
  </si>
  <si>
    <t>RTPP -ST III</t>
  </si>
  <si>
    <t>APGE-Hydel-Interstate</t>
  </si>
  <si>
    <t>Station</t>
  </si>
  <si>
    <t>Sub-TOTAL</t>
  </si>
  <si>
    <t>TOTAL IPPs/MPPs</t>
  </si>
  <si>
    <t>TSGENCO-TOTAL</t>
  </si>
  <si>
    <t>APGENCO-TOTAL</t>
  </si>
  <si>
    <t>SINGARENI CCL</t>
  </si>
  <si>
    <t>Chatthisgargh SPDCL</t>
  </si>
  <si>
    <t>VTPS(I II III)</t>
  </si>
  <si>
    <t>Total</t>
  </si>
  <si>
    <t>CGS Sub-TOTAL</t>
  </si>
  <si>
    <t>APGPCL TOTAL</t>
  </si>
  <si>
    <t>M/s Thermal Powertech 570 MW</t>
  </si>
  <si>
    <t>Thermal Powertech 269.45 MW</t>
  </si>
  <si>
    <t>NTPC Sharing gains/RRAS</t>
  </si>
  <si>
    <t>Capacity</t>
  </si>
  <si>
    <t>Prayas</t>
  </si>
  <si>
    <t>Sources</t>
  </si>
  <si>
    <t>FC, VC, Energy</t>
  </si>
  <si>
    <t xml:space="preserve">NCE - Bio-Mass </t>
  </si>
  <si>
    <t xml:space="preserve">NCE - Bagasse </t>
  </si>
  <si>
    <t xml:space="preserve">NCE-Industrial waste </t>
  </si>
  <si>
    <t xml:space="preserve">NCE - Wind Power </t>
  </si>
  <si>
    <t xml:space="preserve">NCE - Mini Hydel </t>
  </si>
  <si>
    <t xml:space="preserve">NCE-NCL Energy </t>
  </si>
  <si>
    <t xml:space="preserve">NCE-Solar </t>
  </si>
  <si>
    <t xml:space="preserve">NPC-MAPS </t>
  </si>
  <si>
    <t xml:space="preserve">NPC-Kaiga unit I &amp;II </t>
  </si>
  <si>
    <t>NPC-Kaiga unit III &amp; IV</t>
  </si>
  <si>
    <t xml:space="preserve">USL HES </t>
  </si>
  <si>
    <t xml:space="preserve">LSR HES </t>
  </si>
  <si>
    <t>DONKARAYI Canal PH</t>
  </si>
  <si>
    <t xml:space="preserve">SRBHES </t>
  </si>
  <si>
    <t xml:space="preserve">NSRCPH </t>
  </si>
  <si>
    <t xml:space="preserve">PABH HES </t>
  </si>
  <si>
    <t xml:space="preserve">N'sagar Tail pond </t>
  </si>
  <si>
    <t xml:space="preserve">Talcher Stage 2 </t>
  </si>
  <si>
    <t xml:space="preserve">Thermal Powertech </t>
  </si>
  <si>
    <t xml:space="preserve">KTPS-V </t>
  </si>
  <si>
    <t xml:space="preserve">KTPS-VI </t>
  </si>
  <si>
    <t xml:space="preserve">NTPC (SR) Stage III </t>
  </si>
  <si>
    <t xml:space="preserve">APGPCL II </t>
  </si>
  <si>
    <t xml:space="preserve">Reliance </t>
  </si>
  <si>
    <t xml:space="preserve">KTPP-I </t>
  </si>
  <si>
    <t xml:space="preserve">NTPC (SR) </t>
  </si>
  <si>
    <t xml:space="preserve">KSK Mahanadi </t>
  </si>
  <si>
    <t>MACHKUND HES AP Share</t>
  </si>
  <si>
    <t>TUNGBHADRA HES AP Share</t>
  </si>
  <si>
    <t>Chettipeta Mini Hydel station</t>
  </si>
  <si>
    <t>Vallur Thermal Power Plant</t>
  </si>
  <si>
    <t xml:space="preserve">Tuticorin plant </t>
  </si>
  <si>
    <t xml:space="preserve">Dr.NTTPS Stage-IV </t>
  </si>
  <si>
    <t xml:space="preserve">APGPCL I  </t>
  </si>
  <si>
    <t>Dr. NTTPS Stage-I,II&amp;III</t>
  </si>
  <si>
    <t>NTPC Simhadri Stage II</t>
  </si>
  <si>
    <t>NTPC Simhadri Stage I</t>
  </si>
  <si>
    <t xml:space="preserve">KTPS-ABC </t>
  </si>
  <si>
    <t xml:space="preserve">Srivathsa </t>
  </si>
  <si>
    <t xml:space="preserve">RTPP  Stage-I </t>
  </si>
  <si>
    <t xml:space="preserve">RTPP Stage-II </t>
  </si>
  <si>
    <t xml:space="preserve">RTPP Stage-III </t>
  </si>
  <si>
    <t xml:space="preserve">RTS-B </t>
  </si>
  <si>
    <t xml:space="preserve">NLC Stage-I </t>
  </si>
  <si>
    <t xml:space="preserve">NLC Stage-II </t>
  </si>
  <si>
    <t xml:space="preserve">Power Exchange </t>
  </si>
  <si>
    <t>Hinduja Thermal Plant *</t>
  </si>
  <si>
    <t>Damodaram Sanjeevaiah Thermal Power Plant - I *</t>
  </si>
  <si>
    <t>Damodaram Sanjeevaiah Thermal Power Plant - II *</t>
  </si>
  <si>
    <t>DBFOO *</t>
  </si>
  <si>
    <t>Total (From All Sources)</t>
  </si>
  <si>
    <t>*  per unit cost</t>
  </si>
  <si>
    <t>Generating Station</t>
  </si>
  <si>
    <t xml:space="preserve">Variable 
Rate 
(Rs/KWh) </t>
  </si>
  <si>
    <t>Energy Despatch as per approval of APERC for FY2017-18 (MU)</t>
  </si>
  <si>
    <t>Pg 322</t>
  </si>
  <si>
    <t>ANNEXURE – 07</t>
  </si>
  <si>
    <t xml:space="preserve">Generating Station </t>
  </si>
  <si>
    <t xml:space="preserve">NPC-Kaiga unit III &amp; IV </t>
  </si>
  <si>
    <t xml:space="preserve">MACHKUND HES AP Share </t>
  </si>
  <si>
    <t xml:space="preserve">DONKARAYI Canal PH </t>
  </si>
  <si>
    <t>ANNEXURE – 08</t>
  </si>
  <si>
    <t xml:space="preserve">Approved Station/Source wise Power Purchase Costs for FY2017-18 – APSPDCL </t>
  </si>
  <si>
    <t>Pg 324</t>
  </si>
  <si>
    <t xml:space="preserve">Energy 
(MU) </t>
  </si>
  <si>
    <t>Variable 
cost  
(Rs Crs)</t>
  </si>
  <si>
    <t>Fixed cost   
(Rs Crs)</t>
  </si>
  <si>
    <t>Incentive       
(Rs Crs)</t>
  </si>
  <si>
    <t>Total cost  
(Rs Crs)</t>
  </si>
  <si>
    <t>Per unit 
cost 
(Rs/kWh)</t>
  </si>
  <si>
    <t xml:space="preserve">Dr. NTTPS Stage-I,II&amp;III </t>
  </si>
  <si>
    <t xml:space="preserve">NTPC Simhadri Stage II </t>
  </si>
  <si>
    <t xml:space="preserve">NTPC Simhadri Stage I  </t>
  </si>
  <si>
    <t xml:space="preserve">Hinduja Thermal Plant </t>
  </si>
  <si>
    <t xml:space="preserve">DBFOO </t>
  </si>
  <si>
    <t xml:space="preserve">D to D Sales </t>
  </si>
  <si>
    <t xml:space="preserve">D to D Purchases </t>
  </si>
  <si>
    <t xml:space="preserve">Total(From All Sources) </t>
  </si>
  <si>
    <t>-</t>
  </si>
  <si>
    <t>Damodaram Sanjeevaiah Thermal Power Plant - I</t>
  </si>
  <si>
    <t>Damodaram Sanjeevaiah Thermal Power Plant - II</t>
  </si>
  <si>
    <t>Power Exchange/Deep-E bidding portal, GoI</t>
  </si>
  <si>
    <t>Additional Interest on Pension Bonds(APGENCO)</t>
  </si>
  <si>
    <t>ANNEXURE – 09</t>
  </si>
  <si>
    <t>Pg 326</t>
  </si>
  <si>
    <t>Approved Station/Source wise Power Purchase Costs for FY2017-18 – APEPDCL</t>
  </si>
  <si>
    <t>ANNEXURE – 10</t>
  </si>
  <si>
    <t>Pg 328</t>
  </si>
  <si>
    <t>Approved Station/Source wise Power Purchase Costs for FY2017-18 – All DISCOMs</t>
  </si>
  <si>
    <t>Technology/Fuel</t>
  </si>
  <si>
    <t>FC (Rs/kWh)</t>
  </si>
  <si>
    <t>VC (Rs/kWh)</t>
  </si>
  <si>
    <t>ET_SUBC</t>
  </si>
  <si>
    <t>ET_SUPERC</t>
  </si>
  <si>
    <t>ET_STH</t>
  </si>
  <si>
    <t>Capacity (MW)</t>
  </si>
  <si>
    <t>Total (Rs/kWh)</t>
  </si>
  <si>
    <t>VC (Rs)</t>
  </si>
  <si>
    <t>Amount (Rs)</t>
  </si>
  <si>
    <t>FC (Rs)</t>
  </si>
  <si>
    <t>https://www.sourcewatch.org/index.php?title=Bander_power_station</t>
  </si>
  <si>
    <t>Comments</t>
  </si>
  <si>
    <t>VC</t>
  </si>
  <si>
    <t>Weight</t>
  </si>
  <si>
    <t>Weighted FC (Rs/kWh)</t>
  </si>
  <si>
    <t>Weighted VC (Rs/kWh)</t>
  </si>
  <si>
    <t>Technology</t>
  </si>
  <si>
    <t xml:space="preserve">Source </t>
  </si>
  <si>
    <t>Quantum (MU)</t>
  </si>
  <si>
    <t xml:space="preserve">RHEP </t>
  </si>
  <si>
    <t xml:space="preserve">DHEP </t>
  </si>
  <si>
    <t xml:space="preserve">Pare HEP </t>
  </si>
  <si>
    <t xml:space="preserve">AGBPP </t>
  </si>
  <si>
    <t xml:space="preserve">OTPC </t>
  </si>
  <si>
    <t xml:space="preserve">NHPC </t>
  </si>
  <si>
    <t xml:space="preserve">HHPCPL (Champawati) </t>
  </si>
  <si>
    <t xml:space="preserve">MeECL </t>
  </si>
  <si>
    <t xml:space="preserve">SECI Solar </t>
  </si>
  <si>
    <t xml:space="preserve">JNNSM Solar Bundled </t>
  </si>
  <si>
    <t xml:space="preserve">Suryatap Solar </t>
  </si>
  <si>
    <t xml:space="preserve">JNNSM Coal Bundled </t>
  </si>
  <si>
    <t>TS Share (%)</t>
  </si>
  <si>
    <t>TS Capacity (MW)</t>
  </si>
  <si>
    <t>Derived PLF (%)</t>
  </si>
  <si>
    <t>Capacity (MW) - RATE</t>
  </si>
  <si>
    <t>Capacity (MW) - SRPC</t>
  </si>
  <si>
    <t>DBFOO - Meenakshi?</t>
  </si>
  <si>
    <t>NTPC (SR) - Ramagundam</t>
  </si>
  <si>
    <t>State</t>
  </si>
  <si>
    <t>Year</t>
  </si>
  <si>
    <t>TS</t>
  </si>
  <si>
    <t>FC (Rs/KW)</t>
  </si>
  <si>
    <t>TSERC Order on pooled cost for 2018-19 in O. P. No. 60 of 2018 Dated 26.11.2018, APGPCL: Retail Tariff Order 2018-19</t>
  </si>
  <si>
    <t>CGS: SRPC, RATE_AP, APGPCL, Hydel: Retail Tariff Order 2018-19 (Pg , 68)</t>
  </si>
  <si>
    <t>NPC-Kudankulam Unit 2</t>
  </si>
  <si>
    <t xml:space="preserve">Despatch (MU) </t>
  </si>
  <si>
    <t>Variable Cost (Rs/unit)</t>
  </si>
  <si>
    <t>Fixed cost   
(Rs/unit)</t>
  </si>
  <si>
    <t>Average
cost 
(Rs/kWh)</t>
  </si>
  <si>
    <t xml:space="preserve"> NCE - NCL Energy Ltd </t>
  </si>
  <si>
    <t xml:space="preserve"> NCE - Mini Hydel </t>
  </si>
  <si>
    <t xml:space="preserve"> NCE - Wind Power </t>
  </si>
  <si>
    <t xml:space="preserve"> NCE- Solar Parks </t>
  </si>
  <si>
    <t xml:space="preserve"> NCE – Bagasse </t>
  </si>
  <si>
    <t xml:space="preserve"> NCE - Solar Projects (SPD) </t>
  </si>
  <si>
    <t xml:space="preserve"> NCE - Bio-Mass </t>
  </si>
  <si>
    <t xml:space="preserve"> NTPC Ramagundam Solar Power </t>
  </si>
  <si>
    <t xml:space="preserve"> NVVNL Bundled Power -SOLAR </t>
  </si>
  <si>
    <t xml:space="preserve"> Machkund PH AP Share </t>
  </si>
  <si>
    <t xml:space="preserve"> Tungabhadra PH AP Share </t>
  </si>
  <si>
    <t xml:space="preserve"> Upper Sileru Power House </t>
  </si>
  <si>
    <t xml:space="preserve"> Lower Sileru Power House </t>
  </si>
  <si>
    <t xml:space="preserve"> Donkarayi </t>
  </si>
  <si>
    <t xml:space="preserve"> Srisailam Right Bank Power House </t>
  </si>
  <si>
    <t xml:space="preserve"> Penna Ahobilam </t>
  </si>
  <si>
    <t xml:space="preserve"> Mini Hydel (Chettipeta) </t>
  </si>
  <si>
    <t xml:space="preserve"> MAPS </t>
  </si>
  <si>
    <t xml:space="preserve"> Kaiga Unit-I &amp; II </t>
  </si>
  <si>
    <t xml:space="preserve"> Kaiga Unit-III &amp; IV </t>
  </si>
  <si>
    <t xml:space="preserve"> Talcher Stage II </t>
  </si>
  <si>
    <t xml:space="preserve"> Thermal Power Tech </t>
  </si>
  <si>
    <t xml:space="preserve"> Ramagundam Stage-III </t>
  </si>
  <si>
    <t xml:space="preserve"> APGPCL-II </t>
  </si>
  <si>
    <t xml:space="preserve"> Ramagundam Stage - I &amp; II </t>
  </si>
  <si>
    <t xml:space="preserve"> JNNSM Phase-I </t>
  </si>
  <si>
    <t xml:space="preserve"> Valluru </t>
  </si>
  <si>
    <t>NCE - Industrial Waste based power project</t>
  </si>
  <si>
    <t>Nagarjunasagar Right Bank Power House</t>
  </si>
  <si>
    <t>Nagarjunasagar Tail Pond Dam Power House</t>
  </si>
  <si>
    <t>Godavari Gas Power Plant (Erstwhile GVK)</t>
  </si>
  <si>
    <t xml:space="preserve"> Lanco Kondapalli (Gas) </t>
  </si>
  <si>
    <t xml:space="preserve"> Tuticoron </t>
  </si>
  <si>
    <t xml:space="preserve"> Spectrum (Gas) </t>
  </si>
  <si>
    <t xml:space="preserve"> Dr.NTTPS Stage - IV </t>
  </si>
  <si>
    <t xml:space="preserve"> APGPCL-I </t>
  </si>
  <si>
    <t xml:space="preserve"> NNTPS </t>
  </si>
  <si>
    <t xml:space="preserve"> JNNSM Phase-II </t>
  </si>
  <si>
    <t xml:space="preserve"> KSK Mahanadi (MT) </t>
  </si>
  <si>
    <t xml:space="preserve"> SDSTPP - I </t>
  </si>
  <si>
    <t xml:space="preserve"> SDSTPP - II </t>
  </si>
  <si>
    <t xml:space="preserve"> Dr.NTTPS Stage - I </t>
  </si>
  <si>
    <t xml:space="preserve"> Dr.NTTPS Stage - II </t>
  </si>
  <si>
    <t xml:space="preserve"> Dr.NTTPS Stage - III </t>
  </si>
  <si>
    <t xml:space="preserve"> Simhadri Stage I </t>
  </si>
  <si>
    <t xml:space="preserve"> Simhadri Stage II </t>
  </si>
  <si>
    <t xml:space="preserve"> NLC Stage-I </t>
  </si>
  <si>
    <t xml:space="preserve"> NLC Stage-II </t>
  </si>
  <si>
    <t xml:space="preserve"> RTPP Stage-I </t>
  </si>
  <si>
    <t xml:space="preserve"> RTPP Stage-II </t>
  </si>
  <si>
    <t xml:space="preserve"> RTPP Stage-III </t>
  </si>
  <si>
    <t xml:space="preserve"> RTPP Stage-IV </t>
  </si>
  <si>
    <t xml:space="preserve"> Kudigi </t>
  </si>
  <si>
    <t xml:space="preserve"> Sale to EPDCL </t>
  </si>
  <si>
    <t xml:space="preserve"> Purchase from EPDCL </t>
  </si>
  <si>
    <t xml:space="preserve"> Income Tax </t>
  </si>
  <si>
    <t xml:space="preserve"> Total </t>
  </si>
  <si>
    <t>Additional interest on Pension Bonds AP GENCO</t>
  </si>
  <si>
    <t>Pg 369</t>
  </si>
  <si>
    <t>Source</t>
  </si>
  <si>
    <t>APERC Retail Tariff Order 2018-19</t>
  </si>
  <si>
    <t xml:space="preserve">Approved Station/Source wise Power Purchase Costs for FY2018-19 – APSPDCL </t>
  </si>
  <si>
    <t>Pg 371</t>
  </si>
  <si>
    <t>Approved Station/Source wise Power Purchase Costs for FY2018-19 – APEPDCL</t>
  </si>
  <si>
    <t>Fixed Cost (Rs/KW)</t>
  </si>
  <si>
    <t>APERC Retail Supply Order 2018-19 dated 31st March 2018</t>
  </si>
  <si>
    <t>FC, VC, Energy, Capacity</t>
  </si>
  <si>
    <t>APERC Retail Tariff Order 2017-18</t>
  </si>
  <si>
    <t xml:space="preserve"> Tuticorin </t>
  </si>
  <si>
    <t>AP</t>
  </si>
  <si>
    <t>BR</t>
  </si>
  <si>
    <t>S. No.</t>
  </si>
  <si>
    <t>Source of Power (Station wise)</t>
  </si>
  <si>
    <t xml:space="preserve">Technology </t>
  </si>
  <si>
    <t>Type</t>
  </si>
  <si>
    <t>Installed Capacity    (MW)</t>
  </si>
  <si>
    <t>Utility share (%)</t>
  </si>
  <si>
    <t>Utility share (MW)</t>
  </si>
  <si>
    <t>Total Energy Sent Out (ESO) from the station (MU)</t>
  </si>
  <si>
    <t>Total Annual Fixed charges (Rs Crore)</t>
  </si>
  <si>
    <t>Total Variable Charges (Rs Crore)</t>
  </si>
  <si>
    <t>Total Cost of Power Purchase (Rs Crore)</t>
  </si>
  <si>
    <t>Average Cost of Power Purchase (Rs/kWh)</t>
  </si>
  <si>
    <t>Thermal</t>
  </si>
  <si>
    <t>Subcritical</t>
  </si>
  <si>
    <t>EMCO Power</t>
  </si>
  <si>
    <t>KSTPS III</t>
  </si>
  <si>
    <t>Lara</t>
  </si>
  <si>
    <t>Gadarwara</t>
  </si>
  <si>
    <t>Pench</t>
  </si>
  <si>
    <t>IPP - JSW</t>
  </si>
  <si>
    <t>Adani power  125 MW</t>
  </si>
  <si>
    <t>KhSTPS-II</t>
  </si>
  <si>
    <t>Adani power  440mw</t>
  </si>
  <si>
    <t>Supercritical</t>
  </si>
  <si>
    <t>KSTPS</t>
  </si>
  <si>
    <t>VSTP I</t>
  </si>
  <si>
    <t>VSTP II</t>
  </si>
  <si>
    <t>VSTP III</t>
  </si>
  <si>
    <t>VSTP IV</t>
  </si>
  <si>
    <t>VSTP V</t>
  </si>
  <si>
    <t>SIPAT TPS 2</t>
  </si>
  <si>
    <t>SIPAT TPS 1</t>
  </si>
  <si>
    <t>Mauda I</t>
  </si>
  <si>
    <t>Mauda II</t>
  </si>
  <si>
    <t>NTPC solapur</t>
  </si>
  <si>
    <t>Mundra UMPP</t>
  </si>
  <si>
    <t>Adani power  1320 MW</t>
  </si>
  <si>
    <t>Adani power  1200 MW</t>
  </si>
  <si>
    <t>Rattanindia Amravati</t>
  </si>
  <si>
    <t xml:space="preserve">KAWAS </t>
  </si>
  <si>
    <t>Gas</t>
  </si>
  <si>
    <t>GANDHAR</t>
  </si>
  <si>
    <t xml:space="preserve">KAPP </t>
  </si>
  <si>
    <t>Nuclear</t>
  </si>
  <si>
    <t>TAPP 1&amp;2</t>
  </si>
  <si>
    <t>TAPP 3&amp;4</t>
  </si>
  <si>
    <t>SSP</t>
  </si>
  <si>
    <t>Hydro</t>
  </si>
  <si>
    <t>Large</t>
  </si>
  <si>
    <t>Dodson II</t>
  </si>
  <si>
    <t xml:space="preserve">Dodson I </t>
  </si>
  <si>
    <t>Small</t>
  </si>
  <si>
    <t>Renewable - Non- Solar</t>
  </si>
  <si>
    <t>RE</t>
  </si>
  <si>
    <t>Renewable - Solar</t>
  </si>
  <si>
    <t xml:space="preserve">**some plants have not been classified </t>
  </si>
  <si>
    <t>Table 4.22: Approved Power Purchase cost for SBPDCL in truing up for FY 2017-18</t>
  </si>
  <si>
    <t>Case No. 40/2018 &amp; 48/2018 (NBPDCL)
and
Case No. 41/2018 &amp; 47/2018 (SBPDCL)
Tariff Order</t>
  </si>
  <si>
    <t>Power Purchase Sources</t>
  </si>
  <si>
    <t xml:space="preserve">Tech </t>
  </si>
  <si>
    <t>Share allocation (MW)</t>
  </si>
  <si>
    <t>Units Purchased (MU)</t>
  </si>
  <si>
    <t>Fixed Charges Rs./kWh</t>
  </si>
  <si>
    <t>Fixed Charges Rs. Crore</t>
  </si>
  <si>
    <t>Energy charges Rs./kWh</t>
  </si>
  <si>
    <t>Energy charges Rs. Crore</t>
  </si>
  <si>
    <t>Other charges (Rs.Cr)</t>
  </si>
  <si>
    <t>Total charges (Rs.Cr)</t>
  </si>
  <si>
    <t>Avg. Tariff Rate (Rs. / kWh)</t>
  </si>
  <si>
    <t>Talcher – I ( 2 x 500 MW)</t>
  </si>
  <si>
    <t>Farakka – I &amp; II (1600</t>
  </si>
  <si>
    <t>Kahalgaon – I (840 MW)</t>
  </si>
  <si>
    <t>KBUNL 1</t>
  </si>
  <si>
    <t>KBUNL 2</t>
  </si>
  <si>
    <t>Kahalgaon – II (1500</t>
  </si>
  <si>
    <t>BTPS</t>
  </si>
  <si>
    <t>GMR Kamalanga Energy</t>
  </si>
  <si>
    <t>Farakka – III (500 MW)</t>
  </si>
  <si>
    <t>Barh-II</t>
  </si>
  <si>
    <t>JAYPEE NIGRIE</t>
  </si>
  <si>
    <t>BRBCL</t>
  </si>
  <si>
    <t>Small Hydro (BSHPCL)</t>
  </si>
  <si>
    <t>Rangit – HEP</t>
  </si>
  <si>
    <t>Teesta – HEP</t>
  </si>
  <si>
    <t>Chukha</t>
  </si>
  <si>
    <t>Tala</t>
  </si>
  <si>
    <t>SECI</t>
  </si>
  <si>
    <t>Wind</t>
  </si>
  <si>
    <t>Manikaran Power (Wind)</t>
  </si>
  <si>
    <t>ACME Magadh</t>
  </si>
  <si>
    <t>Solar</t>
  </si>
  <si>
    <t>ACME Nalanda</t>
  </si>
  <si>
    <t>Sunmark</t>
  </si>
  <si>
    <t>Avantika</t>
  </si>
  <si>
    <t>AZURE</t>
  </si>
  <si>
    <t>ALFA</t>
  </si>
  <si>
    <t>Udipta Energy &amp; Equipment Pvt ltd</t>
  </si>
  <si>
    <t>Glatt</t>
  </si>
  <si>
    <t>Welspun 2</t>
  </si>
  <si>
    <t>Welspun 1</t>
  </si>
  <si>
    <t>Welspun 3</t>
  </si>
  <si>
    <t>Response Renewable Energy</t>
  </si>
  <si>
    <t>New Swadeshi Sugar Mill,Narkatiaganj</t>
  </si>
  <si>
    <t>Co-gen</t>
  </si>
  <si>
    <t>Harinagar Sugar Mills,Harinagar</t>
  </si>
  <si>
    <t>SugarMills,SidhiwaliaGopalganj</t>
  </si>
  <si>
    <t>Lauriya Sugar Mill</t>
  </si>
  <si>
    <t>Sugauli Sugar Mill</t>
  </si>
  <si>
    <t>Hasanpur Sugar Mills,Samastipur</t>
  </si>
  <si>
    <t>Riga Sugar Company Ltd,Sitamarhi</t>
  </si>
  <si>
    <t>Tirupati</t>
  </si>
  <si>
    <t>Siddhashram Rice Mill Cluster Pvt Ltd</t>
  </si>
  <si>
    <t>Bio Mass</t>
  </si>
  <si>
    <t>BDBPL</t>
  </si>
  <si>
    <t>Korba</t>
  </si>
  <si>
    <t>JINDAL</t>
  </si>
  <si>
    <t>JPL</t>
  </si>
  <si>
    <t>GMR ETL</t>
  </si>
  <si>
    <t>Manikaran Power (Thermal)</t>
  </si>
  <si>
    <t>GERC Tariff Order Paschim Gujarat Vij Company Limited
(PGVCL)
Case No. 1625/2016
31st March, 2017</t>
  </si>
  <si>
    <t>Table 5.53 : Approved Power Purchase Cost for the FY 2017-18</t>
  </si>
  <si>
    <t xml:space="preserve">Source watch/ RATE </t>
  </si>
  <si>
    <t xml:space="preserve">Sr. </t>
  </si>
  <si>
    <t xml:space="preserve">Name of the Station </t>
  </si>
  <si>
    <t xml:space="preserve">Available (MUs) </t>
  </si>
  <si>
    <t xml:space="preserve">Dispatch (MUs) </t>
  </si>
  <si>
    <t xml:space="preserve">Fixed Cost (Rs. Cr.) </t>
  </si>
  <si>
    <t>FC/unit</t>
  </si>
  <si>
    <t xml:space="preserve">VC / unit (Rs./kwh) </t>
  </si>
  <si>
    <t xml:space="preserve">Variable Cost (Rs.Cr.) </t>
  </si>
  <si>
    <t xml:space="preserve">Total Cost (Rs. Cr.) </t>
  </si>
  <si>
    <t xml:space="preserve">ACB India Ltd </t>
  </si>
  <si>
    <t xml:space="preserve">Gujarat Industries Power Co Ltd (SLPP - Exp) </t>
  </si>
  <si>
    <t xml:space="preserve">GSECL Gandhinagar - 5 </t>
  </si>
  <si>
    <t xml:space="preserve">GSECL Wanakbori - 7 </t>
  </si>
  <si>
    <t xml:space="preserve">Gujarat Industries Power Co Ltd (SLPP) </t>
  </si>
  <si>
    <t xml:space="preserve">Gujarat Mineral Development Corp. </t>
  </si>
  <si>
    <t xml:space="preserve">GSECL Ukai </t>
  </si>
  <si>
    <t xml:space="preserve">GSECL Gandhinagar 1-4 </t>
  </si>
  <si>
    <t xml:space="preserve">GSECL Wanakbori 1-6 </t>
  </si>
  <si>
    <t xml:space="preserve">GSECL Sikka </t>
  </si>
  <si>
    <t xml:space="preserve">GSECL Sikka Expansion </t>
  </si>
  <si>
    <t xml:space="preserve">GSECL Kutch Lignite </t>
  </si>
  <si>
    <t xml:space="preserve">GSECL Kutch Lignite Exp unit 4 </t>
  </si>
  <si>
    <t xml:space="preserve">NTPC-Vindhyachal - I </t>
  </si>
  <si>
    <t xml:space="preserve">NTPC-Vindhyachal - II </t>
  </si>
  <si>
    <t xml:space="preserve">NTPC-Vindhyachal - III </t>
  </si>
  <si>
    <t xml:space="preserve">NTPC-Korba </t>
  </si>
  <si>
    <t xml:space="preserve">NTPC-Korba -II </t>
  </si>
  <si>
    <t xml:space="preserve">NTPC-Kawas </t>
  </si>
  <si>
    <t xml:space="preserve">BECL </t>
  </si>
  <si>
    <t xml:space="preserve">NTPC-Sipat - II </t>
  </si>
  <si>
    <t xml:space="preserve">NTPC-Kahlagaon </t>
  </si>
  <si>
    <t xml:space="preserve">NTPC-Mauda </t>
  </si>
  <si>
    <t xml:space="preserve">GSECL Ukai Expan </t>
  </si>
  <si>
    <t>Adani Power Ltd</t>
  </si>
  <si>
    <t xml:space="preserve">Mundra UMPP CGPL </t>
  </si>
  <si>
    <t xml:space="preserve">Essar Power Bid 2 </t>
  </si>
  <si>
    <t xml:space="preserve">NTPC-Sipat-I </t>
  </si>
  <si>
    <t xml:space="preserve">NTPC-Vindhyachal - IV </t>
  </si>
  <si>
    <t xml:space="preserve">NTPC-Mauda Stage II U#1 </t>
  </si>
  <si>
    <t xml:space="preserve">NTPC-Lara U#1 </t>
  </si>
  <si>
    <t xml:space="preserve">NTPC-Mauda Stage II U#2 </t>
  </si>
  <si>
    <t xml:space="preserve">NTPC-Gadarwara Stage-I U#1 </t>
  </si>
  <si>
    <t xml:space="preserve">NTPC-Gadarwara Stage-I U#2 </t>
  </si>
  <si>
    <t xml:space="preserve">NTPC-Lara U#2 </t>
  </si>
  <si>
    <t xml:space="preserve">NTPC-Vindhyachal - V </t>
  </si>
  <si>
    <t xml:space="preserve">GSECL Ukai Hydro </t>
  </si>
  <si>
    <t xml:space="preserve">GSECL Kadana Hydro </t>
  </si>
  <si>
    <t xml:space="preserve">SSNL </t>
  </si>
  <si>
    <t xml:space="preserve">Small/Mini Hydal </t>
  </si>
  <si>
    <t xml:space="preserve">GSECL Utran Expan </t>
  </si>
  <si>
    <t>CGCT</t>
  </si>
  <si>
    <t xml:space="preserve">GSECL Dhuvaran - 7 </t>
  </si>
  <si>
    <t xml:space="preserve">GSECL Dhuvaran - 8 </t>
  </si>
  <si>
    <t xml:space="preserve">Dhuvaran CCPP III </t>
  </si>
  <si>
    <t xml:space="preserve">CLP India Pvt Ltd </t>
  </si>
  <si>
    <t xml:space="preserve">Gujarat State Energy Generation </t>
  </si>
  <si>
    <t xml:space="preserve">Gujarat State Energy Generation Expansion </t>
  </si>
  <si>
    <t xml:space="preserve">Gujarat Industries Power Co Ltd (145 MW) </t>
  </si>
  <si>
    <t xml:space="preserve">GPPC Pipavav </t>
  </si>
  <si>
    <t xml:space="preserve">NTPC-Jhanor </t>
  </si>
  <si>
    <t xml:space="preserve">NPC-Tarapur (1 &amp; 2) </t>
  </si>
  <si>
    <t xml:space="preserve">NPC-Tarapur (3 &amp; 4) </t>
  </si>
  <si>
    <t xml:space="preserve">NPC-Kakrapar </t>
  </si>
  <si>
    <t xml:space="preserve">NPC Kakrapar Ext U#1 </t>
  </si>
  <si>
    <t xml:space="preserve">Wind Farms </t>
  </si>
  <si>
    <t xml:space="preserve">Wind (New) </t>
  </si>
  <si>
    <t xml:space="preserve">Solar </t>
  </si>
  <si>
    <t xml:space="preserve">Solar(New) </t>
  </si>
  <si>
    <t xml:space="preserve">Biomass </t>
  </si>
  <si>
    <t>Biomass</t>
  </si>
  <si>
    <t xml:space="preserve">Others (New) </t>
  </si>
  <si>
    <t>PETITION
FOR
REVIEW FOR FY 2017-18
AND
APPROVAL OF
AGGREGATE REVENUE REQUIREMENT
AND
TARIFF PETITION
FOR
FY 2018-19</t>
  </si>
  <si>
    <t>AJJVNL F 3.1 -CY</t>
  </si>
  <si>
    <t>Installed Capacity</t>
  </si>
  <si>
    <t>State Share (%)</t>
  </si>
  <si>
    <t>Total Cost of Energy Received (Rs Crore)</t>
  </si>
  <si>
    <t>Avg cost of energy received (Rs/kWh)</t>
  </si>
  <si>
    <t>VC/unit</t>
  </si>
  <si>
    <t>ANTA  GTPS</t>
  </si>
  <si>
    <t>AURIYA  GTPS</t>
  </si>
  <si>
    <t>DADRI GTPS</t>
  </si>
  <si>
    <t>DCCPP</t>
  </si>
  <si>
    <t>RGTP(1&amp;2)</t>
  </si>
  <si>
    <t>RGTP 3</t>
  </si>
  <si>
    <t>ARAVALI POWER CO PVT LTD</t>
  </si>
  <si>
    <t>FGUTTPS -I</t>
  </si>
  <si>
    <t>FGUTTPS -II</t>
  </si>
  <si>
    <t>FGUTPP III</t>
  </si>
  <si>
    <t>F.S.T.P.S</t>
  </si>
  <si>
    <t>K.H.S.T.P.S. I</t>
  </si>
  <si>
    <t>K.H.S.T.P.S. &amp; II</t>
  </si>
  <si>
    <t>RHIND STPS</t>
  </si>
  <si>
    <t>RIHAND II</t>
  </si>
  <si>
    <t>RIHAND III</t>
  </si>
  <si>
    <t>KHPS-I</t>
  </si>
  <si>
    <t>Subcritial</t>
  </si>
  <si>
    <t>*presuming this is Khstps</t>
  </si>
  <si>
    <t>ADANI POWER RAJASTHAN LIMITED</t>
  </si>
  <si>
    <t>B. Rajwest</t>
  </si>
  <si>
    <t>KTPS(1 to 7)</t>
  </si>
  <si>
    <t>STPS(1 to 6)</t>
  </si>
  <si>
    <t>Maruti</t>
  </si>
  <si>
    <t xml:space="preserve">NEYVELI LIGNITE CORPORATION LTD </t>
  </si>
  <si>
    <t>CTPP (1&amp;2)</t>
  </si>
  <si>
    <t>CTPP (4)</t>
  </si>
  <si>
    <t>DB Power</t>
  </si>
  <si>
    <t xml:space="preserve">Subcritical </t>
  </si>
  <si>
    <t>CTPP (3)</t>
  </si>
  <si>
    <t>NCTPS 2</t>
  </si>
  <si>
    <t>SINGUARLI</t>
  </si>
  <si>
    <t xml:space="preserve">Supercritical </t>
  </si>
  <si>
    <t>SASAN POWER LTD</t>
  </si>
  <si>
    <t>KaTPP#1</t>
  </si>
  <si>
    <t>KaTPP#2</t>
  </si>
  <si>
    <t>SJVNL-NATHPA-JHAKRI</t>
  </si>
  <si>
    <t>Chhabra TPS St - 1 Ph -3 (Unit - 5)</t>
  </si>
  <si>
    <t>Chhabra TPS St - 1 Ph -3 (Unit - 6)</t>
  </si>
  <si>
    <t>Coastal Gujerat</t>
  </si>
  <si>
    <t>Unchahar IV (1*1500 MW) NTPC</t>
  </si>
  <si>
    <t>TANAKPUR HEP</t>
  </si>
  <si>
    <t>KARCHAM WANGTOO</t>
  </si>
  <si>
    <t>SALAL HEP</t>
  </si>
  <si>
    <t>CHAMERA-I</t>
  </si>
  <si>
    <t>CHAMERA-II</t>
  </si>
  <si>
    <t>CHAMERA-III</t>
  </si>
  <si>
    <t>URI HEP</t>
  </si>
  <si>
    <t>URI HEP II</t>
  </si>
  <si>
    <t>DHOLIGANGA</t>
  </si>
  <si>
    <t>DULHASTI</t>
  </si>
  <si>
    <t>PARBATI III</t>
  </si>
  <si>
    <t>SEWA II</t>
  </si>
  <si>
    <t>MAHI</t>
  </si>
  <si>
    <t>BBMB(BHAKRA,DEHAR&amp;PONG</t>
  </si>
  <si>
    <t>CHAMBAL</t>
  </si>
  <si>
    <t>TEHRI</t>
  </si>
  <si>
    <t>KOTESHWAR</t>
  </si>
  <si>
    <t>Rampur</t>
  </si>
  <si>
    <t>MAHI MMH</t>
  </si>
  <si>
    <t>NAPP</t>
  </si>
  <si>
    <t>RAPP-I&amp; II</t>
  </si>
  <si>
    <t>RAPP-III&amp; IV</t>
  </si>
  <si>
    <t>RAPP-V&amp; VI</t>
  </si>
  <si>
    <t>Wind farms</t>
  </si>
  <si>
    <t>Solar Thermal</t>
  </si>
  <si>
    <t>Bhadla</t>
  </si>
  <si>
    <t>REST</t>
  </si>
  <si>
    <t>NSM Bundled</t>
  </si>
  <si>
    <t>NVVNL BUNDLED</t>
  </si>
  <si>
    <t>UTTAR PRADESH ELECTRICITY REGULATORY COMMISSION
LUCKNOW
Petition No. 1203 / 2017, 1204 / 2017, 1205 / 2017, 1206 / 2017 and 1207 / 2017</t>
  </si>
  <si>
    <t>TABLE 5-86: SUMMARY OF APPROVED BY THE COMMISSION POWER PURCHASE COST FOR FY 2017-18</t>
  </si>
  <si>
    <t>Source of Power</t>
  </si>
  <si>
    <t>TYPE</t>
  </si>
  <si>
    <t xml:space="preserve">MW Available </t>
  </si>
  <si>
    <t xml:space="preserve">MU </t>
  </si>
  <si>
    <t xml:space="preserve">Fixed Cost </t>
  </si>
  <si>
    <t xml:space="preserve">Variable Cost </t>
  </si>
  <si>
    <t>Total Cost</t>
  </si>
  <si>
    <t>(Rs. /kWh)</t>
  </si>
  <si>
    <t>(Rs.Cr.)</t>
  </si>
  <si>
    <t>Anpara A</t>
  </si>
  <si>
    <t>Anpara B</t>
  </si>
  <si>
    <t>Harduagunj</t>
  </si>
  <si>
    <t>Obra A</t>
  </si>
  <si>
    <t>Obra B</t>
  </si>
  <si>
    <t>Panki</t>
  </si>
  <si>
    <t>Parichha</t>
  </si>
  <si>
    <t>Parichha Extn.</t>
  </si>
  <si>
    <t>Parichha Extn. Stage III</t>
  </si>
  <si>
    <t>Harduaganj Ext.</t>
  </si>
  <si>
    <t>Dadri Extension</t>
  </si>
  <si>
    <t xml:space="preserve">Thermal </t>
  </si>
  <si>
    <t>Rihand-I</t>
  </si>
  <si>
    <t>Rihand-II</t>
  </si>
  <si>
    <t>Dadri Thermal</t>
  </si>
  <si>
    <t>Unchahar-I</t>
  </si>
  <si>
    <t>Unchahar-II</t>
  </si>
  <si>
    <t>Unchahar-III</t>
  </si>
  <si>
    <t>Farakka</t>
  </si>
  <si>
    <t>Kahalgaon St. I</t>
  </si>
  <si>
    <t>Kahalgaon St.II Ph.I</t>
  </si>
  <si>
    <t>Rihand-III</t>
  </si>
  <si>
    <t>Rosa Power Project</t>
  </si>
  <si>
    <t xml:space="preserve">thermal </t>
  </si>
  <si>
    <t>*Bajaj Hindusthan</t>
  </si>
  <si>
    <t>RKM Powergen</t>
  </si>
  <si>
    <t>Sasan</t>
  </si>
  <si>
    <t>Singrauli</t>
  </si>
  <si>
    <t>Tanda</t>
  </si>
  <si>
    <t>Bara</t>
  </si>
  <si>
    <t>Anpara 'C'</t>
  </si>
  <si>
    <t>IGSTPP, Jhajhjhar</t>
  </si>
  <si>
    <t>Lalitpur</t>
  </si>
  <si>
    <t>KSK</t>
  </si>
  <si>
    <t>TRN Energy</t>
  </si>
  <si>
    <t>Anpara D</t>
  </si>
  <si>
    <t>Hydro Stations</t>
  </si>
  <si>
    <t>Khara</t>
  </si>
  <si>
    <t>hydro</t>
  </si>
  <si>
    <t>Matatila</t>
  </si>
  <si>
    <t>Obra (Hydel)</t>
  </si>
  <si>
    <t>Rihand</t>
  </si>
  <si>
    <t>UGC Power</t>
  </si>
  <si>
    <t>Belka &amp; Babail</t>
  </si>
  <si>
    <t>Sheetla</t>
  </si>
  <si>
    <t>Anta</t>
  </si>
  <si>
    <t>gas</t>
  </si>
  <si>
    <t>Auriya</t>
  </si>
  <si>
    <t>Dadri Gas</t>
  </si>
  <si>
    <t>Koldam (Hydro)</t>
  </si>
  <si>
    <t>Chamera</t>
  </si>
  <si>
    <t>HYDRO</t>
  </si>
  <si>
    <t>Chamera-II</t>
  </si>
  <si>
    <t>Chamera-III</t>
  </si>
  <si>
    <t>Dhauliganga</t>
  </si>
  <si>
    <t>Salal I&amp;II</t>
  </si>
  <si>
    <t>Tanakpur</t>
  </si>
  <si>
    <t>Uri</t>
  </si>
  <si>
    <t>Dulhasti</t>
  </si>
  <si>
    <t>Sewa-II</t>
  </si>
  <si>
    <t>Uri-II</t>
  </si>
  <si>
    <t>Parbati ST-III</t>
  </si>
  <si>
    <t>Kishanganga HEP</t>
  </si>
  <si>
    <t>Nathpa Jhakri HPS</t>
  </si>
  <si>
    <t>RAMPUR</t>
  </si>
  <si>
    <t>TALA POWER</t>
  </si>
  <si>
    <t>Koteshwar</t>
  </si>
  <si>
    <t xml:space="preserve">Hydroelectric </t>
  </si>
  <si>
    <t>Karcham-Wangtoo</t>
  </si>
  <si>
    <t>VISHNUPRAYAG</t>
  </si>
  <si>
    <t>TEHRI STAGE-I</t>
  </si>
  <si>
    <t>Teesta</t>
  </si>
  <si>
    <t xml:space="preserve">hydro </t>
  </si>
  <si>
    <t>RAPP #3&amp;4</t>
  </si>
  <si>
    <t>RAPP#5&amp;6</t>
  </si>
  <si>
    <t>Srinagar</t>
  </si>
  <si>
    <t>MB Power</t>
  </si>
  <si>
    <t>Captive and Cogen</t>
  </si>
  <si>
    <t>NVVN Coal Power</t>
  </si>
  <si>
    <t xml:space="preserve"> Region </t>
  </si>
  <si>
    <t xml:space="preserve">Type </t>
  </si>
  <si>
    <t>Ownership</t>
  </si>
  <si>
    <t xml:space="preserve">Capacity
(MW)
</t>
  </si>
  <si>
    <t xml:space="preserve">MP
Share
(MW)
</t>
  </si>
  <si>
    <t xml:space="preserve">FC </t>
  </si>
  <si>
    <t>NTPC-Korba</t>
  </si>
  <si>
    <t>WR</t>
  </si>
  <si>
    <t>NTPC</t>
  </si>
  <si>
    <t>NTPC-Vindyachal I</t>
  </si>
  <si>
    <t>NTPC-Vindyachal II</t>
  </si>
  <si>
    <t>NTPC-Vindyachal III</t>
  </si>
  <si>
    <t>NTPC - Sipat Stage II</t>
  </si>
  <si>
    <t>ATPS - Chachai-Extn</t>
  </si>
  <si>
    <t>MPPGCL</t>
  </si>
  <si>
    <t>STPS - Sarani-PH 1, 2 &amp; 3</t>
  </si>
  <si>
    <t>STPS Sarni Extension Unit 10</t>
  </si>
  <si>
    <t>STPS Sarni Extension Unit 11</t>
  </si>
  <si>
    <t>SGTPS - Bir'pur - PH 1 &amp; 2</t>
  </si>
  <si>
    <t>Jaypee Bina Power Unit 1 &amp; 2</t>
  </si>
  <si>
    <t>Private</t>
  </si>
  <si>
    <t>SGTPS - Bir'pur - Extn</t>
  </si>
  <si>
    <t>DVC DTPS Unit 1</t>
  </si>
  <si>
    <t>ER</t>
  </si>
  <si>
    <t>JV</t>
  </si>
  <si>
    <t>DVC DTPS Unit 2</t>
  </si>
  <si>
    <t>NTPC - Kahalgaon 2</t>
  </si>
  <si>
    <t>Lanco Amarkantak</t>
  </si>
  <si>
    <t>NTPC Korba III</t>
  </si>
  <si>
    <t>Central</t>
  </si>
  <si>
    <t>NTPC Vindhyanchal MTPS, Stage 4 Unit 1 &amp; Unit 2</t>
  </si>
  <si>
    <t>NTPC Vindhyanchal MTPS, Stage 5</t>
  </si>
  <si>
    <t>NTPC Sipat Stage - 1</t>
  </si>
  <si>
    <t>NTPC Mouda STPS, Stage -1 Unit 1 &amp; Unit 2</t>
  </si>
  <si>
    <t>NTPC Lara STPS, Raigarh Unit 1</t>
  </si>
  <si>
    <t>NTPC Lara STPS, Raigarh Unit 2</t>
  </si>
  <si>
    <t>NTPC Gadarwara STPS, Unit 1</t>
  </si>
  <si>
    <t>Shri Singaji STPS Phase -1 Unit 1</t>
  </si>
  <si>
    <t>Shri Singaji STPS Phase -1 Unit 2</t>
  </si>
  <si>
    <t>Jhabua Power , Seoni</t>
  </si>
  <si>
    <t>Jaiprakash Power, Nigri Unit 1 Unit 2</t>
  </si>
  <si>
    <t>MB Power Unit 1, Anuppur</t>
  </si>
  <si>
    <t>NTPC-Kawas</t>
  </si>
  <si>
    <t>NTPC-Gandhar</t>
  </si>
  <si>
    <t>KAPP – Kakrapar</t>
  </si>
  <si>
    <t>NPC</t>
  </si>
  <si>
    <t>TAPS- Tarapur</t>
  </si>
  <si>
    <t>Bargi HPS</t>
  </si>
  <si>
    <t>Banasgar Tons HPS</t>
  </si>
  <si>
    <t>Banasgar Tons HPS-Silpara</t>
  </si>
  <si>
    <t>Banasgar Tons HPS-Devloned</t>
  </si>
  <si>
    <t>Banasgar Tons HPS-Bansagar IV Jhinna)</t>
  </si>
  <si>
    <t>Birsighpur HPS</t>
  </si>
  <si>
    <t>Marhi Khera HPS</t>
  </si>
  <si>
    <t>Rajghat HPS</t>
  </si>
  <si>
    <t>CHPS-Gandhi Sagar</t>
  </si>
  <si>
    <t>CHPS-RP Sagar &amp; Jawahar Sagar</t>
  </si>
  <si>
    <t>Pench HPS</t>
  </si>
  <si>
    <t>NHDC - Indira Sagar</t>
  </si>
  <si>
    <t>Omkareshwar HPS</t>
  </si>
  <si>
    <t>Sardar Sarovar</t>
  </si>
  <si>
    <t>UPPMCL(Rihand Matatila)</t>
  </si>
  <si>
    <t>Others</t>
  </si>
  <si>
    <t>Others(mini micro)</t>
  </si>
  <si>
    <t>Renewable Energy – Solar</t>
  </si>
  <si>
    <t>Renewable Energy - Other than Solar</t>
  </si>
  <si>
    <t>DVC (MTPS, CTPS)</t>
  </si>
  <si>
    <t>DVC</t>
  </si>
  <si>
    <t>CCGT</t>
  </si>
  <si>
    <t>Coal</t>
  </si>
  <si>
    <t>State Share (MW)</t>
  </si>
  <si>
    <t>Form 2:  Power Purchase Expenses</t>
  </si>
  <si>
    <t>Retail Supply Business</t>
  </si>
  <si>
    <t>FY 2018-19 - Projected</t>
  </si>
  <si>
    <t>Any Other Charges (Please specify the type of charges)</t>
  </si>
  <si>
    <t>MAHAGENCO</t>
  </si>
  <si>
    <t>NTPC solapur 2</t>
  </si>
  <si>
    <t>Khargone</t>
  </si>
  <si>
    <t>NPCIL</t>
  </si>
  <si>
    <t>Total Long Term</t>
  </si>
  <si>
    <t>PGCIL Charges incl Reactive energy charges</t>
  </si>
  <si>
    <t>Total Power purchase</t>
  </si>
  <si>
    <t>Energy (MU)</t>
  </si>
  <si>
    <t xml:space="preserve">Bhusawal </t>
  </si>
  <si>
    <t xml:space="preserve">Chandrapur </t>
  </si>
  <si>
    <t xml:space="preserve">Khaperkheda </t>
  </si>
  <si>
    <t xml:space="preserve">Koradi </t>
  </si>
  <si>
    <t xml:space="preserve">Nashik </t>
  </si>
  <si>
    <t xml:space="preserve">Uran </t>
  </si>
  <si>
    <t xml:space="preserve">Paras Units 3 &amp; 4 </t>
  </si>
  <si>
    <t xml:space="preserve">Parli Units 6 &amp; 7 </t>
  </si>
  <si>
    <t xml:space="preserve">Khaperkheda Unit 5 </t>
  </si>
  <si>
    <t xml:space="preserve">Bhusawal Units 4 &amp; 5 </t>
  </si>
  <si>
    <t xml:space="preserve">Koradi Units 8, 9 &amp; 10 </t>
  </si>
  <si>
    <t xml:space="preserve">Chandrapur Units 8 &amp; 9 </t>
  </si>
  <si>
    <t xml:space="preserve">Parli Unit 8 </t>
  </si>
  <si>
    <t>MSPGCL</t>
  </si>
  <si>
    <t>MERC Case 195 and 196 of 2017 Orders</t>
  </si>
  <si>
    <t>MERC Case 195 of 2017 (MSEDCL MTR) Petition Formats</t>
  </si>
  <si>
    <t>NCE</t>
  </si>
  <si>
    <t>Central, IPP, Solar</t>
  </si>
  <si>
    <t>Capacity Charges approved in 195/2017</t>
  </si>
  <si>
    <t>Energy Charges approved in 195/2017</t>
  </si>
  <si>
    <t>Ghatghar</t>
  </si>
  <si>
    <t>Koyna</t>
  </si>
  <si>
    <t>Bhira</t>
  </si>
  <si>
    <t>Tillari</t>
  </si>
  <si>
    <t>TPG U5</t>
  </si>
  <si>
    <t>TPG U6</t>
  </si>
  <si>
    <t>TPG U7</t>
  </si>
  <si>
    <t>TPG U8</t>
  </si>
  <si>
    <t>DTPS Unit 5</t>
  </si>
  <si>
    <t>VIPL Unit-5</t>
  </si>
  <si>
    <t>TPG Hydro- Khopoli</t>
  </si>
  <si>
    <t>TPG Hydro- Bhira</t>
  </si>
  <si>
    <t>TPG Hydro- Bhivpuri</t>
  </si>
  <si>
    <t>VC (Rs Cr)</t>
  </si>
  <si>
    <t>FC (Rs Cr)</t>
  </si>
  <si>
    <t>2018-19</t>
  </si>
  <si>
    <t>Wind, Bagasse, SHP</t>
  </si>
  <si>
    <t>Plexos MH model inputs</t>
  </si>
  <si>
    <t>Wind 2017-18</t>
  </si>
  <si>
    <t>CUF</t>
  </si>
  <si>
    <t>Wind 2018-19</t>
  </si>
  <si>
    <t>Bagasse 2018-19</t>
  </si>
  <si>
    <t>Wind Total</t>
  </si>
  <si>
    <t>Energy (Mus)</t>
  </si>
  <si>
    <t>Inputs in Plexos MH 2029-30 Model presented to MSEDCL</t>
  </si>
  <si>
    <t>MH</t>
  </si>
  <si>
    <t>2017-18</t>
  </si>
  <si>
    <t>GJ</t>
  </si>
  <si>
    <t>RJ</t>
  </si>
  <si>
    <t>UP</t>
  </si>
  <si>
    <t>MP</t>
  </si>
  <si>
    <t>Total Hydro</t>
  </si>
  <si>
    <t>Total Supercritical Coal</t>
  </si>
  <si>
    <t>Total Coal</t>
  </si>
  <si>
    <t>Total Gas</t>
  </si>
  <si>
    <t>Total Nuclear</t>
  </si>
  <si>
    <t>Total Small Hydro</t>
  </si>
  <si>
    <t>SHP</t>
  </si>
  <si>
    <t>Andhra Pradesh</t>
  </si>
  <si>
    <t>Arunachal Pradesh</t>
  </si>
  <si>
    <t>AS</t>
  </si>
  <si>
    <t>Assam</t>
  </si>
  <si>
    <t>Bihar</t>
  </si>
  <si>
    <t>Chhattisgarh</t>
  </si>
  <si>
    <t>CG</t>
  </si>
  <si>
    <t>MP,MH</t>
  </si>
  <si>
    <t>Delhi</t>
  </si>
  <si>
    <t>DL</t>
  </si>
  <si>
    <t>Goa</t>
  </si>
  <si>
    <t>GA</t>
  </si>
  <si>
    <t>Gujarat</t>
  </si>
  <si>
    <t>Haryana</t>
  </si>
  <si>
    <t>HR</t>
  </si>
  <si>
    <t>PJ</t>
  </si>
  <si>
    <t>Himachal Pradesh</t>
  </si>
  <si>
    <t>HP</t>
  </si>
  <si>
    <t>JK</t>
  </si>
  <si>
    <t>Jharkhand</t>
  </si>
  <si>
    <t>JH</t>
  </si>
  <si>
    <t>Karnataka</t>
  </si>
  <si>
    <t>KA</t>
  </si>
  <si>
    <t>AP, TN</t>
  </si>
  <si>
    <t>Kerala</t>
  </si>
  <si>
    <t>KL</t>
  </si>
  <si>
    <t>TN</t>
  </si>
  <si>
    <t>Madhya Pradesh</t>
  </si>
  <si>
    <t>Maharashtra</t>
  </si>
  <si>
    <t>Manipur</t>
  </si>
  <si>
    <t>Meghalaya</t>
  </si>
  <si>
    <t>Mizoram</t>
  </si>
  <si>
    <t>Nagaland</t>
  </si>
  <si>
    <t>Odisha</t>
  </si>
  <si>
    <t>OD</t>
  </si>
  <si>
    <t>WB</t>
  </si>
  <si>
    <t>Punjab</t>
  </si>
  <si>
    <t>PB</t>
  </si>
  <si>
    <t>Rajasthan</t>
  </si>
  <si>
    <t>Sikkim</t>
  </si>
  <si>
    <t>Tamil Nadu</t>
  </si>
  <si>
    <t>Telangana</t>
  </si>
  <si>
    <t>Tripura</t>
  </si>
  <si>
    <t>Uttar Pradesh</t>
  </si>
  <si>
    <t>Uttarakhand</t>
  </si>
  <si>
    <t>UK</t>
  </si>
  <si>
    <t>West Bengal</t>
  </si>
  <si>
    <t>UT</t>
  </si>
  <si>
    <t>Tech</t>
  </si>
  <si>
    <t>MU proposed</t>
  </si>
  <si>
    <t>Farakka TPS Stage I &amp; II</t>
  </si>
  <si>
    <t>Farakka TPS Stage III</t>
  </si>
  <si>
    <t>Talcher STPS</t>
  </si>
  <si>
    <t>PTC Adhunik</t>
  </si>
  <si>
    <t>DVC (Mejia V)</t>
  </si>
  <si>
    <t>TPTCL (Maithon Right Bank)</t>
  </si>
  <si>
    <t>Kolaghat TPS</t>
  </si>
  <si>
    <t>Bakreshwar TPS (U#1,2,3)</t>
  </si>
  <si>
    <t>Bakreshwar TPS (U#4,5)</t>
  </si>
  <si>
    <t>Bandel TPS</t>
  </si>
  <si>
    <t>Santaldih TPS</t>
  </si>
  <si>
    <t>Himadri Chemical Ltd 12 MW</t>
  </si>
  <si>
    <t>Himadri Chemical Ltd 8MW</t>
  </si>
  <si>
    <t>Sagardighi TPS (U#1 &amp;U#2)</t>
  </si>
  <si>
    <t>Sagardighi TPS (U#3 &amp;U#4)</t>
  </si>
  <si>
    <t>NHPC (Rangit)</t>
  </si>
  <si>
    <t>NHPC (Teesta V)</t>
  </si>
  <si>
    <t>NHPC (TLDP III)</t>
  </si>
  <si>
    <t>NHPC (TLDP IV)</t>
  </si>
  <si>
    <t>PTC (Chukhha)</t>
  </si>
  <si>
    <t>PTC (Kurichhu)</t>
  </si>
  <si>
    <t>PTC (Tala)</t>
  </si>
  <si>
    <t>PTC (Baglihar)</t>
  </si>
  <si>
    <t>NVVN Bundled Power Solar</t>
  </si>
  <si>
    <t>NVVN Bundled Power Thermal</t>
  </si>
  <si>
    <t>Dagachhu HEP</t>
  </si>
  <si>
    <t>Short Term Power</t>
  </si>
  <si>
    <t>Short Term for Solar RPO</t>
  </si>
  <si>
    <t>Short Term for Non Solar RPO</t>
  </si>
  <si>
    <t>DPL 132 kV</t>
  </si>
  <si>
    <t>Tata Power Company Limited</t>
  </si>
  <si>
    <t>Bengal Energy Limited</t>
  </si>
  <si>
    <t xml:space="preserve"> 1x35 MW power plant utilizing for rotary kiln off-gases, BF gas and Ferro Alloys waste heat recovery
1x35 MW Power Plant based on AFBC Boilers. </t>
  </si>
  <si>
    <t>Electro Steel Casting Limited</t>
  </si>
  <si>
    <t>Shree Renuka Sugars Ltd</t>
  </si>
  <si>
    <t>Nippon Power Limited</t>
  </si>
  <si>
    <t>Neora Hydro Limited</t>
  </si>
  <si>
    <t>Rashmi Cement Ltd</t>
  </si>
  <si>
    <t>Concast Bengal Ind Limited</t>
  </si>
  <si>
    <t>DPL 33 kV &amp; 11 kV</t>
  </si>
  <si>
    <t>CESC Ltd</t>
  </si>
  <si>
    <t>DVC (radial)</t>
  </si>
  <si>
    <t>WBREDA</t>
  </si>
  <si>
    <t>Assam Power</t>
  </si>
  <si>
    <t>Gov. Sikkim Rangpo</t>
  </si>
  <si>
    <t>Jaldhaka Hydel Power Station Stage</t>
  </si>
  <si>
    <t>Rammam Hydel Power Station</t>
  </si>
  <si>
    <t>Purulia Pump Storage</t>
  </si>
  <si>
    <t>Jaldhaka Hydel Power Station Stage II</t>
  </si>
  <si>
    <t>TCF Hydel Power Station PS - I</t>
  </si>
  <si>
    <t>TCF Hydel Power Station PS - II</t>
  </si>
  <si>
    <t>TCF Hydel Power Station PS - III</t>
  </si>
  <si>
    <t>Kurseong Fazi Micro Hydel Power Station</t>
  </si>
  <si>
    <t>Little Rangit Micro Hydel Poer Station</t>
  </si>
  <si>
    <t>Sidrabong Micro Hydel Power Station</t>
  </si>
  <si>
    <t>Richington Micro Hydel Power Station</t>
  </si>
  <si>
    <t>Messanjore</t>
  </si>
  <si>
    <t>Mangoo Kalikhola Micro Hydel Power Station</t>
  </si>
  <si>
    <t>http://pserc.nic.in/pages/PSPCL-Tariff-Order-Vol-1-2017-18.pdf</t>
  </si>
  <si>
    <t>Unit capacity (MW)</t>
  </si>
  <si>
    <t>Punjab Share</t>
  </si>
  <si>
    <t>Share in MW</t>
  </si>
  <si>
    <t xml:space="preserve">Power Purchase (After Surrender) (MU) </t>
  </si>
  <si>
    <t xml:space="preserve">AFC (₹ crore) </t>
  </si>
  <si>
    <t xml:space="preserve">PSPCL share (%) </t>
  </si>
  <si>
    <t xml:space="preserve">Rate of VC (paise /unit) </t>
  </si>
  <si>
    <t xml:space="preserve">FC (₹ crore) </t>
  </si>
  <si>
    <t xml:space="preserve">VC (₹ crore) </t>
  </si>
  <si>
    <t xml:space="preserve">Other Charges (₹ crore) </t>
  </si>
  <si>
    <t xml:space="preserve">Anta (G/F) </t>
  </si>
  <si>
    <t xml:space="preserve">Auraiya (G/F) </t>
  </si>
  <si>
    <t xml:space="preserve">Dadri Gas (G/F) </t>
  </si>
  <si>
    <t>Pragati-III Gas Plant Bawana (PPCL)</t>
  </si>
  <si>
    <t xml:space="preserve">Rihand-I </t>
  </si>
  <si>
    <t xml:space="preserve">Rihand-II </t>
  </si>
  <si>
    <t xml:space="preserve">Unchahar-I </t>
  </si>
  <si>
    <t xml:space="preserve">Unchahar-II </t>
  </si>
  <si>
    <t xml:space="preserve">Unchahar-III </t>
  </si>
  <si>
    <t xml:space="preserve">Farakka (ER) </t>
  </si>
  <si>
    <t xml:space="preserve">Kahalgaon-I (ER) </t>
  </si>
  <si>
    <t xml:space="preserve">Kahalgaon-II (ER) </t>
  </si>
  <si>
    <t>Goindwal Sahib TPS (GVK)</t>
  </si>
  <si>
    <t>Durgapur TPS (DVC)</t>
  </si>
  <si>
    <t>Bokaro TPS (DVC)</t>
  </si>
  <si>
    <t xml:space="preserve">Meja TPS </t>
  </si>
  <si>
    <t xml:space="preserve">NCTPS- 2C (DADRI II) </t>
  </si>
  <si>
    <t xml:space="preserve">Rihand-III </t>
  </si>
  <si>
    <t>Raghunathpur TPS (DVC)</t>
  </si>
  <si>
    <t>Mundra UMPP (CGPL)</t>
  </si>
  <si>
    <t>90.50 paise/kWh</t>
  </si>
  <si>
    <t>Sasan UMPP (RPL)</t>
  </si>
  <si>
    <t>17.02 paise/kWh</t>
  </si>
  <si>
    <t>Talwandi Sabo TPS (Sterlite)</t>
  </si>
  <si>
    <t>NPL Rajpura TPS (L&amp;T)</t>
  </si>
  <si>
    <t xml:space="preserve">IGSTPS Jhajjar (NTPC JV) </t>
  </si>
  <si>
    <t xml:space="preserve">Singrauli </t>
  </si>
  <si>
    <t xml:space="preserve">Koldam HEP </t>
  </si>
  <si>
    <t xml:space="preserve">Bairasuil </t>
  </si>
  <si>
    <t xml:space="preserve">Salal </t>
  </si>
  <si>
    <t xml:space="preserve">Tanakpur </t>
  </si>
  <si>
    <t xml:space="preserve">Chamera-I </t>
  </si>
  <si>
    <t xml:space="preserve">Chamera-II </t>
  </si>
  <si>
    <t xml:space="preserve">Chamera-III </t>
  </si>
  <si>
    <t xml:space="preserve">Uri </t>
  </si>
  <si>
    <t xml:space="preserve">Uri-II </t>
  </si>
  <si>
    <t xml:space="preserve">Dhauli Ganga </t>
  </si>
  <si>
    <t xml:space="preserve">Dulhasti </t>
  </si>
  <si>
    <t xml:space="preserve">Sewa-II </t>
  </si>
  <si>
    <t xml:space="preserve">Parbati-III </t>
  </si>
  <si>
    <t>Kishanganga</t>
  </si>
  <si>
    <t>Nathpa Jhakri (SJVNL)</t>
  </si>
  <si>
    <t>Rampur HEP (SJVNL)</t>
  </si>
  <si>
    <t>Tehri HEP (THDC)</t>
  </si>
  <si>
    <t>Koteshwer HEP (THDC)</t>
  </si>
  <si>
    <t>Malana-II HEP</t>
  </si>
  <si>
    <t>Tala HEP (PTC)</t>
  </si>
  <si>
    <t>Tiesta-3 HEP</t>
  </si>
  <si>
    <t>RAPP-3 &amp;4</t>
  </si>
  <si>
    <t>RAPP-5 &amp; 6</t>
  </si>
  <si>
    <t>NVVNL Bundled Power ( NTPC Thermal Power + Solar power)</t>
  </si>
  <si>
    <t>Non Solar</t>
  </si>
  <si>
    <t>Quantum, Fixed Cost (Rs Cr), Energy Charge (Rs/kWh), Energy Charge (Rs Cr), Total Cost (Rs/kWh), Total Cost (Rs Cr)</t>
  </si>
  <si>
    <t>TNERC Generation and Distribution Tariff Order 1 of 2017, dtd 11/8/2017</t>
  </si>
  <si>
    <t>Unit Capacity (MW), Total Capacity (MW)</t>
  </si>
  <si>
    <t>Web search (Wikipedia, Source Watch, https://www.nlcindia.com/new_website/POWERGENERATION.htm)</t>
  </si>
  <si>
    <t>Total TN Allocated Capacity (MW)</t>
  </si>
  <si>
    <t>CEA Monthly Installed Capacity Report (Month/Year?)</t>
  </si>
  <si>
    <t>TN Capacity Share (%)</t>
  </si>
  <si>
    <t>Techn</t>
  </si>
  <si>
    <t>Unit Capacity (MW)</t>
  </si>
  <si>
    <t>Total Capacity (MW)</t>
  </si>
  <si>
    <t>TN Capacity Share (MW)</t>
  </si>
  <si>
    <t xml:space="preserve">Quantum
(MU)
</t>
  </si>
  <si>
    <t xml:space="preserve">Fixed Cost
(Rs. Cr.)
</t>
  </si>
  <si>
    <t xml:space="preserve">Energy
Charge
(Rs./kWh
)
</t>
  </si>
  <si>
    <t xml:space="preserve">Energy
Charge
(Rs. Cr.)
</t>
  </si>
  <si>
    <t xml:space="preserve">Total
Cost
(Rs./kWh
)
</t>
  </si>
  <si>
    <t xml:space="preserve">Total Cost
(Rs. Cr.)
</t>
  </si>
  <si>
    <t>Tuticorin TPS</t>
  </si>
  <si>
    <t>Mettur TPS</t>
  </si>
  <si>
    <t>North Chennai TPS</t>
  </si>
  <si>
    <t>NTPC SR (Ramagundam) (I&amp;II)</t>
  </si>
  <si>
    <t>200/500</t>
  </si>
  <si>
    <t>NTPC SR (Ramagundam) III</t>
  </si>
  <si>
    <t>NLC TS – I</t>
  </si>
  <si>
    <t>NLC TS - II - Stage 1</t>
  </si>
  <si>
    <t>NLC TS - II - Stage 2</t>
  </si>
  <si>
    <t>NTPC Talcher</t>
  </si>
  <si>
    <t>NTPC Simhadri</t>
  </si>
  <si>
    <t>Penna</t>
  </si>
  <si>
    <t>NLC TS Expansion I</t>
  </si>
  <si>
    <t>NLC TS Expansion II</t>
  </si>
  <si>
    <t>STCMS - Neyveli (TAQA)</t>
  </si>
  <si>
    <t>NCTPS Stage-II</t>
  </si>
  <si>
    <t>MTPS Stage III</t>
  </si>
  <si>
    <t>NTPL (JV with NLC)</t>
  </si>
  <si>
    <t>NTPC Vallur Unit 1 &amp; 2 NTECL</t>
  </si>
  <si>
    <t>NTPC ER</t>
  </si>
  <si>
    <t xml:space="preserve">Gas </t>
  </si>
  <si>
    <t>TGTPS</t>
  </si>
  <si>
    <t>KGTPS</t>
  </si>
  <si>
    <t>BBGTPS</t>
  </si>
  <si>
    <t>VGTPS (1 and 2)</t>
  </si>
  <si>
    <t>PPN</t>
  </si>
  <si>
    <t>LANCO Power (Aban co)</t>
  </si>
  <si>
    <t>Hydro: Large</t>
  </si>
  <si>
    <t>Erode HEP</t>
  </si>
  <si>
    <t>Kadamparai HEP</t>
  </si>
  <si>
    <t xml:space="preserve">Large </t>
  </si>
  <si>
    <t>Kundah HEP</t>
  </si>
  <si>
    <t>Hydro: Small</t>
  </si>
  <si>
    <t>Tirunelveli HEP</t>
  </si>
  <si>
    <t>MAPS</t>
  </si>
  <si>
    <t>KAIGA</t>
  </si>
  <si>
    <t>PFBR Kalpakkam</t>
  </si>
  <si>
    <t>Kudankulum</t>
  </si>
  <si>
    <t>Renewables</t>
  </si>
  <si>
    <t>REC (Solar)</t>
  </si>
  <si>
    <t>Source watch</t>
  </si>
  <si>
    <t>Total Subcritical</t>
  </si>
  <si>
    <t>Total Supercritical</t>
  </si>
  <si>
    <t>MP
Share
(%)</t>
  </si>
  <si>
    <t>Total Large Hydro</t>
  </si>
  <si>
    <t>Small Hydro</t>
  </si>
  <si>
    <t>Large Hydro</t>
  </si>
  <si>
    <t>Wind?</t>
  </si>
  <si>
    <t>Total Subcritical Coal</t>
  </si>
  <si>
    <t>Total Solar</t>
  </si>
  <si>
    <t>Solar - Own Generation</t>
  </si>
  <si>
    <t>Energy, FC, VC</t>
  </si>
  <si>
    <t>Capacity, Capacity share</t>
  </si>
  <si>
    <t xml:space="preserve">Dehar </t>
  </si>
  <si>
    <t xml:space="preserve">Pong </t>
  </si>
  <si>
    <t xml:space="preserve">Total </t>
  </si>
  <si>
    <t>Total (₹ crore)</t>
  </si>
  <si>
    <t>http://punjabsldc.org/ccshare.aspx, NRPC</t>
  </si>
  <si>
    <t>Fuel</t>
  </si>
  <si>
    <t xml:space="preserve">Rate of VC (Rs/unit) </t>
  </si>
  <si>
    <t>Total Subcritical coal</t>
  </si>
  <si>
    <t>Unit/Station</t>
  </si>
  <si>
    <t>95, 92.2</t>
  </si>
  <si>
    <t>Kudigi</t>
  </si>
  <si>
    <t>SRPC ISGS Allocation dtd 7/9/2018, 0600-1800 &amp; 2200-0200, http://www.srpc.kar.nic.in/website/2018/commercial/kudgi-unit-3-alloc.pdf, http://tnebldc.org/reports1/peakdet.pdf</t>
  </si>
  <si>
    <t>Derived CUF</t>
  </si>
  <si>
    <t xml:space="preserve">Name of Stations --&gt; </t>
  </si>
  <si>
    <t xml:space="preserve">Arunachal Pradesh </t>
  </si>
  <si>
    <t xml:space="preserve">Assam </t>
  </si>
  <si>
    <t xml:space="preserve">Manipur </t>
  </si>
  <si>
    <t xml:space="preserve">Meghalaya </t>
  </si>
  <si>
    <t xml:space="preserve">Mizoram </t>
  </si>
  <si>
    <t xml:space="preserve">Nagaland </t>
  </si>
  <si>
    <t xml:space="preserve">Tripura </t>
  </si>
  <si>
    <t>Unallocated Capacity MW</t>
  </si>
  <si>
    <t xml:space="preserve">Total Capacity MW </t>
  </si>
  <si>
    <t xml:space="preserve">Modewise breakup </t>
  </si>
  <si>
    <t>RES</t>
  </si>
  <si>
    <t>NTPC BgTPP</t>
  </si>
  <si>
    <t>AGBP (Kathalguri)</t>
  </si>
  <si>
    <t>AGTCCPP (RC Nagar)</t>
  </si>
  <si>
    <t>OTPC Palatana</t>
  </si>
  <si>
    <t>TGBP (Monarchak)</t>
  </si>
  <si>
    <t>Kopili I HEP</t>
  </si>
  <si>
    <t>Kopili II HEP</t>
  </si>
  <si>
    <t>Khandong HEP</t>
  </si>
  <si>
    <t>Doyang HEP</t>
  </si>
  <si>
    <t>Ranganadi HEP</t>
  </si>
  <si>
    <t>Turial HEP</t>
  </si>
  <si>
    <t>Pare HEP</t>
  </si>
  <si>
    <t>Loktak</t>
  </si>
  <si>
    <t>Monarchak</t>
  </si>
  <si>
    <t>Region</t>
  </si>
  <si>
    <t>State ID</t>
  </si>
  <si>
    <t>Lignite</t>
  </si>
  <si>
    <t>Diesel</t>
  </si>
  <si>
    <t>NR</t>
  </si>
  <si>
    <t>Jammu &amp; Kashmir</t>
  </si>
  <si>
    <t>Chandigarh</t>
  </si>
  <si>
    <t>Daman &amp; Diu</t>
  </si>
  <si>
    <t>Dadra &amp; Nagar Haveli</t>
  </si>
  <si>
    <t>SR</t>
  </si>
  <si>
    <t>Puducherry</t>
  </si>
  <si>
    <t>NE</t>
  </si>
  <si>
    <t>NER</t>
  </si>
  <si>
    <t xml:space="preserve"> Chandigarh </t>
  </si>
  <si>
    <t xml:space="preserve"> Delhi </t>
  </si>
  <si>
    <t xml:space="preserve"> Haryana </t>
  </si>
  <si>
    <t xml:space="preserve"> HP </t>
  </si>
  <si>
    <t xml:space="preserve"> J &amp; K </t>
  </si>
  <si>
    <t xml:space="preserve"> Punjab </t>
  </si>
  <si>
    <t xml:space="preserve"> Rajasthan </t>
  </si>
  <si>
    <t xml:space="preserve"> Uttar Pradesh </t>
  </si>
  <si>
    <t xml:space="preserve"> Uttarakhand </t>
  </si>
  <si>
    <t xml:space="preserve">Dadri+FBD+Unchahar+Singrauli+Bhadla </t>
  </si>
  <si>
    <t xml:space="preserve"> Oil India Ltd Rajasthan </t>
  </si>
  <si>
    <t xml:space="preserve"> Chhattisgarh </t>
  </si>
  <si>
    <t xml:space="preserve"> NTPC Rajgarh/Rajmal/Mandsaur </t>
  </si>
  <si>
    <t xml:space="preserve"> Gujarat </t>
  </si>
  <si>
    <t xml:space="preserve"> Madhya Pradesh </t>
  </si>
  <si>
    <t xml:space="preserve"> Maharashtra </t>
  </si>
  <si>
    <t xml:space="preserve"> Dadra and Nagar Haveli </t>
  </si>
  <si>
    <t xml:space="preserve"> Daman &amp; Diu </t>
  </si>
  <si>
    <t xml:space="preserve"> Oil India Ltd Madhya Pradesh &amp; Gujrat </t>
  </si>
  <si>
    <t xml:space="preserve"> Andhra Pradesh </t>
  </si>
  <si>
    <t xml:space="preserve"> Telangana </t>
  </si>
  <si>
    <t xml:space="preserve"> Karnataka </t>
  </si>
  <si>
    <t xml:space="preserve"> Kerala </t>
  </si>
  <si>
    <t xml:space="preserve"> NTPS Ramagundam/Anantapuram </t>
  </si>
  <si>
    <t xml:space="preserve"> Tamil Nadu </t>
  </si>
  <si>
    <t xml:space="preserve"> Lakshadweep </t>
  </si>
  <si>
    <t xml:space="preserve"> Ponducherry </t>
  </si>
  <si>
    <t xml:space="preserve"> Andaman Nicobar </t>
  </si>
  <si>
    <t xml:space="preserve"> Bihar </t>
  </si>
  <si>
    <t xml:space="preserve"> Jharkhand </t>
  </si>
  <si>
    <t xml:space="preserve"> Orissa </t>
  </si>
  <si>
    <t xml:space="preserve"> Sikkim </t>
  </si>
  <si>
    <t xml:space="preserve"> West Bengal </t>
  </si>
  <si>
    <t xml:space="preserve"> DVC </t>
  </si>
  <si>
    <t xml:space="preserve"> NTPC Andman+Talchar </t>
  </si>
  <si>
    <t xml:space="preserve"> Arunachal Pradesh </t>
  </si>
  <si>
    <t xml:space="preserve"> Assam </t>
  </si>
  <si>
    <t xml:space="preserve"> Manipur </t>
  </si>
  <si>
    <t xml:space="preserve"> Meghalaya </t>
  </si>
  <si>
    <t xml:space="preserve"> Mizoram </t>
  </si>
  <si>
    <t xml:space="preserve"> Nagaland </t>
  </si>
  <si>
    <t xml:space="preserve"> Tripura </t>
  </si>
  <si>
    <t xml:space="preserve"> Neepco </t>
  </si>
  <si>
    <t>Bagasse</t>
  </si>
  <si>
    <t>Other/Waste</t>
  </si>
  <si>
    <t>CEA Monthly RE Generation Report-March 2019</t>
  </si>
  <si>
    <t>CEA Monthly Installed Capacity Report March 2019</t>
  </si>
  <si>
    <t>Generation</t>
  </si>
  <si>
    <t>MNRE: https://mnre.gov.in/physical-progress-achievements</t>
  </si>
  <si>
    <t>https://mnre.gov.in/physical-progress-achievements</t>
  </si>
  <si>
    <t>Programme/Scheme wise Physical Progress in 2019-20 &amp; Cumulative upto May, 2019 </t>
  </si>
  <si>
    <t>Sector</t>
  </si>
  <si>
    <t>I.   GRID-INTERACTIVE POWER (CAPACITIES IN MWp)</t>
  </si>
  <si>
    <t>Wind Power</t>
  </si>
  <si>
    <t>Solar Power - Ground Mounted</t>
  </si>
  <si>
    <t>Solar Power - Roof Top</t>
  </si>
  <si>
    <t>Small Hydro Power</t>
  </si>
  <si>
    <t>Biomass (Bagasse) Cogeneration) </t>
  </si>
  <si>
    <t>Biomass (non-bagasse) Cogeneration)/Captive Power</t>
  </si>
  <si>
    <t>Waste to Power</t>
  </si>
  <si>
    <r>
      <t>II.  OFF-GRID/ CAPTIVE POWER    (CAPACITIES IN MW</t>
    </r>
    <r>
      <rPr>
        <b/>
        <vertAlign val="subscript"/>
        <sz val="11"/>
        <color theme="1"/>
        <rFont val="Calibri"/>
        <family val="2"/>
        <scheme val="minor"/>
      </rPr>
      <t>EQ)</t>
    </r>
  </si>
  <si>
    <t>Waste to Energy                   </t>
  </si>
  <si>
    <t>Biomass Gasifiers                                       </t>
  </si>
  <si>
    <t>SPV Systems </t>
  </si>
  <si>
    <t>III.  OTHER RENEWABLE ENERGY SYSTEMS</t>
  </si>
  <si>
    <t>Biogass Plants</t>
  </si>
  <si>
    <t xml:space="preserve">State wise installed capacity of grid Interactive Renewable power as on(Posted on 31.05.2019) </t>
  </si>
  <si>
    <t>FY- 2019-20 Target</t>
  </si>
  <si>
    <t>Cumulative Achievements (as on 31.05.2019)</t>
  </si>
  <si>
    <t>FY- 2019-20 Achievements (April-May 2019)</t>
  </si>
  <si>
    <r>
      <t xml:space="preserve">               </t>
    </r>
    <r>
      <rPr>
        <b/>
        <sz val="10"/>
        <rFont val="Times New Roman"/>
        <family val="1"/>
      </rPr>
      <t>MW =  Megawatt</t>
    </r>
  </si>
  <si>
    <t>Total  (MW)</t>
  </si>
  <si>
    <t>Pondicherry</t>
  </si>
  <si>
    <t>Lakshwadeep</t>
  </si>
  <si>
    <t>Dadar &amp; Nagar Haveli</t>
  </si>
  <si>
    <t>Andaman &amp; Nicobar</t>
  </si>
  <si>
    <t xml:space="preserve">West Bengal </t>
  </si>
  <si>
    <t xml:space="preserve">Madhya Pradesh </t>
  </si>
  <si>
    <t>Chhatisgarh</t>
  </si>
  <si>
    <t xml:space="preserve">Bihar </t>
  </si>
  <si>
    <t>(MW)</t>
  </si>
  <si>
    <t>Roof Top</t>
  </si>
  <si>
    <t>Ground Mounted</t>
  </si>
  <si>
    <t>Bio Power Total</t>
  </si>
  <si>
    <t>Waste to Energy</t>
  </si>
  <si>
    <t>BM Cogen. (Non-Bagasse/Captive Power)</t>
  </si>
  <si>
    <t>BM Power/Bagasse Cogen. (Grid Interactive)</t>
  </si>
  <si>
    <t>Total Capacity</t>
  </si>
  <si>
    <t>Solar Power</t>
  </si>
  <si>
    <t xml:space="preserve">                     Bio-Power</t>
  </si>
  <si>
    <t>STATES / Uts</t>
  </si>
  <si>
    <t>State-wise installed capacity of Grid Interactive Renewable Power as on 31.05.2019.</t>
  </si>
  <si>
    <t>P&amp;C Division</t>
  </si>
  <si>
    <t>State-wise installed capacity of Grid Interactive Renewable Power as on 31.03.2019.</t>
  </si>
  <si>
    <t xml:space="preserve">MNRE: State wise installed capacity of grid Interactive Renewable power as on(Posted on 31.03.2019) </t>
  </si>
  <si>
    <t>Derived from above</t>
  </si>
  <si>
    <t>Max-UF in 2018-19</t>
  </si>
  <si>
    <t>Generation in 2018-19, 2017-18</t>
  </si>
  <si>
    <t>Installed Capacity 2018-19</t>
  </si>
  <si>
    <t>Lakshadweep</t>
  </si>
  <si>
    <t>Neepco</t>
  </si>
  <si>
    <t>Oil India Ltd Madhya Pradesh &amp; Gujrat</t>
  </si>
  <si>
    <t>NTPS Ramagundam/Anantapuram</t>
  </si>
  <si>
    <t>NTPC Andman+Talchar</t>
  </si>
  <si>
    <t>Solar Ground Mounted</t>
  </si>
  <si>
    <t>Solar Roof Top</t>
  </si>
  <si>
    <t>Solar Total</t>
  </si>
  <si>
    <t>Calculated</t>
  </si>
  <si>
    <t>RE Installed Capacity as reported in CEA installed capacity report does not include biomass capacity, which is included in MNRE's RE capacity breakdown by state and technology</t>
  </si>
  <si>
    <t>Conventional Capacities</t>
  </si>
  <si>
    <t>RE Installed Capacity</t>
  </si>
  <si>
    <t>MNRE Statewise Installed Capacity of Grid-interactive Renewable Sources</t>
  </si>
  <si>
    <t>Wind Tariff</t>
  </si>
  <si>
    <t>TSERC Wind Tariff Order 2018-20</t>
  </si>
  <si>
    <t>Notes</t>
  </si>
  <si>
    <t>CEA Monthly Installed Capacity includes allocated shares of central and joint utilities, but it does not match with overall contracted capacity as reported in regulatory documents</t>
  </si>
  <si>
    <t>Biomass includes Biomass cogen, Bagasse cogen and Waste/Other RES</t>
  </si>
  <si>
    <t>Bagasse FC</t>
  </si>
  <si>
    <t>TSERC Bagasse Tariff Order 2018-20</t>
  </si>
  <si>
    <t>Solar PV</t>
  </si>
  <si>
    <t>Avg. Conventional (Rs./Kwh)</t>
  </si>
  <si>
    <t>TOTAL Conventional</t>
  </si>
  <si>
    <t>LegacyCapacity (MW)</t>
  </si>
  <si>
    <t>DVC Capacity allocation???</t>
  </si>
  <si>
    <t>Diff (MW)</t>
  </si>
  <si>
    <t>Diff % (MW)</t>
  </si>
  <si>
    <t>Capacity (MW) as per regulatory docs</t>
  </si>
  <si>
    <t>NLC</t>
  </si>
  <si>
    <t>IL</t>
  </si>
  <si>
    <t>Islands</t>
  </si>
  <si>
    <t>IN</t>
  </si>
  <si>
    <t>All India</t>
  </si>
  <si>
    <t>CEA Monthly Installed Capacity Report March 2018</t>
  </si>
  <si>
    <t>Thermal Total</t>
  </si>
  <si>
    <t>RES (MNRE)</t>
  </si>
  <si>
    <t>Grand Total</t>
  </si>
  <si>
    <t xml:space="preserve">Table 2.5: Statewise and Sourcewise Installed Capacity of Grid Interactive Renewable Power as on 31.03.2017 and 31.10.2018                                                                     </t>
  </si>
  <si>
    <t>(in MW)</t>
  </si>
  <si>
    <t>Bio-Power</t>
  </si>
  <si>
    <t xml:space="preserve">Wind Power 
</t>
  </si>
  <si>
    <t>States/ UTs</t>
  </si>
  <si>
    <t>Biomass Power &amp; Bagase Cogeneration*</t>
  </si>
  <si>
    <t>31.03.17</t>
  </si>
  <si>
    <t>31.10.18</t>
  </si>
  <si>
    <t>All India Total</t>
  </si>
  <si>
    <t>Distribution (%)</t>
  </si>
  <si>
    <t xml:space="preserve">  * Bagase Cogeneration available for 2018-19 </t>
  </si>
  <si>
    <t xml:space="preserve"> -  Denotes non availability or indeterminant value</t>
  </si>
  <si>
    <t>The potential of Solar Power (100 GW) is estimated at 30-50 MW/Sq.Cm. of open, shadow free area.</t>
  </si>
  <si>
    <t>Solar potential As per NISE</t>
  </si>
  <si>
    <t>Source: Ministry of New and Renewable Energy</t>
  </si>
  <si>
    <t>Energy Statistics 2019</t>
  </si>
  <si>
    <t>31.03.18</t>
  </si>
  <si>
    <t>Interpolated based on Capacities as on 31.03-2017 and 31.10.2018 in Energy Statistics 2019</t>
  </si>
  <si>
    <t>RE Diff</t>
  </si>
  <si>
    <t>Note</t>
  </si>
  <si>
    <t>Estimated based on Energy Statistics 2019</t>
  </si>
  <si>
    <t>Estimated RE capacity off by about 1000 MW from total RE capacity reported in CEA Monthly Installed Capacity Report (due to differences in MH, AP, TS, KA, TN) - see column titled 'RE Diff' below</t>
  </si>
  <si>
    <t>Non Solar - Biomass</t>
  </si>
  <si>
    <t>Non Solar - SHP</t>
  </si>
  <si>
    <t>Installed
capacity (MW)</t>
  </si>
  <si>
    <t>Aux (%)</t>
  </si>
  <si>
    <t>Exbus (MW)</t>
  </si>
  <si>
    <t>PAFM (%)</t>
  </si>
  <si>
    <t>Ex-bus
Availability
/ Design
Energy (MU)</t>
  </si>
  <si>
    <t>Purchase admitted (MU)</t>
  </si>
  <si>
    <t>Energy
charge rate (paise/kWh)</t>
  </si>
  <si>
    <t>Fixed
Charge (Rs Lakh)</t>
  </si>
  <si>
    <t>Energy
Charge (Rs Lakh)</t>
  </si>
  <si>
    <t>Total
Charge (Rs Lakh)</t>
  </si>
  <si>
    <t>WBSEDCL Share (%)</t>
  </si>
  <si>
    <t>WBSEDCL Share (MW)</t>
  </si>
  <si>
    <t>WBSEDCL Share (MU)</t>
  </si>
  <si>
    <t>NER Installed Capacity as on 01.08.2018</t>
  </si>
  <si>
    <t xml:space="preserve">Kopili HEP </t>
  </si>
  <si>
    <t xml:space="preserve">Kopili HEP - II </t>
  </si>
  <si>
    <t xml:space="preserve">Khandong HEP </t>
  </si>
  <si>
    <t xml:space="preserve">AGTPP </t>
  </si>
  <si>
    <t xml:space="preserve">NTPC, BTPS </t>
  </si>
  <si>
    <t xml:space="preserve">NTPC, BTPS Unit-III </t>
  </si>
  <si>
    <t xml:space="preserve">Farakka </t>
  </si>
  <si>
    <t xml:space="preserve">Kahalgaon I </t>
  </si>
  <si>
    <t xml:space="preserve">Kahalgaon II </t>
  </si>
  <si>
    <t xml:space="preserve">Talcher </t>
  </si>
  <si>
    <t xml:space="preserve"> Approved</t>
  </si>
  <si>
    <t>Avg Rate (Rs/kWh)</t>
  </si>
  <si>
    <t>AERC APDCL Tariff Order 2019-20</t>
  </si>
  <si>
    <t>AERC APDCL Tariff Order 2019-20 Table 39, Page 93</t>
  </si>
  <si>
    <t>APGCL</t>
  </si>
  <si>
    <t>Sl. No.</t>
  </si>
  <si>
    <t>Name</t>
  </si>
  <si>
    <t>Installed Capacity (MW)</t>
  </si>
  <si>
    <t>LRPP</t>
  </si>
  <si>
    <t>Thermal (Gas)</t>
  </si>
  <si>
    <t>MYNTRENG</t>
  </si>
  <si>
    <t>NTPS</t>
  </si>
  <si>
    <t>LTPS</t>
  </si>
  <si>
    <t>KLHEP</t>
  </si>
  <si>
    <t>CS Capacity</t>
  </si>
  <si>
    <t>Rate, Energy for CGS</t>
  </si>
  <si>
    <t>AERC APGCL Tariff Order 2019-20 Table 65, Page 79</t>
  </si>
  <si>
    <t>http://www.sldcassam.in/generation_details.php, NER Installed Capacity dated 01.08.2018 from NERPC website, http://erpc.gov.in/rea-generating-station-view/</t>
  </si>
  <si>
    <t>Quantum, Cost, Avg Rate</t>
  </si>
  <si>
    <t>APGCL Capacity, Cost</t>
  </si>
  <si>
    <t xml:space="preserve"> Annual Fixed Charges </t>
  </si>
  <si>
    <t xml:space="preserve"> O&amp;M Expenses </t>
  </si>
  <si>
    <t xml:space="preserve"> Impact of ROP </t>
  </si>
  <si>
    <t xml:space="preserve"> Special R&amp;M </t>
  </si>
  <si>
    <t xml:space="preserve"> Depreciation </t>
  </si>
  <si>
    <t xml:space="preserve"> Interest on Loans </t>
  </si>
  <si>
    <t xml:space="preserve"> Return on Equity </t>
  </si>
  <si>
    <t xml:space="preserve"> Interest on Working Capital </t>
  </si>
  <si>
    <t xml:space="preserve"> Less: Other Income </t>
  </si>
  <si>
    <t xml:space="preserve"> Fuel Cost </t>
  </si>
  <si>
    <t xml:space="preserve"> Total Aggregate Revenue Requirement</t>
  </si>
  <si>
    <t xml:space="preserve">A </t>
  </si>
  <si>
    <t xml:space="preserve">B </t>
  </si>
  <si>
    <t xml:space="preserve">F </t>
  </si>
  <si>
    <t xml:space="preserve">Table 65: ARR for Existing Generation Stations for FY 2018-19 as approved by the Commission in APR (Rs. Crore) </t>
  </si>
  <si>
    <t>Sr. No.</t>
  </si>
  <si>
    <t>Particulars</t>
  </si>
  <si>
    <t>Tariff Order dated 19.03.2018</t>
  </si>
  <si>
    <t>APGCL's submission</t>
  </si>
  <si>
    <t>Approved for APR</t>
  </si>
  <si>
    <t>AERC APGCL Tariff Order 2019-20</t>
  </si>
  <si>
    <t>Pg 79</t>
  </si>
  <si>
    <t>Fixed Cost (Rs Cr)</t>
  </si>
  <si>
    <t>Fuel Cost (Rs Cr)</t>
  </si>
  <si>
    <t>Fuel Cost (Rs/kWh)</t>
  </si>
  <si>
    <t>Partial combined cycle mode operation, Can be operated in open cycle mode as well</t>
  </si>
  <si>
    <t>Total APGCL</t>
  </si>
  <si>
    <t>Total Thermal</t>
  </si>
  <si>
    <t>Gross Generation (MU)</t>
  </si>
  <si>
    <t xml:space="preserve">Net Generation 
(MU) </t>
  </si>
  <si>
    <t xml:space="preserve">Table 48: Gross Generation and Net Generation considered by the Commission in the APR for FY 2018-19 </t>
  </si>
  <si>
    <t>Pg 66</t>
  </si>
  <si>
    <t>http://erpc.gov.in/rea-generating-station-view/</t>
  </si>
  <si>
    <t>http://www.sldcassam.in/generation_details.php</t>
  </si>
  <si>
    <t>NER Installed Capacity dated 01.08.2018 http://www.nerpc.nic.in/Install%20Capacity/Installed%20Capacity%20as%20on%2001.08.2018.pdf, http://www.nerpc.nic.in/Installcapacity.php</t>
  </si>
  <si>
    <t>APGCL, CS Capacity</t>
  </si>
  <si>
    <t>ER Capacity</t>
  </si>
  <si>
    <t>Myntdu Leshka Hydroelectric Project, Meghalaya</t>
  </si>
  <si>
    <t>Bhaba</t>
  </si>
  <si>
    <t>Bassi</t>
  </si>
  <si>
    <t>Giri</t>
  </si>
  <si>
    <t>Andhra</t>
  </si>
  <si>
    <t>Ghanvi</t>
  </si>
  <si>
    <t>Baner</t>
  </si>
  <si>
    <t>Units (MUs)</t>
  </si>
  <si>
    <t xml:space="preserve"> Gaj </t>
  </si>
  <si>
    <t xml:space="preserve"> Larji </t>
  </si>
  <si>
    <t xml:space="preserve"> Khauli </t>
  </si>
  <si>
    <t xml:space="preserve"> Binwa </t>
  </si>
  <si>
    <t xml:space="preserve"> Thirot </t>
  </si>
  <si>
    <t xml:space="preserve"> Gumma </t>
  </si>
  <si>
    <t xml:space="preserve"> Holi </t>
  </si>
  <si>
    <t xml:space="preserve"> Bhaba Aug </t>
  </si>
  <si>
    <t xml:space="preserve"> Nogli </t>
  </si>
  <si>
    <t xml:space="preserve"> Rongtong </t>
  </si>
  <si>
    <t xml:space="preserve"> Sal-II </t>
  </si>
  <si>
    <t xml:space="preserve"> Chaba </t>
  </si>
  <si>
    <t xml:space="preserve"> Rukti </t>
  </si>
  <si>
    <t xml:space="preserve"> Chamba </t>
  </si>
  <si>
    <t xml:space="preserve"> Killar </t>
  </si>
  <si>
    <t xml:space="preserve"> Uhl III - BVPCL </t>
  </si>
  <si>
    <t xml:space="preserve"> Ghanvi II </t>
  </si>
  <si>
    <t xml:space="preserve"> Total - Own Generation </t>
  </si>
  <si>
    <t xml:space="preserve"> Shanan Share </t>
  </si>
  <si>
    <t xml:space="preserve"> Ranjeet Sagar Dam Share </t>
  </si>
  <si>
    <t xml:space="preserve"> Malana </t>
  </si>
  <si>
    <t xml:space="preserve"> Baspa (Primary &amp; Sec.) </t>
  </si>
  <si>
    <t xml:space="preserve"> Ghanvi </t>
  </si>
  <si>
    <t xml:space="preserve"> Baner </t>
  </si>
  <si>
    <t xml:space="preserve"> Uhl-III </t>
  </si>
  <si>
    <t xml:space="preserve">Kashang </t>
  </si>
  <si>
    <t xml:space="preserve">Chanju </t>
  </si>
  <si>
    <t xml:space="preserve"> Small HEP/ Private Micro - Free</t>
  </si>
  <si>
    <t xml:space="preserve">Total Free Power </t>
  </si>
  <si>
    <t>Table 146: Source wise Power Purchase Cost for GoHP Free Power for FY19</t>
  </si>
  <si>
    <t>Table 145: Source wise Power Purchase Cost for Own Generating Stations for FY19</t>
  </si>
  <si>
    <t>Table 147: Source wise Power Purchase Cost for NPCIL stations for FY19</t>
  </si>
  <si>
    <t xml:space="preserve">RAPP (V &amp; VI) </t>
  </si>
  <si>
    <t xml:space="preserve">Total NPCIL </t>
  </si>
  <si>
    <t xml:space="preserve">Table 148: Source wise Power Purchase Cost for Shared stations for FY19 </t>
  </si>
  <si>
    <t xml:space="preserve">BBMB Old </t>
  </si>
  <si>
    <t xml:space="preserve">BBMB New </t>
  </si>
  <si>
    <t xml:space="preserve">Shanan (available to HPSEB) </t>
  </si>
  <si>
    <t xml:space="preserve">Shanan Ext (available to HPSEB) </t>
  </si>
  <si>
    <t xml:space="preserve">Yamuna </t>
  </si>
  <si>
    <t xml:space="preserve">Khara </t>
  </si>
  <si>
    <t xml:space="preserve">Total Shared Stations </t>
  </si>
  <si>
    <t>Table 149: Source wise Power Purchase Cost for SJVNL and Other stations for FY19</t>
  </si>
  <si>
    <t xml:space="preserve">Small HEP/ Private Micro &lt;5MW </t>
  </si>
  <si>
    <t xml:space="preserve">Small HEP/ Private Micro &gt;5MW </t>
  </si>
  <si>
    <t xml:space="preserve">Baspa – II </t>
  </si>
  <si>
    <t xml:space="preserve">Kashang (HPPCL) </t>
  </si>
  <si>
    <t xml:space="preserve">Municipal Solid Waste (MSW) projects </t>
  </si>
  <si>
    <t xml:space="preserve">Total SJVNL &amp; Other Plants </t>
  </si>
  <si>
    <t>Small HEP/ Private Micro – under REC framework</t>
  </si>
  <si>
    <t>Table 150: Source wise Power Purchase Cost for Solar Power for FY19</t>
  </si>
  <si>
    <t xml:space="preserve">Singrauli Solar </t>
  </si>
  <si>
    <t xml:space="preserve">SECI </t>
  </si>
  <si>
    <t>Additional Private Solar Power</t>
  </si>
  <si>
    <t xml:space="preserve">Total Solar Power </t>
  </si>
  <si>
    <t>Table 151: Source wise Power Purchase Cost for NTPC stations for FY19</t>
  </si>
  <si>
    <t>Variable Cost (Rs Cr)</t>
  </si>
  <si>
    <t>Other Cost (Rs Cr)</t>
  </si>
  <si>
    <t>Total Cost (Rs Cr)</t>
  </si>
  <si>
    <t xml:space="preserve">Table 152: Source wise Power Purchase Cost for NHPC stations for FY19 </t>
  </si>
  <si>
    <t xml:space="preserve">Total NHPC </t>
  </si>
  <si>
    <t>NRPC Allocation Order dated April 1 2019 downlaoded from http://hpaldc.org/downloads/AllocationOrder/AllocationOrder-2019-20/Alloc01_2019-20.pdf</t>
  </si>
  <si>
    <t>Station/Unit</t>
  </si>
  <si>
    <t>HP Share</t>
  </si>
  <si>
    <t>HP Share (MW)</t>
  </si>
  <si>
    <t>Dadri (G)</t>
  </si>
  <si>
    <t>NAPS</t>
  </si>
  <si>
    <t>RAPS-B</t>
  </si>
  <si>
    <t>RAPS-C</t>
  </si>
  <si>
    <t>Nathpa Jhakri</t>
  </si>
  <si>
    <t>B. SIUL</t>
  </si>
  <si>
    <t>Parbati-III</t>
  </si>
  <si>
    <t>Anta (G)</t>
  </si>
  <si>
    <t>Auriya (G)</t>
  </si>
  <si>
    <t>NCTPS Dadri-II</t>
  </si>
  <si>
    <t>Unchahar-IV</t>
  </si>
  <si>
    <t>Rihand-3 Units-1,2</t>
  </si>
  <si>
    <t>Koldam HEP</t>
  </si>
  <si>
    <t>Singrauli Bundled</t>
  </si>
  <si>
    <t>Kahalgaon–II</t>
  </si>
  <si>
    <t>Chamera-I</t>
  </si>
  <si>
    <t>Approved Energy, Cost</t>
  </si>
  <si>
    <t>HPERC Retail Tariff Order 2018-19</t>
  </si>
  <si>
    <t>Baspa FC, VC</t>
  </si>
  <si>
    <t>HPERC MYT Order FY15-19</t>
  </si>
  <si>
    <t>Municipal Solid Waste Generation</t>
  </si>
  <si>
    <t>MNRE Installed Capacity Report as on 31 March 2019</t>
  </si>
  <si>
    <t>Kamang Capacity</t>
  </si>
  <si>
    <t>Based on reported generation and http://www.hppcl.in/content/458_1_IntegratedKashangHEP.aspx</t>
  </si>
  <si>
    <t>Split between FC and VC</t>
  </si>
  <si>
    <t>Reference State</t>
  </si>
  <si>
    <t>Tables 17 and 22 of MPERC Tariff Order 2017-18 - http://www.mperc.nic.in/01042017-Final-Tariff-%20Order.pdf</t>
  </si>
  <si>
    <t>Capacity, FC, VC</t>
  </si>
  <si>
    <t>PY</t>
  </si>
  <si>
    <t>DD</t>
  </si>
  <si>
    <t>Union Territory</t>
  </si>
  <si>
    <t>CH</t>
  </si>
  <si>
    <t>DN</t>
  </si>
  <si>
    <t>Weighted FC</t>
  </si>
  <si>
    <t>Weighted VC</t>
  </si>
  <si>
    <t>MP Share (%)</t>
  </si>
  <si>
    <t>MP Share (MW)</t>
  </si>
  <si>
    <t xml:space="preserve"> NTPC Mouda Stage-II, Unit 1 </t>
  </si>
  <si>
    <t xml:space="preserve"> NTPC Mouda Stage-II, Unit 2 </t>
  </si>
  <si>
    <t xml:space="preserve"> NTPC Solarpur STPS Unit 1 </t>
  </si>
  <si>
    <t xml:space="preserve"> NTPC Solarpur STPS Unit 2 </t>
  </si>
  <si>
    <t>Variable 
Charges 
(Rs/kWh)</t>
  </si>
  <si>
    <t>Tables 20 ad 27 of MPERC Tariff Order 2018-19 - http://www.mperc.nic.in/030518-PNo-03-2018-Tariff.pdf</t>
  </si>
  <si>
    <t xml:space="preserve">Fixed Charges based on projected availability (Rs. Crore) </t>
  </si>
  <si>
    <t>UMPP Sasan Unit 1</t>
  </si>
  <si>
    <t>UMPP Sasan Unit 2</t>
  </si>
  <si>
    <t>UMPP Sasan Unit 3&amp;4</t>
  </si>
  <si>
    <t>UMPP Sasan Unit 5&amp;6</t>
  </si>
  <si>
    <t>AP data is from 2018-19 and TN data is from 2017-18</t>
  </si>
  <si>
    <t>Shri Singaji STPS Phase -2 Unit 1</t>
  </si>
  <si>
    <t>Shri Singaji STPS Phase -2 Unit 2</t>
  </si>
  <si>
    <t>MB Power Unit 2, Anuppur</t>
  </si>
  <si>
    <t>2019-20</t>
  </si>
  <si>
    <t>%</t>
  </si>
  <si>
    <t>Rampur HEP</t>
  </si>
  <si>
    <t>Nathpa Jhakri HEP</t>
  </si>
  <si>
    <t>Parbati III HEP</t>
  </si>
  <si>
    <t>COD</t>
  </si>
  <si>
    <t>13-05-2014 to 16-12-2014</t>
  </si>
  <si>
    <t>06-10-2003 to 18-05-2004</t>
  </si>
  <si>
    <t>24-03-2014 to 06-06-2014</t>
  </si>
  <si>
    <t>2013-14</t>
  </si>
  <si>
    <t>Approved capital cost (Rs Cr including IDC, cost overruns, addl capitalisation after COD etc)</t>
  </si>
  <si>
    <t>Approved capital cost (Rs Cr/MW)</t>
  </si>
  <si>
    <t>AFC (Rs Cr)</t>
  </si>
  <si>
    <t>AFC (Rs/KW-yr)</t>
  </si>
  <si>
    <t>Reference</t>
  </si>
  <si>
    <t>CERC Order in Case 315 of 2018 dtd 26/Jun/2019 Pg 43</t>
  </si>
  <si>
    <t>CERC Order in Case 309 of 2018 dtd 22/May/2019 Pg 39</t>
  </si>
  <si>
    <t>CERC Order in Case 6 of 2017 dtd 23/Apr/2019 Pg 26</t>
  </si>
  <si>
    <t>AFC (Rs Cr) Year-4</t>
  </si>
  <si>
    <t>AFC (Rs Cr) Year-3</t>
  </si>
  <si>
    <t>AFC (Rs Cr) Year-2</t>
  </si>
  <si>
    <t>AFC (Rs Cr) Year-1</t>
  </si>
  <si>
    <t>Wartsila (2014)</t>
  </si>
  <si>
    <t>EIA (2016)</t>
  </si>
  <si>
    <t>OCGT</t>
  </si>
  <si>
    <t>Capital cost (Rs Cr/MW)</t>
  </si>
  <si>
    <t>https://www.eia.gov/analysis/studies/powerplants/capitalcost/</t>
  </si>
  <si>
    <t xml:space="preserve">Heat Rate(Btu/kWh) </t>
  </si>
  <si>
    <t>Overnight Capital Cost ($/kW)</t>
  </si>
  <si>
    <t>Heat Rate (kCal/kWh)</t>
  </si>
  <si>
    <t>Conversion Efficiency (%)</t>
  </si>
  <si>
    <t>1 USD =</t>
  </si>
  <si>
    <t xml:space="preserve"> Rs in 2016</t>
  </si>
  <si>
    <t>1 Btu =</t>
  </si>
  <si>
    <t>kCal</t>
  </si>
  <si>
    <t>kWh</t>
  </si>
  <si>
    <t>Advanced Combustion Turbine (ACT)</t>
  </si>
  <si>
    <t>MW</t>
  </si>
  <si>
    <t>Auxiliary consumption</t>
  </si>
  <si>
    <t>Rs Lacs/MW</t>
  </si>
  <si>
    <t>Rs Lacs / MW</t>
  </si>
  <si>
    <t>Loan 1 Interest Rate</t>
  </si>
  <si>
    <t>Interest on working capital</t>
  </si>
  <si>
    <t>Total Fixed Cost</t>
  </si>
  <si>
    <t>years</t>
  </si>
  <si>
    <t>Based on past CERC escalation rates for domestic coal price</t>
  </si>
  <si>
    <t>2018-19 Inflation Rate</t>
  </si>
  <si>
    <t>Future years Inflation Rate</t>
  </si>
  <si>
    <t>Check</t>
  </si>
  <si>
    <t>LegacyCapacity CEA (MW)</t>
  </si>
  <si>
    <t>All</t>
  </si>
  <si>
    <t>2020</t>
  </si>
  <si>
    <t>2021</t>
  </si>
  <si>
    <t>2022</t>
  </si>
  <si>
    <t>2023</t>
  </si>
  <si>
    <t>2024</t>
  </si>
  <si>
    <t>2025</t>
  </si>
  <si>
    <t>2026</t>
  </si>
  <si>
    <t>2027</t>
  </si>
  <si>
    <t>2028</t>
  </si>
  <si>
    <t>2029</t>
  </si>
  <si>
    <t>2030</t>
  </si>
  <si>
    <t>2031</t>
  </si>
  <si>
    <t>MaxUF</t>
  </si>
  <si>
    <t>Yearly MaxUF</t>
  </si>
  <si>
    <t>Fixed Cost derived from nationwide average variable cost for states for which data was collected</t>
  </si>
  <si>
    <t>Value copied from</t>
  </si>
  <si>
    <t>NOTE:</t>
  </si>
  <si>
    <t>Peaking &amp; Reserve Capacity in India</t>
  </si>
  <si>
    <t>https://www.wartsila.com/docs/default-source/smartpowergeneration/content-center/conference-papers/peaking_reserve_capacity_in_india.pdf</t>
  </si>
  <si>
    <t>Deflation rate</t>
  </si>
  <si>
    <t>Source: Price Indices workbook</t>
  </si>
  <si>
    <t>FY17</t>
  </si>
  <si>
    <t>FY18</t>
  </si>
  <si>
    <t>FY15</t>
  </si>
  <si>
    <t>FY16</t>
  </si>
  <si>
    <t>PEG (cost assumed in this model)</t>
  </si>
  <si>
    <t>Capital Cost Estimates for Utility Scale Electricity Generating Plants, November 2016</t>
  </si>
  <si>
    <t>Note 1</t>
  </si>
  <si>
    <t>Assuming the years in Wartsila and EIA reports are calendar years. Hence EIA 2016 refers to FY17 prices since 9 months of FY17 are in 2016.</t>
  </si>
  <si>
    <t>Index</t>
  </si>
  <si>
    <t>Fixed Cost Per Capacity</t>
  </si>
  <si>
    <t>Post Tax ROE</t>
  </si>
  <si>
    <t>Loan 1 Term</t>
  </si>
  <si>
    <t>Debt Fraction</t>
  </si>
  <si>
    <t>Maintenance spares (% of yearly O&amp;M costs)</t>
  </si>
  <si>
    <t>O&amp;M cost escalation</t>
  </si>
  <si>
    <t>O&amp;M cost</t>
  </si>
  <si>
    <t>CapEx per MW</t>
  </si>
  <si>
    <t>Units</t>
  </si>
  <si>
    <t>Property</t>
  </si>
  <si>
    <r>
      <t xml:space="preserve">Index </t>
    </r>
    <r>
      <rPr>
        <sz val="11"/>
        <rFont val="Calibri"/>
        <family val="2"/>
      </rPr>
      <t>→</t>
    </r>
  </si>
  <si>
    <t>Corporate Tax</t>
  </si>
  <si>
    <t>Assumed based on past CERC escalation rates for indexed capacity charge (O&amp;M escalation). This applies to O&amp;M costs, hence used only for legacy capacity (although this is not entirely accurate since there is legacy capacity that is not yet depreciated). For new capacity, a stream of fixed costs for the entire life of the plant is determined using the tariff calculator (see sheet 'RE_Coal_Gas_Fixed_Costs').</t>
  </si>
  <si>
    <t>There are differing estimates of nuclear power generation costs across different sources. IEA (2015) (refer to sheet named 'New-Nuclear') expects nuclear costs in Asia to be constant in real terms. Hence considered nationwide average nuclear tariff and assumed this will be flat in real terms.</t>
  </si>
  <si>
    <t>HSD</t>
  </si>
  <si>
    <t>Item</t>
  </si>
  <si>
    <t>Specific Fuel Consumption ( kg/kWh)</t>
  </si>
  <si>
    <t>Future years $ Inflation Rate</t>
  </si>
  <si>
    <t>WPI Index: Source base 2011-12: https://www.rbi.org.in/scripts/PublicationsView.aspx?id=19028</t>
  </si>
  <si>
    <t>Lifetime</t>
  </si>
  <si>
    <t>MAT</t>
  </si>
  <si>
    <t>Annuity factor</t>
  </si>
  <si>
    <t>Discount rate</t>
  </si>
  <si>
    <t>Levelised FC (Rs/KW)</t>
  </si>
  <si>
    <t>current Rs Lakhs</t>
  </si>
  <si>
    <t>Discount Rate</t>
  </si>
  <si>
    <t>Annuity Factor</t>
  </si>
  <si>
    <t>Allocated</t>
  </si>
  <si>
    <t>Unallocated</t>
  </si>
  <si>
    <t>Regional Share</t>
  </si>
  <si>
    <t>Region-wise Nuclear Totals (Source: CEA Monthly Installed Capacity Report regional totals)</t>
  </si>
  <si>
    <t>State-wise allocation of nuclear capacity is adjusted so that region-wise capacity totals are the same. This is done by allocating the unallocated capacity to various states based on their share of allocated capacity.</t>
  </si>
  <si>
    <t>Region-wise Totals (Source: CEA Monthly Installed Capacity Report regional totals)</t>
  </si>
  <si>
    <t>Ownership/Sector</t>
  </si>
  <si>
    <t>Total (Northern Region)</t>
  </si>
  <si>
    <t>Total (Western Region)</t>
  </si>
  <si>
    <t>Total (Southern Region)</t>
  </si>
  <si>
    <t>Total (Eastern Region)</t>
  </si>
  <si>
    <t>Total (North- Eastern Region)</t>
  </si>
  <si>
    <t>State Share</t>
  </si>
  <si>
    <t>Central Nuclear</t>
  </si>
  <si>
    <t>Central Coal</t>
  </si>
  <si>
    <t>Central Hydro</t>
  </si>
  <si>
    <t>Central Lignite</t>
  </si>
  <si>
    <t>All Coal</t>
  </si>
  <si>
    <t>All Lignite</t>
  </si>
  <si>
    <t>All Hydro</t>
  </si>
  <si>
    <t>Sub-Total</t>
  </si>
  <si>
    <t>FY19</t>
  </si>
  <si>
    <t>FY20</t>
  </si>
  <si>
    <t>[ECT_Max_UF.xlsx]Seasonal Avg UF'!$Q$3</t>
  </si>
  <si>
    <t>[ECT_Max_UF.xlsx]MaxUF-Input2'!$B$11</t>
  </si>
  <si>
    <t>[ECT_Max_UF.xlsx]MaxUF-Input2'!$B$12</t>
  </si>
  <si>
    <t>[ECT_Max_UF.xlsx]MaxUF-Input2'!$B$13</t>
  </si>
  <si>
    <t>[ECT_Max_UF.xlsx]MaxUF-Input2'!$B$14</t>
  </si>
  <si>
    <t>[ECT_Max_UF.xlsx]Seasonal Avg UF'!$Q$6</t>
  </si>
  <si>
    <t>[ECT_Max_UF.xlsx]Seasonal Avg UF'!$Q$5</t>
  </si>
  <si>
    <t>[ECT_Max_UF.xlsx]Seasonal Avg UF'!$Q$7</t>
  </si>
  <si>
    <t>[ECT_Max_UF.xlsx]Seasonal Avg UF'!$Q$4</t>
  </si>
  <si>
    <t>EnergyConvTech</t>
  </si>
  <si>
    <t>ModelGeography</t>
  </si>
  <si>
    <t>SubGeography1</t>
  </si>
  <si>
    <t>Generation (MU)</t>
  </si>
  <si>
    <t>Conversion Efficiency</t>
  </si>
  <si>
    <t>1 kcal =</t>
  </si>
  <si>
    <t>CERC RE Tariff Regulations 2017</t>
  </si>
  <si>
    <t>CERC Tariff Regulations 2019</t>
  </si>
  <si>
    <t>Existing Gas Open Cycle</t>
  </si>
  <si>
    <t>Existing Gas Combined Cycle</t>
  </si>
  <si>
    <t>CEA General Review</t>
  </si>
  <si>
    <t>Direct Energy</t>
  </si>
  <si>
    <t>Bagasse Cogeneration</t>
  </si>
  <si>
    <t>New Gas/Liquid fuel based open cycle generating station</t>
  </si>
  <si>
    <t>New Gas/Liquid fuel based combined cycle generating station</t>
  </si>
  <si>
    <t>New Coal/Lignite based thermal gnerating station</t>
  </si>
  <si>
    <t>Existing Gas/Liquid fuel based combined cycle generating station</t>
  </si>
  <si>
    <t>CEA General Review Table 7.3</t>
  </si>
  <si>
    <t>Existing Coal/Lignite based thermal generating station</t>
  </si>
  <si>
    <t>Description</t>
  </si>
  <si>
    <t>Assumed Heat Rate for new supercritical plants - Indian coal</t>
  </si>
  <si>
    <t>LegacyFC (Rs/KW)</t>
  </si>
  <si>
    <t>LegacyVC (Rs/kWh)</t>
  </si>
  <si>
    <t>Rate</t>
  </si>
  <si>
    <t>Long term inflation target for USA. http://www.centralbanknews.info/p/inflation-targets.html</t>
  </si>
  <si>
    <t>Long term inflation target for India. http://www.centralbanknews.info/p/inflation-targets.html</t>
  </si>
  <si>
    <t>The stream of future fixed cost payments from the Coal Tariff Calculator in nominal Rs are converted to first year Rs using this inflation rate.</t>
  </si>
  <si>
    <t>Application</t>
  </si>
  <si>
    <t>Not used at this time.</t>
  </si>
  <si>
    <t>To convert FY18 prices to FY19 Rs</t>
  </si>
  <si>
    <t>2018-19 LegacyFC (2019 Rs/KW)</t>
  </si>
  <si>
    <t>2018-19 LegacyVC (2019 Rs/kWh)</t>
  </si>
  <si>
    <t>Adj LegacyFC (2019 Rs/KW)</t>
  </si>
  <si>
    <t>Adj LegacyVC (2019 Rs/kWh)</t>
  </si>
  <si>
    <t>CAGR of imported gas price is used. This is derived from World Bank Commodities Price Forecast (constant US dollars),  released in Oct 2020: http://pubdocs.worldbank.org/en/478961602618430208/CMO-October-2020-Forecasts.pdf. Average of natural gas price in US, Europe and Japan in 2019 was 6 $/mmbtu and forecasted price in 2030 is 5.5 $/mmbtu resulting in a CAGR of -0.79%. This CAGR is adjusted with $/INR inflation of 2% (difference between long term inflation target in US and India) using the formula (1+CAGR)*(1+2%)-1.
CAGR based on past CERC escalation rates for domestic gas price is very high at 8.84%. This is due to step increase in 2010-11 which more than double domestic gas price. However, after that, domestic gas price was more or less flat in real Rs, which also doesn't appear to be reasonable given that the govt plans to introduce market pricing to incentivise domestic gas production.</t>
  </si>
  <si>
    <t>Real Discount Rate</t>
  </si>
  <si>
    <t>Assumed</t>
  </si>
  <si>
    <t>Real discount rate</t>
  </si>
  <si>
    <t>constant Rs Lakhs</t>
  </si>
  <si>
    <t>constant Rs/KW</t>
  </si>
  <si>
    <t>'Coal Gas tariff calculator New+RM.xlsx'</t>
  </si>
  <si>
    <t>'RE_Tariff_and_Financial_Analysis_Tool_v2.2-WindSolarForRumi.xlsm'</t>
  </si>
  <si>
    <t>EG_SH</t>
  </si>
  <si>
    <t>EG_LH</t>
  </si>
  <si>
    <t>EG_BIOMASS</t>
  </si>
  <si>
    <t>EG_WIND</t>
  </si>
  <si>
    <t>EnergyCarrier</t>
  </si>
  <si>
    <t>STEAM_COAL</t>
  </si>
  <si>
    <t>INDIA</t>
  </si>
  <si>
    <t>NATGAS</t>
  </si>
  <si>
    <t>OtherVC</t>
  </si>
  <si>
    <t>EG_COAL</t>
  </si>
  <si>
    <t>EG_CCGT</t>
  </si>
  <si>
    <t>EG_OCGT</t>
  </si>
  <si>
    <t>EG_PHWR</t>
  </si>
  <si>
    <t>Assumed to be flat in real terms.</t>
  </si>
  <si>
    <t>Assumed to be flat in nominal terms since these are levelised costs.</t>
  </si>
  <si>
    <t>NewFC First Year</t>
  </si>
  <si>
    <t>InstYear</t>
  </si>
  <si>
    <t>Inflation Rate, Discount Rate</t>
  </si>
  <si>
    <t>Legacy FC Escalation</t>
  </si>
  <si>
    <t>FC Escalation by InstYear</t>
  </si>
  <si>
    <t>Real Levelised NewFC Inst FY19</t>
  </si>
  <si>
    <t>Real Levelised NewFC Inst FY21</t>
  </si>
  <si>
    <t>Based on CERC escalation rate between FY18 and FY19</t>
  </si>
  <si>
    <t>Assumed based on past CERC escalation rates for indexed capacity charge (O&amp;M escalation) between FY18 and FY19.</t>
  </si>
  <si>
    <t>New FC Escalation</t>
  </si>
  <si>
    <t>FC FY18-&gt;FY19</t>
  </si>
  <si>
    <t>VC FY18-&gt;FY19</t>
  </si>
  <si>
    <t>Escalation Rates</t>
  </si>
  <si>
    <t>Legacy VC and FC adjustment rates are used to convert FY18 costs to FY19 costs</t>
  </si>
  <si>
    <t>EG_COAL, EG_CCGT, EC_OCGT</t>
  </si>
  <si>
    <t>EG_CCGT, EG_OCGT</t>
  </si>
  <si>
    <t>EG_LH, EG_PHWR, EG_SH, EG_BIOMASS</t>
  </si>
  <si>
    <t>EG_SH, EG_BIOMASS</t>
  </si>
  <si>
    <t>EG_SOLARPV</t>
  </si>
  <si>
    <t>EG_SOLARPV, EG_WIND</t>
  </si>
  <si>
    <t>The above values need to be updated manually when the data for ECT_Max_UF parameter is changed</t>
  </si>
  <si>
    <t>Variable Cost Assumptions in FY19 Rs</t>
  </si>
  <si>
    <t>Statewise FCs and VCs based on Regulatory Orders</t>
  </si>
  <si>
    <t>EG_PHWR, EG_LH, EG_SH, EG_SOLARPV, EG_WIND</t>
  </si>
  <si>
    <t>Based on recently observed heat rates for supercritical units (MERC MSPGCL MYT Order 296 of 2019)</t>
  </si>
  <si>
    <t>Conversion efficiencies for technologies with physical input energy carriers (coal, gas and biomass) are determined based on recent station heat rates and norms</t>
  </si>
  <si>
    <t>Efficiencies for remaining technologies (with non-physical input energy carriers) are considered to be 100%</t>
  </si>
  <si>
    <t>OtherVC Real Escalation Rate</t>
  </si>
  <si>
    <t>FixedCost</t>
  </si>
  <si>
    <t>ModelYears</t>
  </si>
  <si>
    <t>VarCost</t>
  </si>
  <si>
    <t>ConvEff</t>
  </si>
  <si>
    <t>To estimate non-fuel (or other) variable costs, fuel costs are estimated and subtracted from estimated VCs of legacy capacity</t>
  </si>
  <si>
    <t>Tariff calculators used to get fixed cost stream up to project lifetime for each technology:</t>
  </si>
  <si>
    <t>2) First year of the project is the same year for which real prices are considered for the entire model and the costs (capex, opex) are entered in that year's currency value</t>
  </si>
  <si>
    <t>4) Nominal fixed cost streams are converted to real fixed cost streams in first year Rs (i.e., model currency year)</t>
  </si>
  <si>
    <t>Procedure for arriving at levelised real fixed costs for new coal, gas, solar and wind capacity</t>
  </si>
  <si>
    <t>5) Fixed cost streams are normalised to capacity terms (Rs/KW or Million Rs/GW)</t>
  </si>
  <si>
    <t>Procedure for arriving at levelised real fixed costs for other generation technologies</t>
  </si>
  <si>
    <t>1) Costs (capex, opex), interest rates, return on equity and other inputs are assumed for each technology (see table below)</t>
  </si>
  <si>
    <t>1) First fixed costs and real fixed cost eslacation rates are assumed (from the Assumptions sheet)</t>
  </si>
  <si>
    <t>2) The fixed cost stream is calculated using these</t>
  </si>
  <si>
    <t>3) Levelised fixed costs are calculated for the fixed cost stream using real discount rates and lifetimes</t>
  </si>
  <si>
    <t>6) Levelised fixed costs are calculated from these fixed cost streams using real discount rates and lifetimes</t>
  </si>
  <si>
    <t>GeographicGranularity</t>
  </si>
  <si>
    <t>TimeGranularity</t>
  </si>
  <si>
    <t>CRUDE</t>
  </si>
  <si>
    <t>MODELGEOGRAPHY</t>
  </si>
  <si>
    <t>YEAR</t>
  </si>
  <si>
    <t>SUBGEOGRAPHY1</t>
  </si>
  <si>
    <t>BIOGAS</t>
  </si>
  <si>
    <t>BIOMASS</t>
  </si>
  <si>
    <t>MS</t>
  </si>
  <si>
    <t>LPG</t>
  </si>
  <si>
    <t>ATF</t>
  </si>
  <si>
    <t>PP_OTHER</t>
  </si>
  <si>
    <t>COKING_COAL</t>
  </si>
  <si>
    <t>ELECTRICITY</t>
  </si>
  <si>
    <t>PPAC- ready reckoners</t>
  </si>
  <si>
    <t>Conversion Factors</t>
  </si>
  <si>
    <t>Table 1 : Weight to Volume Conversion</t>
  </si>
  <si>
    <t>Product</t>
  </si>
  <si>
    <t>Volume</t>
  </si>
  <si>
    <t>Barrel       (bbl)</t>
  </si>
  <si>
    <t>To convert Volume at 29.5° C  to Volume at 15° C multiply by</t>
  </si>
  <si>
    <t>(KL)</t>
  </si>
  <si>
    <t>Petrol</t>
  </si>
  <si>
    <t>Kerosene</t>
  </si>
  <si>
    <t>Light Diesel Oil</t>
  </si>
  <si>
    <t>Furnace Oil</t>
  </si>
  <si>
    <t>Crude Oil</t>
  </si>
  <si>
    <t xml:space="preserve">Calculations for Petrol and Diesel have been made on BS-IV norms </t>
  </si>
  <si>
    <t>Source: Indian Petroleum &amp; Natural Gas Statistics, MoP&amp;NG</t>
  </si>
  <si>
    <t xml:space="preserve">From PriceIndices.Xlsx </t>
  </si>
  <si>
    <t>FY21</t>
  </si>
  <si>
    <t>PCFE Continous Deflator  indec</t>
  </si>
  <si>
    <t>Energy Densities</t>
  </si>
  <si>
    <t>PJ / MT</t>
  </si>
  <si>
    <t>2020-21</t>
  </si>
  <si>
    <t>Rs / 14.2 kg. cylinder</t>
  </si>
  <si>
    <t xml:space="preserve">Delhi </t>
  </si>
  <si>
    <t xml:space="preserve">Kolkata </t>
  </si>
  <si>
    <t xml:space="preserve">Mumbai </t>
  </si>
  <si>
    <t>Chennai</t>
  </si>
  <si>
    <t>Average</t>
  </si>
  <si>
    <t xml:space="preserve">Price in Rs/kg, 2020 </t>
  </si>
  <si>
    <t>Price in Rs/kg, 2019 prices</t>
  </si>
  <si>
    <t>Market Determined Price (as per PAHAL Scheme)</t>
  </si>
  <si>
    <t>Info from PPAC (see PEC_Info-DEC_Taxation file)</t>
  </si>
  <si>
    <t>Price Build-up of Retail Selling Prices of Motor Spirit (Rs/litre) as on 01.04. 2020 (2019-2020)</t>
  </si>
  <si>
    <t>Kolkata</t>
  </si>
  <si>
    <t>Mumbai</t>
  </si>
  <si>
    <t>Average price Rs./lit  (4 metros)</t>
  </si>
  <si>
    <t>Price '000Rs/ton, 2020</t>
  </si>
  <si>
    <t>Price in FY19 prices '000 Rs/tonne</t>
  </si>
  <si>
    <t>Base Price</t>
  </si>
  <si>
    <t>Price Build-up of Retail Selling Prices of High Speed Diesel (HSD) (Rs/litre) as on 01.04. 2020 (2019-2020)</t>
  </si>
  <si>
    <t>Price in FY19 prices 000Rs/tonne</t>
  </si>
  <si>
    <t>Average (Rs/KL), 16.05.2021</t>
  </si>
  <si>
    <t>Price Rs/tonne, 16.05.2021</t>
  </si>
  <si>
    <t xml:space="preserve"> Rs/tonne in FY19 prices</t>
  </si>
  <si>
    <t>Freight etc.</t>
  </si>
  <si>
    <t>Base price excl. Excise, Cess, State Taxes &amp; levy</t>
  </si>
  <si>
    <t>Excise Duty and Cess (Note1)</t>
  </si>
  <si>
    <t>State Taxes &amp; Levies</t>
  </si>
  <si>
    <t>Total Tax Component</t>
  </si>
  <si>
    <t>Retail Selling Price Rs/KL</t>
  </si>
  <si>
    <t>Note 1 : Tax duty and levy calculated as per % share in table IV.13, Indian Petroleum &amp; Natural Gas Statistics 2019-20, MoPnG</t>
  </si>
  <si>
    <t>Below table is retained only for calculating Tax Ratios</t>
  </si>
  <si>
    <t xml:space="preserve">Price Build-up of Retail Selling Prices of ATF (Rs/KL) as on 01.04. 2020 - </t>
  </si>
  <si>
    <t>Tax ratios</t>
  </si>
  <si>
    <t>Base price excl.Excise, Cess, State Taxes &amp; levy</t>
  </si>
  <si>
    <t>Excise Duty and Cess</t>
  </si>
  <si>
    <t>Total Tax Component (FixedTaxOH)</t>
  </si>
  <si>
    <t>Table IV.13 : Indian Petroleum &amp; Natural Gas Statistics 2019-20, MoPnG</t>
  </si>
  <si>
    <t>www.petrobazaar.com</t>
  </si>
  <si>
    <t>Prices for Financial year 2019-20 from www.petrobazaar.com.</t>
  </si>
  <si>
    <t>LDO, SKO, FO</t>
  </si>
  <si>
    <t>Price per KL 01-04-2019, Note 1</t>
  </si>
  <si>
    <t>Average price per KL 2019-20</t>
  </si>
  <si>
    <t>Price Rs/tonne 2019-20</t>
  </si>
  <si>
    <t>Weighted price Rs/tonne, 2019-20</t>
  </si>
  <si>
    <t>Weighted price Rs/tonne 2019 prices</t>
  </si>
  <si>
    <t>LDO</t>
  </si>
  <si>
    <t>Kerosene (SKO)</t>
  </si>
  <si>
    <t>Fuel Oils(FO/LSHS/RFO), Note 2</t>
  </si>
  <si>
    <t>Petcoke price per MT</t>
  </si>
  <si>
    <t xml:space="preserve">Petroleum coke </t>
  </si>
  <si>
    <t>Other PP w/o Lubes, bitumen, wax &amp; Others</t>
  </si>
  <si>
    <t xml:space="preserve">1. As per note at the bottom of petrobazaar.com website, the above prices are the basic prices as per the publication. GST and other levies as applicable to be added. </t>
  </si>
  <si>
    <t>2. Price of Furnace oil is taken as representative price for FO, LSHS and RFO</t>
  </si>
  <si>
    <t xml:space="preserve">3. As Petroleum coke is a solid fuel, the pricing is not directly comparable and hence presently not included (caveat : it is &gt; 50% of production of other petro products) </t>
  </si>
  <si>
    <t xml:space="preserve">https://www2.deloitte.com/content/dam/Deloitte/in/Documents/energy-resources/in-enr-petroleum-tax-guide-noexp.pdf </t>
  </si>
  <si>
    <t>https://rbidocs.rbi.org.in/rdocs/Publications/PDFs/140TE74E725980E74CB987BB87D52853686D.PDF</t>
  </si>
  <si>
    <t>Crude imports, million bbl</t>
  </si>
  <si>
    <t>Import value Million USD</t>
  </si>
  <si>
    <t xml:space="preserve">Import value, Rs. Cr. </t>
  </si>
  <si>
    <t>Ave Exch rate Rs/USD</t>
  </si>
  <si>
    <t>Crude price ($/bbl)</t>
  </si>
  <si>
    <t>Crude Oil Price (Rs/bbl)</t>
  </si>
  <si>
    <t>Crude Oil Price (Rs/tonne)</t>
  </si>
  <si>
    <t>Value of Domestic crude, Rs cr.</t>
  </si>
  <si>
    <t>Customs duty on Imp crude (Rs/tonne)</t>
  </si>
  <si>
    <t>Customs duty raised, Rs cr.</t>
  </si>
  <si>
    <t>Royalty @10% on Dom crude, cr.</t>
  </si>
  <si>
    <t>Cenvat duty on Dom crude (Rs/tonne)</t>
  </si>
  <si>
    <t>Cenvat duty, cr.</t>
  </si>
  <si>
    <t>OID Cess @20% of oil value, Rs cr.</t>
  </si>
  <si>
    <t xml:space="preserve">Royalties </t>
  </si>
  <si>
    <t>Basic Customs duty (Rs/tonne)</t>
  </si>
  <si>
    <t>NCCD (Rs/tonne)</t>
  </si>
  <si>
    <t>Basic Cenvat duty (Rs/tonne)</t>
  </si>
  <si>
    <t>Cess - 20% 0n basic cenvat</t>
  </si>
  <si>
    <t xml:space="preserve">Basic customs duty (%) </t>
  </si>
  <si>
    <t>Total value of domestic crude incl taxes, Rs cr.</t>
  </si>
  <si>
    <t>Total value of imported crude incl duty, Rs cr.</t>
  </si>
  <si>
    <t xml:space="preserve">Onland </t>
  </si>
  <si>
    <t xml:space="preserve">Shallow </t>
  </si>
  <si>
    <t xml:space="preserve">Oil </t>
  </si>
  <si>
    <t>Mode</t>
  </si>
  <si>
    <t>Offshore</t>
  </si>
  <si>
    <t>Onshore</t>
  </si>
  <si>
    <t xml:space="preserve">Offshore &amp; Onshore </t>
  </si>
  <si>
    <t xml:space="preserve">Refer NOTES Below - </t>
  </si>
  <si>
    <t>on base price</t>
  </si>
  <si>
    <t>Compass International Benchmarks</t>
  </si>
  <si>
    <t>Loan Tenure</t>
  </si>
  <si>
    <t>Months</t>
  </si>
  <si>
    <t>All values taken from battery costs file (EST_Parameters)</t>
  </si>
  <si>
    <t>USD per barrel (bpd)</t>
  </si>
  <si>
    <t>barrels / tonne</t>
  </si>
  <si>
    <t>Interest Rate</t>
  </si>
  <si>
    <t>Capex benchmarks</t>
  </si>
  <si>
    <t>Min</t>
  </si>
  <si>
    <t>Max</t>
  </si>
  <si>
    <t xml:space="preserve">SE Asia 125K bpd refinery </t>
  </si>
  <si>
    <t>bpd</t>
  </si>
  <si>
    <t>2019 INR/USD</t>
  </si>
  <si>
    <t xml:space="preserve">Opex </t>
  </si>
  <si>
    <t>As assumed in Max_CUF</t>
  </si>
  <si>
    <t>50000 bpd refinery</t>
  </si>
  <si>
    <t>Capex of 50000 bpd refinery</t>
  </si>
  <si>
    <t>tpd</t>
  </si>
  <si>
    <t>Annual opex as share of overnight capex</t>
  </si>
  <si>
    <t>Overnight capex of refinery of capacity</t>
  </si>
  <si>
    <t>USD</t>
  </si>
  <si>
    <t>INR cr</t>
  </si>
  <si>
    <t>Annualized capex cost (Million INR)</t>
  </si>
  <si>
    <t>549.7 cr</t>
  </si>
  <si>
    <t>Annual opex (Million INR)</t>
  </si>
  <si>
    <t>20.77 cr</t>
  </si>
  <si>
    <t>570.53 cr.</t>
  </si>
  <si>
    <t>Energy input in yr</t>
  </si>
  <si>
    <t>Energy output in yr</t>
  </si>
  <si>
    <t>Total cost (Million ₹)</t>
  </si>
  <si>
    <t>https://pib.gov.in/PressRelease_MoPNG_03July2019</t>
  </si>
  <si>
    <t>https://energy.economictimes.indiatimes.com/news/oil-and-gas/indias-biggest-oil-refinery-on-west-coast-to-cost-30-bn/53031233</t>
  </si>
  <si>
    <t>Output MT</t>
  </si>
  <si>
    <t>Million INR / MT (INR / tonne)</t>
  </si>
  <si>
    <t>MMTPA</t>
  </si>
  <si>
    <t>billion USD</t>
  </si>
  <si>
    <t>million USD</t>
  </si>
  <si>
    <t>INR cr.</t>
  </si>
  <si>
    <t>Cost mil USD/MMTPA</t>
  </si>
  <si>
    <t>Rs. Cr. /MMTPA</t>
  </si>
  <si>
    <t>Proposed new projects</t>
  </si>
  <si>
    <t>West coast Refinery</t>
  </si>
  <si>
    <t>CPCL Nagapattinam</t>
  </si>
  <si>
    <t>IOCL Haldia</t>
  </si>
  <si>
    <t>IOCL Barauni</t>
  </si>
  <si>
    <t>IOCL Gujarat</t>
  </si>
  <si>
    <t>IOCL Mathura</t>
  </si>
  <si>
    <t>IOCL Panipat</t>
  </si>
  <si>
    <t>HPCL, Visakh</t>
  </si>
  <si>
    <t>HPCL, Mumbai</t>
  </si>
  <si>
    <t xml:space="preserve">Weighted average = </t>
  </si>
  <si>
    <t>Rs/ MMTPA</t>
  </si>
  <si>
    <t>This is in line with the Compass International benchmark.</t>
  </si>
  <si>
    <t>Se can assume the ballpark figure as 3500 cr / MMTPA as the Fixed cst.</t>
  </si>
  <si>
    <t>Million Rs / MTPA</t>
  </si>
  <si>
    <t>Million Rs/MT</t>
  </si>
  <si>
    <t>Please note that in the final CSV the units are 'Million Rs/MT (million tonne) which is the same as Rs /tonne</t>
  </si>
  <si>
    <t>RF_LPG</t>
  </si>
  <si>
    <t>Calendar Year</t>
  </si>
  <si>
    <t>Weighted Crude Price with tax (Rs/tonne) in 2019 prices</t>
  </si>
  <si>
    <t>Price of LPG Rs/tonne in 2019 prices</t>
  </si>
  <si>
    <t>Price of MS Rs/tonne in 2019 prices</t>
  </si>
  <si>
    <t>Price of HSD Rs/tonne in 2019 prices</t>
  </si>
  <si>
    <t>Price of ATF Rs/tonne in  2019 prices</t>
  </si>
  <si>
    <t>Price of Other PP Rs/tonne in  2019 prices</t>
  </si>
  <si>
    <t>RF_MS</t>
  </si>
  <si>
    <t>RF_HSD</t>
  </si>
  <si>
    <t>RF_ATF</t>
  </si>
  <si>
    <t>RF_OTHERPP</t>
  </si>
  <si>
    <t>Difference between crude &amp; product price</t>
  </si>
  <si>
    <t>Var Cost to be attributed to the product</t>
  </si>
  <si>
    <t>Conversion efficiency of refineries</t>
  </si>
  <si>
    <t>See sheet "CRUDE &amp; NATGAS" in PEC_ProdImpConstraints for source of this value</t>
  </si>
  <si>
    <t>Region-wise ET-wise Fixed Costs in FY20 (in 2019 Rs) based on regulatory orders</t>
  </si>
  <si>
    <t>Additional Fixed Costs (e.g., installation of Pollution Control Equipment due to environmental norms)</t>
  </si>
  <si>
    <t>Region-wise ET-wise Fixed Costs in FY20 (in 2019 Rs) including additional fixed costs</t>
  </si>
  <si>
    <t>PCE Overnight Cost</t>
  </si>
  <si>
    <t>LegacyRemainShare</t>
  </si>
  <si>
    <t>Adjusted PCE Cost</t>
  </si>
  <si>
    <t>Rs/KW</t>
  </si>
  <si>
    <t>Installation of Pollution Control Equipment (PCE) to meet environmental norms</t>
  </si>
  <si>
    <t>Interest rate</t>
  </si>
  <si>
    <t>Loan period</t>
  </si>
  <si>
    <t>PRS</t>
  </si>
  <si>
    <t>Pessimistic Recovery Scenario (PRS)</t>
  </si>
  <si>
    <t>Reference Scenario (Ref)</t>
  </si>
  <si>
    <t>CERC Tariff Regulations-2019, Pg 102 Clause 49(A)</t>
  </si>
  <si>
    <t>Source:</t>
  </si>
  <si>
    <t>Apr'16</t>
  </si>
  <si>
    <t>Mar'17</t>
  </si>
  <si>
    <t>Apr'17</t>
  </si>
  <si>
    <t>Mar'18</t>
  </si>
  <si>
    <t>Apr'18</t>
  </si>
  <si>
    <t>Mar'19</t>
  </si>
  <si>
    <t>Installed Capacity(MW)</t>
  </si>
  <si>
    <t>CUF(%)</t>
  </si>
  <si>
    <t>MaxAnnualUF</t>
  </si>
  <si>
    <t>Annual Max Normative Availability Factor</t>
  </si>
  <si>
    <t>Constrained by day-slice wise CUFs, so maximum annual CUF is just a placeholder</t>
  </si>
  <si>
    <t>Constrained by seasonal availability - so maximum annual availability is just a placeholder</t>
  </si>
  <si>
    <t>Perspectives on Indian Energy based on Rumi (PIER)</t>
  </si>
  <si>
    <t>Prayas (Energy Group)</t>
  </si>
  <si>
    <t>Release date:</t>
  </si>
  <si>
    <t xml:space="preserve">Contact: </t>
  </si>
  <si>
    <t>energy.model@prayaspune.org</t>
  </si>
  <si>
    <t xml:space="preserve">Suggested Citations </t>
  </si>
  <si>
    <t>PIER Git repo:</t>
  </si>
  <si>
    <t xml:space="preserve">Link to PIER Git </t>
  </si>
  <si>
    <r>
      <t xml:space="preserve">Prayas (Energy Group). (2021, October). PIER: Modelling the Indian energy system through the 2020s. </t>
    </r>
    <r>
      <rPr>
        <i/>
        <sz val="11"/>
        <color rgb="FF000000"/>
        <rFont val="Arial"/>
        <family val="2"/>
      </rPr>
      <t>Perspectives on Indian Energy based on Rumi (PIER)</t>
    </r>
    <r>
      <rPr>
        <sz val="11"/>
        <color rgb="FF000000"/>
        <rFont val="Arial"/>
        <family val="2"/>
      </rPr>
      <t>. https://www.prayaspune.org/peg/publications/item/512</t>
    </r>
  </si>
  <si>
    <t>PIER report:</t>
  </si>
  <si>
    <t xml:space="preserve">Link to PIER Report </t>
  </si>
  <si>
    <t>Rumi Git repo:</t>
  </si>
  <si>
    <t xml:space="preserve">Link to Rumi Git </t>
  </si>
  <si>
    <t>Prayas (Energy Group). (2021, October). Rumi: An open-source energy systems modelling platform developed by Prayas (Energy Group). https://github.com/prayas-energy/Rumi</t>
  </si>
  <si>
    <t>Source workbook</t>
  </si>
  <si>
    <t>Folder</t>
  </si>
  <si>
    <t xml:space="preserve">Sl no. </t>
  </si>
  <si>
    <t>Parameter files</t>
  </si>
  <si>
    <t xml:space="preserve">Documentation </t>
  </si>
  <si>
    <t>ECT_EfficiencyCostMaxAnnualUF.xlsx</t>
  </si>
  <si>
    <t>Global Data/Supply/Parameters/Technologies</t>
  </si>
  <si>
    <t>ECT_EfficiencyCostMaxAnnualUF.csv</t>
  </si>
  <si>
    <t>Royalty rates for oil and gas are as per Petroleum Tax guide White paper 2018 (10(a)), which is a compilation of prevailing Rules.</t>
  </si>
  <si>
    <t>MoPNG, Petroleum and Natural Gas Statistics, 2018-19, 2019-20</t>
  </si>
  <si>
    <t>https://mopng.gov.in/en/petroleum-statistics/indian-png-statistics</t>
  </si>
  <si>
    <t>RBI, INR Exchange rate against major currencies</t>
  </si>
  <si>
    <t>The 'Maps' sheet consists of common parameters, definitions and conversion factors that are used in the rest of the workbook.</t>
  </si>
  <si>
    <t>Cost assumptions for electricity generation ECT</t>
  </si>
  <si>
    <t>This sheet consists of assumptions made for determining costs of electricity generation. Additonal notes can be found in the relevant sections below.</t>
  </si>
  <si>
    <t>https://www.rbi.org.in/scripts/PublicationsView.aspx?id=19028</t>
  </si>
  <si>
    <t>RBI, WPI base 2011-12</t>
  </si>
  <si>
    <t>http://www.centralbanknews.info/p/inflation-targets.html</t>
  </si>
  <si>
    <t>Central bank news website for long term inflation targets</t>
  </si>
  <si>
    <t>CERC, escalation rates for electricity generation projects</t>
  </si>
  <si>
    <t>https://cercind.gov.in/escalation_rates.html</t>
  </si>
  <si>
    <t>FC Escalation Rates by InstYear are applied to arrive at real levelised costs of new capacity based on installation year</t>
  </si>
  <si>
    <t>Real Fixed Cost Escalation Rates</t>
  </si>
  <si>
    <t>Based on assumed capital cost of Rs 4 Cr/MW in FY20 in 2018-19 Rs.</t>
  </si>
  <si>
    <t>Based on assumed capital cost of Rs 7 Cr/MW in FY20 in 2018-19 Rs.</t>
  </si>
  <si>
    <t>Based on assumed capital cost of Rs 8 Cr/MW in FY20 in 2018-19 Rs</t>
  </si>
  <si>
    <t>Based on assumed capital cost of Rs 7 Cr/MW in FY20 in 2018-19 Rs based on EIA's estimates (see sheet 'NewGas').</t>
  </si>
  <si>
    <t>Based on assumed capital cost of Rs 5 Cr/MW in FY20 in 2018-19 Rs based on a Wartsila publication (see sheet 'NewGas').</t>
  </si>
  <si>
    <t>Assumed to be flat in nominal terms. See sheet 'NewHydro' for approved AFC of 3 recent large hydro projects.</t>
  </si>
  <si>
    <r>
      <t xml:space="preserve">Years </t>
    </r>
    <r>
      <rPr>
        <sz val="11"/>
        <rFont val="Calibri"/>
        <family val="2"/>
      </rPr>
      <t>→</t>
    </r>
  </si>
  <si>
    <t>In PIER, variable costs are applicable only for coal and gas based power plants.</t>
  </si>
  <si>
    <t>EG_PHWR, EG_SH, EG_BIOMASS</t>
  </si>
  <si>
    <t>VC converted to FC based on annual utilisation factor</t>
  </si>
  <si>
    <t>Based on approved AFC for Rampur HEP (412 MW) of Rs 696.5008 Cr for 2018-19 vide CERC Order in Case 315 of 2018. See sheet titled 'NewHydro' for details</t>
  </si>
  <si>
    <t xml:space="preserve">First year fixed costs are escalated based on the escalation rates </t>
  </si>
  <si>
    <t>Legacy Fixed Costs (FCs) and Variable Costs (VCs) are gathered from state-wise tariff orders for in the worksheets named by state code, i.e., TS, AP,  MH, BR, GJ, RJ, UP, MP, WB, PB, TN, AS, HP and UT.</t>
  </si>
  <si>
    <t>The capacities in the tariff order are based on contracts. Instead, legacy capacity is taken from CEA's installed capacity report (see worksheet 'Capacity') and pulled into the following table (column F).</t>
  </si>
  <si>
    <t>These costs are assembled in the following table (columns G and H). For states that are not in the above list, FC and VC are taken from neighbouring states (see column I).</t>
  </si>
  <si>
    <t>For some states, costs are for the year 2017-18. These are adjusted to 2018-19 costs in 2019 Rs (column J and K)</t>
  </si>
  <si>
    <t>For technologies other than coal and gas, variable costs are converted into annualised fixed costs using the utilisation factor (columns M and N)</t>
  </si>
  <si>
    <t>Based on the state-wise/region-wise share of domestic fuel, separate VCs based on domestic and imported fuel are arrived at.</t>
  </si>
  <si>
    <t>Subsequently, any additional fixed costs are added, specifically, costs due to installation of pollution control equipment</t>
  </si>
  <si>
    <t>Purpose of this worksheet</t>
  </si>
  <si>
    <t>However, it is tricky to estimate coal other variable costs based on input fuel costs + taxes + transit costs since transit costs are not known in advance.</t>
  </si>
  <si>
    <t>Hence, the following process is followed to arrive at an approximate "Other VC":</t>
  </si>
  <si>
    <t>Other variable costs are assumed to be 0 for energy carriers other than coal and gas (even biomass).</t>
  </si>
  <si>
    <t xml:space="preserve">1) Other variable costs are considered to be the same for domestic and imported fuel based power generation, for both coal and gas </t>
  </si>
  <si>
    <r>
      <t xml:space="preserve">2) Based on FoR's 2021 </t>
    </r>
    <r>
      <rPr>
        <i/>
        <sz val="11"/>
        <color theme="1"/>
        <rFont val="Calibri"/>
        <family val="2"/>
        <scheme val="minor"/>
      </rPr>
      <t>Report on Analysis of Factors Impacting Retail Tariff and Measures to Address Them</t>
    </r>
    <r>
      <rPr>
        <sz val="11"/>
        <color theme="1"/>
        <rFont val="Calibri"/>
        <family val="2"/>
        <scheme val="minor"/>
      </rPr>
      <t>, other variable cost is around 12% for a non-pithead plant (Sec 2.1.1), which is about 0.25 Rs/kWh.</t>
    </r>
  </si>
  <si>
    <t>3) Transit cost for gas is assumed to be only pipeline costs, i.e., no distribution costs, and considered to be same across regions.</t>
  </si>
  <si>
    <t>4) Bottom up calculation of other variable costs for gas power plants comes to 0.29 Rs/kWh. (domestic fuel VC 2.46 minus bottom up fuel cost 2.17 = 0.29)</t>
  </si>
  <si>
    <t>5) Hence, the other variable cost is approximated to Rs 0.25/kWh for both coal and gas power plants.</t>
  </si>
  <si>
    <t>The worksheets related to refineries are in the sheets subsequent to the Maps sheet and up to the 'ECT_EfficiencyCost_RF' sheet which summarises the four inputs (listed above) for refineries.</t>
  </si>
  <si>
    <t>Based on CUF during the years FY17 to FY19</t>
  </si>
  <si>
    <t>Availability</t>
  </si>
  <si>
    <t>Refinery  assumed to be 100% available</t>
  </si>
  <si>
    <t>Availability/CUF of nuclear capacity</t>
  </si>
  <si>
    <t>Avg CUF</t>
  </si>
  <si>
    <t>CEA monthly generation report (opm 1) for March 2017</t>
  </si>
  <si>
    <t>CEA monthly generation report (opm 1) for March 2018</t>
  </si>
  <si>
    <t>CEA monthly generation report (opm 1) for March 2019</t>
  </si>
  <si>
    <t>CEA Monthly installed capacity report</t>
  </si>
  <si>
    <t>The primary worksheets with assumptions and input data related to electricity generation are in the 'Assumptions_EG', 'Levelised_Fixed_Costs', 'Legacy_FC_VC' and 'ConvEff' worksheets. These inputs are then assembled in the necessary format in 'Legacy_FC_Input_xxx', 'NewFC_Input', 'OtherVC_Input' and 'ConvEff_Input' worksheets.</t>
  </si>
  <si>
    <t>MaxAnnualUF sheet has the assumptions related to annual utilisation factor for both refining and electricity generation.</t>
  </si>
  <si>
    <t>All of these inputs are merged using power queries in the final csv for ECT_EfficiencyCostMaxAnnualUF for Reference and PRS scenarios.</t>
  </si>
  <si>
    <t>Crude imports, '000 tonnes</t>
  </si>
  <si>
    <t>Domestic Production, '000 tonnes</t>
  </si>
  <si>
    <t>Total Imported crude, tonnes</t>
  </si>
  <si>
    <t>Total Domestic production, tonnes</t>
  </si>
  <si>
    <t>Price of Dom crude at refinery gate, Rs /tonne</t>
  </si>
  <si>
    <t>Price of Imp crude at refinery gate, Rs /tonne</t>
  </si>
  <si>
    <t>Weighted price of crude at refinery gate, Rs/tonne</t>
  </si>
  <si>
    <t>Basic Price Rs/tonne</t>
  </si>
  <si>
    <t>Royalty, Rs/tonne</t>
  </si>
  <si>
    <t>OID Cess, Rs/tonne</t>
  </si>
  <si>
    <t>Sales Tax/VAT/CST, Rs/tonne</t>
  </si>
  <si>
    <t>Total prodn cost Rs/tonne</t>
  </si>
  <si>
    <t>Crude oil prodn, '000 tonnes</t>
  </si>
  <si>
    <t>Page 25 : Production of Crude oil and Condensate (Financial year-wise) PNG Stats 2019-20</t>
  </si>
  <si>
    <t>Petroleum and Natural Gas (PNG) statistics 2019-20 (Table I.4, Pg. 6; Table II.11, pg. 25) and PPAC export import data for crude</t>
  </si>
  <si>
    <t>Page 81 : Weighted Average Crude oil Prices, Rs/tonne</t>
  </si>
  <si>
    <t>Additional customs duty (CVD) Rs/tonne</t>
  </si>
  <si>
    <t>As on 01.04.2020</t>
  </si>
  <si>
    <t>Table IV.11 : Indian Petroleum &amp; Natural Gas Statistics 2019-20, MoPnG</t>
  </si>
  <si>
    <t>Table IV.10: Indian Petroleum &amp; Natural Gas Statistics 2019-20, MoPnG</t>
  </si>
  <si>
    <r>
      <t xml:space="preserve">Price Build-up of Retail Selling Prices of ATF </t>
    </r>
    <r>
      <rPr>
        <b/>
        <sz val="12"/>
        <rFont val="Calibri"/>
        <family val="2"/>
        <scheme val="minor"/>
      </rPr>
      <t>(Rs/KL)</t>
    </r>
    <r>
      <rPr>
        <sz val="12"/>
        <rFont val="Calibri"/>
        <family val="2"/>
        <scheme val="minor"/>
      </rPr>
      <t xml:space="preserve"> as on 16.05.2021 - </t>
    </r>
    <r>
      <rPr>
        <b/>
        <sz val="12"/>
        <rFont val="Calibri"/>
        <family val="2"/>
        <scheme val="minor"/>
      </rPr>
      <t>IOCL</t>
    </r>
    <r>
      <rPr>
        <sz val="12"/>
        <rFont val="Calibri"/>
        <family val="2"/>
        <scheme val="minor"/>
      </rPr>
      <t xml:space="preserve"> website</t>
    </r>
  </si>
  <si>
    <t>IOC website, ATF price build up as on 16 May 2021</t>
  </si>
  <si>
    <t>Production '000 tones 2019-20</t>
  </si>
  <si>
    <t>Product Production data for 2019-20 from PNG Statistics 2019-20 Table III.7 Pg 45</t>
  </si>
  <si>
    <t xml:space="preserve"> OTHER_PP - Other Petroleum Products</t>
  </si>
  <si>
    <t>OTHER_PP - Other Petroleum Products</t>
  </si>
  <si>
    <t>Prices for other petroleum products for financial year 2019-20</t>
  </si>
  <si>
    <t>Capex costs of upcoming refining capacity</t>
  </si>
  <si>
    <t>The FCs and VCs are gathered from regulatory orders (in subsequent state-wise worksheets)</t>
  </si>
  <si>
    <t>Conversion Efficiencies</t>
  </si>
  <si>
    <t>Several state and central electricity regulatory commission orders/regulations</t>
  </si>
  <si>
    <t>EIA, Generation capacity capital cost estimates, Version 2016</t>
  </si>
  <si>
    <t>CEA, All India Electricity Statistics-General Review from various years</t>
  </si>
  <si>
    <t>MNRE, State-wise installed capacity of RE sources</t>
  </si>
  <si>
    <t>CEA Monthly RE Generation Report-March 2018</t>
  </si>
  <si>
    <t>This worksheet is used to arrive at the region-wise technology-wise fixed and variable costs in FY21 for legacy electricity generation capacity</t>
  </si>
  <si>
    <t>This workbook is used to generate the input data for four parameters related to energy conversion technologies (ECTs), namely Conversion Efficiency, Fixed Cost, Variable Cost and MaxAnnualUF. Currently, the two types of ECTs supported in PIER are refining and electricity generation.</t>
  </si>
  <si>
    <t>This workbook contains PowerQueries, please refresh them in the order they appear in 'Data-&gt;Show Queries'</t>
  </si>
  <si>
    <t>(Metric Tonne)</t>
  </si>
  <si>
    <t>These are physical constants (more or less) and so shouldn't change. But, they should be in sync with common spec</t>
  </si>
  <si>
    <t xml:space="preserve">Assumed to drop at -2% in real terms. This is fairly conservative, compared to international trends / predictions. </t>
  </si>
  <si>
    <t xml:space="preserve">Assumed to drop at -1% in real terms. This is fairly conservative, compared to international trends / predictions. </t>
  </si>
  <si>
    <t>Fixed Cost Assumptions for new capacity (Prices in FY19 Rs, Units: Million Rs/GW or Rs/KW)</t>
  </si>
  <si>
    <t>For the rest of the technologies, the small variable costs are folded into fixed costs.</t>
  </si>
  <si>
    <t xml:space="preserve">AFC assumed to be constant in nominal terms. 
Note: There will likely be a steep drop in AFC after debt repayment, but not considered for now since new projects will not complete debt repayment before model end year (2031). </t>
  </si>
  <si>
    <t xml:space="preserve">Currently, FY20 costs are used for FY21 in LegacyFC_Input_xxx sheets. </t>
  </si>
  <si>
    <t>Efficiencies are determined based on vintage (installation year), and are assumed to constant throughout the model years, for a given vintage</t>
  </si>
  <si>
    <t>Nationwide average VC for the states for which data was collected. Assumed this to be the VC in 2018-19 in 2018-19 Rs.</t>
  </si>
  <si>
    <r>
      <t>Based on levelised tariff as per CERC RE Tariff Order 2019-20 (Pg 35) which is as follows: 
HP, Uttarakhand, WB and NE States (Below 5MW) 5.27 
HP, Uttarakhand, WB and NE States (5MW to 25 MW) 4.44 
Other States (Below 5 MW) 6.23 
Other States (5 MW to 25 MW) 5.21 
Assumed VC of Rs 5.25/unit in 2018-19</t>
    </r>
    <r>
      <rPr>
        <sz val="11"/>
        <rFont val="Calibri"/>
        <family val="2"/>
        <scheme val="minor"/>
      </rPr>
      <t xml:space="preserve"> in 2018-19 Rs</t>
    </r>
  </si>
  <si>
    <r>
      <t xml:space="preserve">Based on levelised tariff as per CERC RE Tariff Order 2019-20 (Pg 35), biomass projects are ~Rs 8/kWh, bagasse projects are at ~Rs 6.5/kWh and bagasse assumed to be 75% of all biomass capacity.
Weighted average results in Rs 6.88/unit. Assumed VC of Rs 6.88/unit in </t>
    </r>
    <r>
      <rPr>
        <sz val="11"/>
        <rFont val="Calibri"/>
        <family val="2"/>
        <scheme val="minor"/>
      </rPr>
      <t>2018-19 in 2018-19 Rs</t>
    </r>
  </si>
  <si>
    <t>3) These inputs are fed to the coal, gas and RE tariff tools developed by Prayas (Energy Group), to get fixed cost streams in nominal terms. These are derived from the "RE tariff and financial analysis tool" publicly available at https://www.prayaspune.org/peg/publications/item/277.</t>
  </si>
  <si>
    <t>Prayas (Energy Group), RE Tariff and Financial Analysis Tool Version 2</t>
  </si>
  <si>
    <t>https://www.prayaspune.org/peg/publications/item/277</t>
  </si>
  <si>
    <t>2300 kCal/kWh</t>
  </si>
  <si>
    <t>Heat Rate of existing coal-fired plants in 2018-19</t>
  </si>
  <si>
    <t>Fuel Consumption of Coal/Lignite Power Stations (Million Metric Tonnes)</t>
  </si>
  <si>
    <t>Energy Content (Billion kCal)</t>
  </si>
  <si>
    <t>Average Calorific Value (kCal/kg)</t>
  </si>
  <si>
    <t>Electricity generated (TWh)</t>
  </si>
  <si>
    <t>Combined</t>
  </si>
  <si>
    <t>Table 7.3: SALIENT OPERATING DATA FOR COAL/LIGNITE BASED ELECTRICITY GENERATING PLANTS (UTILITIES) 2018-19</t>
  </si>
  <si>
    <t>Source: CEA All India Electricity Statistics 2018-19</t>
  </si>
  <si>
    <t>Capital cost (2019 Rs Cr/MW)</t>
  </si>
  <si>
    <t>EIA</t>
  </si>
  <si>
    <t xml:space="preserve">Heat Rate (kCal/kWh) </t>
  </si>
  <si>
    <t>Natural Gas Combined Cycle (NGCC)</t>
  </si>
  <si>
    <t>Sources for coal and gas capital costs are in the sheet 'NewCoalGas'.</t>
  </si>
  <si>
    <t>Inputs for electricity generation technologies are derived from several data sources, which are detailed in subsequent worksheets (many of them with state specific generation cost data) starting from the sheet named 'Capacity' until the last sheet named 'NewCoalGas'.</t>
  </si>
  <si>
    <t>Note: Royalty on crude production is considered to be a simple average of royalties for onland and shallow offshore</t>
  </si>
  <si>
    <t>Total annual cost (Million INR/MMTPA)</t>
  </si>
  <si>
    <t>https://compassinternational.net/wp-content/uploads/2018/02/TR_Capex.pdf</t>
  </si>
  <si>
    <t xml:space="preserve">Compass International Benchmarks of Refinery CAPEX &amp; OPEX </t>
  </si>
  <si>
    <t>Scenarios/S2_PRS/Supply/Parameters/Technologies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</si>
</sst>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6" formatCode="&quot;₹&quot;\ #,##0;[Red]&quot;₹&quot;\ \-#,##0"/>
    <numFmt numFmtId="8" formatCode="&quot;₹&quot;\ #,##0.00;[Red]&quot;₹&quot;\ \-#,##0.00"/>
    <numFmt numFmtId="43" formatCode="_ * #,##0.00_ ;_ * \-#,##0.00_ ;_ * &quot;-&quot;??_ ;_ @_ "/>
    <numFmt numFmtId="164" formatCode="_(* #,##0.00_);_(* \(#,##0.00\);_(* &quot;-&quot;??_);_(@_)"/>
    <numFmt numFmtId="165" formatCode="0.0%"/>
    <numFmt numFmtId="166" formatCode="_(* #,##0_);_(* \(#,##0\);_(* &quot;-&quot;??_);_(@_)"/>
    <numFmt numFmtId="167" formatCode="0.000"/>
    <numFmt numFmtId="168" formatCode="0.0"/>
    <numFmt numFmtId="169" formatCode="#,##0.00;[Red]#,##0.00"/>
    <numFmt numFmtId="170" formatCode="0.0000"/>
    <numFmt numFmtId="171" formatCode="_ * #,##0.0000_ ;_ * \-#,##0.0000_ ;_ * &quot;-&quot;??_ ;_ @_ "/>
    <numFmt numFmtId="172" formatCode="0.00000000"/>
    <numFmt numFmtId="173" formatCode="_ * #,##0_ ;_ * \-#,##0_ ;_ * &quot;-&quot;??_ ;_ @_ "/>
    <numFmt numFmtId="174" formatCode="mmmm\ yyyy"/>
  </numFmts>
  <fonts count="72" x14ac:knownFonts="1">
    <font>
      <sz val="11"/>
      <color theme="1"/>
      <name val="Calibri"/>
      <family val="2"/>
      <scheme val="minor"/>
    </font>
    <font>
      <b/>
      <sz val="11"/>
      <color theme="1"/>
      <name val="Calibri"/>
      <family val="2"/>
      <scheme val="minor"/>
    </font>
    <font>
      <b/>
      <i/>
      <sz val="11"/>
      <color theme="1"/>
      <name val="Calibri"/>
      <family val="2"/>
      <scheme val="minor"/>
    </font>
    <font>
      <i/>
      <sz val="11"/>
      <color theme="1"/>
      <name val="Calibri"/>
      <family val="2"/>
      <scheme val="minor"/>
    </font>
    <font>
      <sz val="11"/>
      <color rgb="FFFF0000"/>
      <name val="Calibri"/>
      <family val="2"/>
      <scheme val="minor"/>
    </font>
    <font>
      <u/>
      <sz val="11"/>
      <color theme="10"/>
      <name val="Calibri"/>
      <family val="2"/>
      <scheme val="minor"/>
    </font>
    <font>
      <sz val="11"/>
      <name val="Calibri"/>
      <family val="2"/>
      <scheme val="minor"/>
    </font>
    <font>
      <sz val="11"/>
      <color theme="1"/>
      <name val="Calibri"/>
      <family val="2"/>
      <scheme val="minor"/>
    </font>
    <font>
      <b/>
      <sz val="11"/>
      <color rgb="FFFA7D00"/>
      <name val="Calibri"/>
      <family val="2"/>
      <scheme val="minor"/>
    </font>
    <font>
      <sz val="9"/>
      <color indexed="81"/>
      <name val="Tahoma"/>
      <family val="2"/>
    </font>
    <font>
      <b/>
      <sz val="9"/>
      <color indexed="81"/>
      <name val="Tahoma"/>
      <family val="2"/>
    </font>
    <font>
      <sz val="11"/>
      <color theme="0" tint="-0.249977111117893"/>
      <name val="Calibri"/>
      <family val="2"/>
      <scheme val="minor"/>
    </font>
    <font>
      <sz val="10"/>
      <name val="Arial"/>
      <family val="2"/>
    </font>
    <font>
      <sz val="10"/>
      <name val="Calibri"/>
      <family val="2"/>
      <scheme val="minor"/>
    </font>
    <font>
      <sz val="11"/>
      <color rgb="FF000000"/>
      <name val="Calibri"/>
      <family val="2"/>
      <scheme val="minor"/>
    </font>
    <font>
      <sz val="11"/>
      <color theme="2"/>
      <name val="Calibri"/>
      <family val="2"/>
      <scheme val="minor"/>
    </font>
    <font>
      <b/>
      <sz val="11"/>
      <name val="Calibri"/>
      <family val="2"/>
      <scheme val="minor"/>
    </font>
    <font>
      <sz val="10"/>
      <color rgb="FFFF0000"/>
      <name val="Calibri"/>
      <family val="2"/>
      <scheme val="minor"/>
    </font>
    <font>
      <i/>
      <sz val="10"/>
      <name val="Calibri"/>
      <family val="2"/>
      <scheme val="minor"/>
    </font>
    <font>
      <u/>
      <sz val="10"/>
      <color theme="10"/>
      <name val="Arial"/>
      <family val="2"/>
    </font>
    <font>
      <i/>
      <sz val="11"/>
      <color rgb="FFFF0000"/>
      <name val="Calibri"/>
      <family val="2"/>
      <scheme val="minor"/>
    </font>
    <font>
      <sz val="10"/>
      <color theme="1"/>
      <name val="Arial"/>
      <family val="2"/>
    </font>
    <font>
      <b/>
      <sz val="10"/>
      <color theme="1"/>
      <name val="Arial"/>
      <family val="2"/>
    </font>
    <font>
      <b/>
      <sz val="10"/>
      <color indexed="81"/>
      <name val="Calibri"/>
      <family val="2"/>
    </font>
    <font>
      <sz val="12"/>
      <color theme="1"/>
      <name val="Calibri"/>
      <family val="2"/>
      <scheme val="minor"/>
    </font>
    <font>
      <b/>
      <sz val="11"/>
      <color rgb="FFFF0000"/>
      <name val="Calibri"/>
      <family val="2"/>
      <scheme val="minor"/>
    </font>
    <font>
      <sz val="11"/>
      <color rgb="FF010202"/>
      <name val="Calibri"/>
      <family val="2"/>
      <scheme val="minor"/>
    </font>
    <font>
      <i/>
      <sz val="11"/>
      <name val="Calibri"/>
      <family val="2"/>
      <scheme val="minor"/>
    </font>
    <font>
      <i/>
      <u/>
      <sz val="11"/>
      <color theme="10"/>
      <name val="Calibri"/>
      <family val="2"/>
      <scheme val="minor"/>
    </font>
    <font>
      <b/>
      <sz val="12"/>
      <color theme="1"/>
      <name val="Calibri"/>
      <family val="2"/>
      <scheme val="minor"/>
    </font>
    <font>
      <b/>
      <sz val="12"/>
      <color theme="1"/>
      <name val="Arial"/>
      <family val="2"/>
    </font>
    <font>
      <b/>
      <vertAlign val="subscript"/>
      <sz val="11"/>
      <color theme="1"/>
      <name val="Calibri"/>
      <family val="2"/>
      <scheme val="minor"/>
    </font>
    <font>
      <sz val="10"/>
      <name val="Times New Roman"/>
      <family val="1"/>
    </font>
    <font>
      <b/>
      <sz val="10"/>
      <name val="Times New Roman"/>
      <family val="1"/>
    </font>
    <font>
      <sz val="10"/>
      <color rgb="FF000000"/>
      <name val="Times New Roman"/>
      <family val="1"/>
    </font>
    <font>
      <b/>
      <sz val="12"/>
      <name val="Times New Roman"/>
      <family val="1"/>
    </font>
    <font>
      <b/>
      <sz val="14"/>
      <name val="Times New Roman"/>
      <family val="1"/>
    </font>
    <font>
      <b/>
      <sz val="9"/>
      <color indexed="8"/>
      <name val="Times New Roman"/>
      <family val="1"/>
    </font>
    <font>
      <sz val="10"/>
      <color indexed="8"/>
      <name val="Times New Roman"/>
      <family val="1"/>
    </font>
    <font>
      <b/>
      <sz val="10"/>
      <color indexed="8"/>
      <name val="Times New Roman"/>
      <family val="1"/>
    </font>
    <font>
      <sz val="11"/>
      <color theme="1"/>
      <name val="Times New Roman"/>
      <family val="1"/>
    </font>
    <font>
      <i/>
      <sz val="10"/>
      <name val="Times New Roman"/>
      <family val="1"/>
    </font>
    <font>
      <b/>
      <sz val="11"/>
      <color rgb="FF003366"/>
      <name val="Calibri"/>
      <family val="2"/>
      <scheme val="minor"/>
    </font>
    <font>
      <b/>
      <sz val="11"/>
      <color rgb="FFFFFFFF"/>
      <name val="Calibri"/>
      <family val="2"/>
      <scheme val="minor"/>
    </font>
    <font>
      <b/>
      <sz val="12"/>
      <color theme="4"/>
      <name val="Calibri"/>
      <family val="2"/>
      <scheme val="minor"/>
    </font>
    <font>
      <b/>
      <sz val="9"/>
      <color theme="1"/>
      <name val="Calibri"/>
      <family val="2"/>
      <scheme val="minor"/>
    </font>
    <font>
      <sz val="9"/>
      <color theme="1"/>
      <name val="Calibri"/>
      <family val="2"/>
      <scheme val="minor"/>
    </font>
    <font>
      <b/>
      <sz val="10"/>
      <name val="Arial"/>
      <family val="2"/>
    </font>
    <font>
      <sz val="10"/>
      <color theme="1"/>
      <name val="Calibri"/>
      <family val="2"/>
      <scheme val="minor"/>
    </font>
    <font>
      <sz val="11"/>
      <name val="Calibri"/>
      <family val="2"/>
    </font>
    <font>
      <b/>
      <sz val="11"/>
      <color theme="0"/>
      <name val="Calibri"/>
      <family val="2"/>
      <scheme val="minor"/>
    </font>
    <font>
      <sz val="11"/>
      <color rgb="FF000000"/>
      <name val="Calibri"/>
      <family val="2"/>
      <charset val="1"/>
    </font>
    <font>
      <b/>
      <sz val="10"/>
      <color rgb="FF000000"/>
      <name val="Times New Roman"/>
      <family val="1"/>
      <charset val="1"/>
    </font>
    <font>
      <sz val="10"/>
      <color rgb="FF000000"/>
      <name val="Times New Roman"/>
      <family val="1"/>
      <charset val="1"/>
    </font>
    <font>
      <u/>
      <sz val="11"/>
      <color rgb="FF0000FF"/>
      <name val="Calibri"/>
      <family val="2"/>
      <charset val="1"/>
    </font>
    <font>
      <sz val="16"/>
      <color theme="1"/>
      <name val="Calibri"/>
      <family val="2"/>
      <scheme val="minor"/>
    </font>
    <font>
      <b/>
      <sz val="14"/>
      <color rgb="FFFF0000"/>
      <name val="Calibri"/>
      <family val="2"/>
      <scheme val="minor"/>
    </font>
    <font>
      <sz val="14"/>
      <color theme="1"/>
      <name val="Calibri"/>
      <family val="2"/>
      <scheme val="minor"/>
    </font>
    <font>
      <sz val="10"/>
      <color rgb="FF000000"/>
      <name val="Arial"/>
      <family val="2"/>
    </font>
    <font>
      <b/>
      <sz val="15"/>
      <name val="Arial"/>
      <family val="2"/>
    </font>
    <font>
      <sz val="10"/>
      <color rgb="FFFF0000"/>
      <name val="Arial"/>
      <family val="2"/>
    </font>
    <font>
      <b/>
      <sz val="13"/>
      <color theme="1"/>
      <name val="Arial"/>
      <family val="2"/>
    </font>
    <font>
      <u/>
      <sz val="10"/>
      <color rgb="FF1155CC"/>
      <name val="Arial"/>
      <family val="2"/>
    </font>
    <font>
      <sz val="11"/>
      <color rgb="FF000000"/>
      <name val="Arial"/>
      <family val="2"/>
    </font>
    <font>
      <i/>
      <sz val="11"/>
      <color rgb="FF000000"/>
      <name val="Arial"/>
      <family val="2"/>
    </font>
    <font>
      <b/>
      <sz val="10"/>
      <color rgb="FF000000"/>
      <name val="Arial"/>
      <family val="2"/>
    </font>
    <font>
      <u/>
      <sz val="11"/>
      <color theme="10"/>
      <name val="Arial"/>
      <family val="2"/>
    </font>
    <font>
      <sz val="9"/>
      <color theme="1"/>
      <name val="Arial"/>
      <family val="2"/>
    </font>
    <font>
      <sz val="9"/>
      <color rgb="FF000000"/>
      <name val="Arial"/>
      <family val="2"/>
    </font>
    <font>
      <b/>
      <sz val="11"/>
      <color theme="1"/>
      <name val="Calibri"/>
      <family val="2"/>
      <scheme val="minor"/>
    </font>
    <font>
      <sz val="12"/>
      <name val="Calibri"/>
      <family val="2"/>
      <scheme val="minor"/>
    </font>
    <font>
      <b/>
      <sz val="12"/>
      <name val="Calibri"/>
      <family val="2"/>
      <scheme val="minor"/>
    </font>
  </fonts>
  <fills count="23">
    <fill>
      <patternFill patternType="none"/>
    </fill>
    <fill>
      <patternFill patternType="gray125"/>
    </fill>
    <fill>
      <patternFill patternType="solid">
        <fgColor theme="8" tint="0.59999389629810485"/>
        <bgColor indexed="64"/>
      </patternFill>
    </fill>
    <fill>
      <patternFill patternType="solid">
        <fgColor rgb="FFF2F2F2"/>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indexed="47"/>
        <bgColor indexed="64"/>
      </patternFill>
    </fill>
    <fill>
      <patternFill patternType="solid">
        <fgColor theme="2" tint="-0.249977111117893"/>
        <bgColor indexed="64"/>
      </patternFill>
    </fill>
    <fill>
      <patternFill patternType="solid">
        <fgColor theme="4" tint="0.79998168889431442"/>
        <bgColor indexed="65"/>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215761"/>
        <bgColor indexed="64"/>
      </patternFill>
    </fill>
    <fill>
      <patternFill patternType="solid">
        <fgColor rgb="FFCCCCC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rgb="FFFFFF00"/>
      </patternFill>
    </fill>
    <fill>
      <patternFill patternType="solid">
        <fgColor rgb="FFC3D69B"/>
        <bgColor rgb="FFC0C0C0"/>
      </patternFill>
    </fill>
    <fill>
      <patternFill patternType="solid">
        <fgColor theme="7" tint="0.39997558519241921"/>
        <bgColor indexed="64"/>
      </patternFill>
    </fill>
    <fill>
      <patternFill patternType="solid">
        <fgColor theme="9" tint="0.59999389629810485"/>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thin">
        <color rgb="FF7F7F7F"/>
      </left>
      <right style="thin">
        <color rgb="FF7F7F7F"/>
      </right>
      <top style="thin">
        <color rgb="FF7F7F7F"/>
      </top>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thin">
        <color indexed="64"/>
      </left>
      <right style="medium">
        <color indexed="64"/>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thick">
        <color theme="4"/>
      </bottom>
      <diagonal/>
    </border>
    <border>
      <left/>
      <right/>
      <top/>
      <bottom style="thin">
        <color theme="0" tint="-0.249977111117893"/>
      </bottom>
      <diagonal/>
    </border>
    <border>
      <left/>
      <right/>
      <top/>
      <bottom style="dashed">
        <color theme="0" tint="-0.24994659260841701"/>
      </bottom>
      <diagonal/>
    </border>
    <border>
      <left/>
      <right/>
      <top style="medium">
        <color theme="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theme="4" tint="0.39997558519241921"/>
      </top>
      <bottom style="thin">
        <color theme="4" tint="0.39997558519241921"/>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right/>
      <top style="medium">
        <color auto="1"/>
      </top>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
      <left/>
      <right/>
      <top style="thin">
        <color theme="4" tint="0.39997558519241921"/>
      </top>
      <bottom style="medium">
        <color indexed="64"/>
      </bottom>
      <diagonal/>
    </border>
    <border>
      <left style="medium">
        <color indexed="64"/>
      </left>
      <right style="thin">
        <color indexed="64"/>
      </right>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rgb="FFFFFFFF"/>
      </right>
      <top/>
      <bottom/>
      <diagonal/>
    </border>
  </borders>
  <cellStyleXfs count="30">
    <xf numFmtId="0" fontId="0" fillId="0" borderId="0"/>
    <xf numFmtId="0" fontId="5" fillId="0" borderId="0" applyNumberFormat="0" applyFill="0" applyBorder="0" applyAlignment="0" applyProtection="0"/>
    <xf numFmtId="9" fontId="7" fillId="0" borderId="0" applyFont="0" applyFill="0" applyBorder="0" applyAlignment="0" applyProtection="0"/>
    <xf numFmtId="0" fontId="8" fillId="3" borderId="7" applyNumberFormat="0" applyAlignment="0" applyProtection="0"/>
    <xf numFmtId="0" fontId="7"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0" fontId="19" fillId="0" borderId="0" applyNumberFormat="0" applyFill="0" applyBorder="0" applyAlignment="0" applyProtection="0"/>
    <xf numFmtId="0" fontId="24" fillId="11" borderId="0" applyNumberFormat="0" applyBorder="0" applyAlignment="0" applyProtection="0"/>
    <xf numFmtId="43" fontId="7" fillId="0" borderId="0" applyFont="0" applyFill="0" applyBorder="0" applyAlignment="0" applyProtection="0"/>
    <xf numFmtId="0" fontId="44" fillId="0" borderId="0" applyNumberFormat="0" applyProtection="0">
      <alignment horizontal="left"/>
    </xf>
    <xf numFmtId="0" fontId="45" fillId="0" borderId="28" applyNumberFormat="0" applyProtection="0">
      <alignment wrapText="1"/>
    </xf>
    <xf numFmtId="0" fontId="45" fillId="0" borderId="29" applyNumberFormat="0" applyProtection="0">
      <alignment wrapText="1"/>
    </xf>
    <xf numFmtId="0" fontId="46" fillId="0" borderId="30" applyNumberFormat="0" applyFont="0" applyProtection="0">
      <alignment wrapText="1"/>
    </xf>
    <xf numFmtId="0" fontId="46" fillId="0" borderId="31" applyNumberFormat="0" applyProtection="0">
      <alignment vertical="top" wrapText="1"/>
    </xf>
    <xf numFmtId="0" fontId="12" fillId="0" borderId="0"/>
    <xf numFmtId="0" fontId="51" fillId="0" borderId="0"/>
    <xf numFmtId="0" fontId="51" fillId="0" borderId="0"/>
    <xf numFmtId="9" fontId="51" fillId="0" borderId="0" applyBorder="0" applyProtection="0"/>
    <xf numFmtId="164" fontId="7" fillId="0" borderId="0" applyFont="0" applyFill="0" applyBorder="0" applyAlignment="0" applyProtection="0"/>
    <xf numFmtId="0" fontId="54" fillId="0" borderId="0" applyBorder="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58" fillId="0" borderId="0"/>
  </cellStyleXfs>
  <cellXfs count="805">
    <xf numFmtId="0" fontId="0" fillId="0" borderId="0" xfId="0"/>
    <xf numFmtId="0" fontId="2" fillId="0" borderId="0" xfId="0" applyFont="1"/>
    <xf numFmtId="0" fontId="3" fillId="0" borderId="0" xfId="0" applyFont="1"/>
    <xf numFmtId="0" fontId="0" fillId="0" borderId="1" xfId="0" applyBorder="1"/>
    <xf numFmtId="0" fontId="0" fillId="0" borderId="1" xfId="0" applyBorder="1" applyAlignment="1">
      <alignment wrapText="1"/>
    </xf>
    <xf numFmtId="17" fontId="0" fillId="0" borderId="1" xfId="0" applyNumberFormat="1" applyBorder="1"/>
    <xf numFmtId="0" fontId="0" fillId="0" borderId="3" xfId="0" applyBorder="1" applyAlignment="1">
      <alignment horizontal="center"/>
    </xf>
    <xf numFmtId="0" fontId="0" fillId="0" borderId="1" xfId="0" applyFill="1" applyBorder="1" applyAlignment="1">
      <alignment wrapText="1"/>
    </xf>
    <xf numFmtId="0" fontId="0" fillId="2" borderId="0" xfId="0" applyFill="1"/>
    <xf numFmtId="0" fontId="1" fillId="2" borderId="0" xfId="0" applyFont="1" applyFill="1"/>
    <xf numFmtId="0" fontId="1" fillId="0" borderId="1" xfId="0" applyFont="1" applyBorder="1"/>
    <xf numFmtId="2" fontId="0" fillId="0" borderId="1" xfId="0" applyNumberFormat="1" applyBorder="1"/>
    <xf numFmtId="2" fontId="1" fillId="0" borderId="1" xfId="0" applyNumberFormat="1" applyFont="1" applyBorder="1"/>
    <xf numFmtId="0" fontId="1" fillId="0" borderId="1" xfId="0" applyFont="1" applyBorder="1" applyAlignment="1">
      <alignment wrapText="1"/>
    </xf>
    <xf numFmtId="0" fontId="4" fillId="0" borderId="1" xfId="0" applyFont="1" applyBorder="1"/>
    <xf numFmtId="0" fontId="5" fillId="0" borderId="1" xfId="1" applyBorder="1"/>
    <xf numFmtId="0" fontId="6" fillId="0" borderId="1" xfId="0" applyFont="1" applyBorder="1"/>
    <xf numFmtId="0" fontId="0" fillId="0" borderId="0" xfId="0" applyFill="1" applyBorder="1" applyAlignment="1">
      <alignment wrapText="1"/>
    </xf>
    <xf numFmtId="0" fontId="1" fillId="0" borderId="1" xfId="0" applyFont="1" applyFill="1" applyBorder="1" applyAlignment="1">
      <alignment wrapText="1"/>
    </xf>
    <xf numFmtId="0" fontId="1" fillId="0" borderId="6" xfId="0" applyFont="1" applyFill="1" applyBorder="1" applyAlignment="1">
      <alignment wrapText="1"/>
    </xf>
    <xf numFmtId="0" fontId="0" fillId="0" borderId="0" xfId="0" applyAlignment="1">
      <alignment wrapText="1"/>
    </xf>
    <xf numFmtId="4" fontId="0" fillId="0" borderId="1" xfId="0" applyNumberFormat="1" applyBorder="1"/>
    <xf numFmtId="10" fontId="0" fillId="0" borderId="1" xfId="0" applyNumberFormat="1" applyBorder="1"/>
    <xf numFmtId="9" fontId="0" fillId="0" borderId="1" xfId="2" applyFont="1" applyBorder="1"/>
    <xf numFmtId="165" fontId="0" fillId="0" borderId="1" xfId="2" applyNumberFormat="1" applyFont="1" applyBorder="1"/>
    <xf numFmtId="9" fontId="1" fillId="0" borderId="1" xfId="2" applyFont="1" applyBorder="1"/>
    <xf numFmtId="10" fontId="1" fillId="0" borderId="1" xfId="2" applyNumberFormat="1" applyFont="1" applyBorder="1"/>
    <xf numFmtId="10" fontId="0" fillId="0" borderId="1" xfId="2" applyNumberFormat="1" applyFont="1" applyBorder="1"/>
    <xf numFmtId="9" fontId="0" fillId="0" borderId="1" xfId="2" applyNumberFormat="1" applyFont="1" applyBorder="1"/>
    <xf numFmtId="0" fontId="1" fillId="0" borderId="0" xfId="0" applyFont="1"/>
    <xf numFmtId="0" fontId="1" fillId="0" borderId="6" xfId="0" applyFont="1" applyBorder="1" applyAlignment="1">
      <alignment wrapText="1"/>
    </xf>
    <xf numFmtId="9" fontId="0" fillId="0" borderId="1" xfId="0" applyNumberFormat="1" applyBorder="1"/>
    <xf numFmtId="0" fontId="0" fillId="0" borderId="2" xfId="0" applyBorder="1" applyAlignment="1"/>
    <xf numFmtId="0" fontId="0" fillId="0" borderId="3" xfId="0" applyBorder="1" applyAlignment="1"/>
    <xf numFmtId="0" fontId="0" fillId="0" borderId="1" xfId="2" applyNumberFormat="1" applyFont="1" applyBorder="1"/>
    <xf numFmtId="0" fontId="11" fillId="0" borderId="1" xfId="0" applyFont="1" applyBorder="1"/>
    <xf numFmtId="0" fontId="11" fillId="2" borderId="0" xfId="0" applyFont="1" applyFill="1"/>
    <xf numFmtId="9" fontId="11" fillId="0" borderId="1" xfId="2" applyNumberFormat="1" applyFont="1" applyBorder="1"/>
    <xf numFmtId="0" fontId="11" fillId="0" borderId="1" xfId="2" applyNumberFormat="1" applyFont="1" applyBorder="1"/>
    <xf numFmtId="2" fontId="11" fillId="0" borderId="1" xfId="0" applyNumberFormat="1" applyFont="1" applyBorder="1"/>
    <xf numFmtId="0" fontId="11" fillId="0" borderId="0" xfId="0" applyFont="1"/>
    <xf numFmtId="0" fontId="0" fillId="0" borderId="6" xfId="0" applyFill="1" applyBorder="1" applyAlignment="1">
      <alignment wrapText="1"/>
    </xf>
    <xf numFmtId="0" fontId="1" fillId="0" borderId="0" xfId="0" applyFont="1" applyAlignment="1">
      <alignment wrapText="1"/>
    </xf>
    <xf numFmtId="0" fontId="4" fillId="0" borderId="1" xfId="4" applyFont="1" applyBorder="1"/>
    <xf numFmtId="2" fontId="7" fillId="0" borderId="1" xfId="4" applyNumberFormat="1" applyBorder="1"/>
    <xf numFmtId="0" fontId="7" fillId="0" borderId="1" xfId="4" applyBorder="1"/>
    <xf numFmtId="0" fontId="1" fillId="0" borderId="1" xfId="5" applyFont="1" applyFill="1" applyBorder="1" applyAlignment="1">
      <alignment wrapText="1"/>
    </xf>
    <xf numFmtId="0" fontId="6" fillId="0" borderId="0" xfId="5" applyFont="1" applyAlignment="1">
      <alignment horizontal="center" vertical="center"/>
    </xf>
    <xf numFmtId="0" fontId="6" fillId="0" borderId="0" xfId="5" applyFont="1" applyAlignment="1"/>
    <xf numFmtId="166" fontId="6" fillId="0" borderId="0" xfId="5" applyNumberFormat="1" applyFont="1" applyAlignment="1"/>
    <xf numFmtId="0" fontId="1" fillId="0" borderId="1" xfId="4" applyFont="1" applyFill="1" applyBorder="1" applyAlignment="1">
      <alignment wrapText="1"/>
    </xf>
    <xf numFmtId="0" fontId="7" fillId="0" borderId="0" xfId="4"/>
    <xf numFmtId="0" fontId="7" fillId="0" borderId="8" xfId="4" applyBorder="1" applyAlignment="1"/>
    <xf numFmtId="0" fontId="2" fillId="0" borderId="0" xfId="4" applyFont="1"/>
    <xf numFmtId="0" fontId="3" fillId="0" borderId="0" xfId="4" applyFont="1"/>
    <xf numFmtId="0" fontId="3" fillId="0" borderId="0" xfId="4" applyFont="1" applyAlignment="1"/>
    <xf numFmtId="0" fontId="3" fillId="0" borderId="0" xfId="4" applyFont="1" applyAlignment="1">
      <alignment wrapText="1"/>
    </xf>
    <xf numFmtId="0" fontId="7" fillId="0" borderId="0" xfId="4" applyAlignment="1">
      <alignment vertical="center"/>
    </xf>
    <xf numFmtId="4" fontId="7" fillId="0" borderId="0" xfId="4" applyNumberFormat="1"/>
    <xf numFmtId="0" fontId="7" fillId="0" borderId="0" xfId="4" applyFill="1"/>
    <xf numFmtId="4" fontId="7" fillId="0" borderId="0" xfId="4" applyNumberFormat="1" applyAlignment="1">
      <alignment vertical="center"/>
    </xf>
    <xf numFmtId="0" fontId="7" fillId="0" borderId="0" xfId="4" applyAlignment="1">
      <alignment horizontal="right"/>
    </xf>
    <xf numFmtId="0" fontId="7" fillId="7" borderId="0" xfId="4" applyFill="1"/>
    <xf numFmtId="0" fontId="6" fillId="0" borderId="1" xfId="4" applyFont="1" applyBorder="1"/>
    <xf numFmtId="0" fontId="7" fillId="0" borderId="0" xfId="4" applyAlignment="1">
      <alignment wrapText="1"/>
    </xf>
    <xf numFmtId="0" fontId="14" fillId="0" borderId="0" xfId="4" applyFont="1" applyBorder="1" applyAlignment="1">
      <alignment vertical="center" wrapText="1"/>
    </xf>
    <xf numFmtId="1" fontId="14" fillId="0" borderId="0" xfId="4" applyNumberFormat="1" applyFont="1" applyBorder="1" applyAlignment="1">
      <alignment vertical="center" wrapText="1"/>
    </xf>
    <xf numFmtId="0" fontId="14" fillId="0" borderId="0" xfId="4" applyFont="1" applyBorder="1" applyAlignment="1">
      <alignment horizontal="center" vertical="center" wrapText="1"/>
    </xf>
    <xf numFmtId="0" fontId="14" fillId="0" borderId="0" xfId="4" applyFont="1" applyFill="1" applyBorder="1" applyAlignment="1">
      <alignment vertical="center" wrapText="1"/>
    </xf>
    <xf numFmtId="0" fontId="7" fillId="0" borderId="0" xfId="4" applyFont="1" applyBorder="1"/>
    <xf numFmtId="2" fontId="14" fillId="0" borderId="0" xfId="4" applyNumberFormat="1" applyFont="1" applyBorder="1" applyAlignment="1">
      <alignment vertical="center" wrapText="1"/>
    </xf>
    <xf numFmtId="1" fontId="7" fillId="0" borderId="0" xfId="4" applyNumberFormat="1" applyFont="1" applyBorder="1"/>
    <xf numFmtId="2" fontId="8" fillId="3" borderId="7" xfId="3" applyNumberFormat="1"/>
    <xf numFmtId="2" fontId="6" fillId="0" borderId="1" xfId="4" applyNumberFormat="1" applyFont="1" applyBorder="1"/>
    <xf numFmtId="0" fontId="7" fillId="0" borderId="0" xfId="4" applyAlignment="1"/>
    <xf numFmtId="9" fontId="0" fillId="0" borderId="0" xfId="8" applyFont="1" applyAlignment="1">
      <alignment wrapText="1"/>
    </xf>
    <xf numFmtId="9" fontId="0" fillId="0" borderId="0" xfId="8" applyFont="1"/>
    <xf numFmtId="2" fontId="7" fillId="0" borderId="0" xfId="4" applyNumberFormat="1"/>
    <xf numFmtId="0" fontId="8" fillId="3" borderId="7" xfId="3"/>
    <xf numFmtId="0" fontId="7" fillId="8" borderId="0" xfId="4" applyFill="1"/>
    <xf numFmtId="0" fontId="7" fillId="5" borderId="0" xfId="4" applyFill="1"/>
    <xf numFmtId="0" fontId="7" fillId="4" borderId="0" xfId="4" applyFill="1"/>
    <xf numFmtId="0" fontId="7" fillId="0" borderId="0" xfId="4" applyFont="1" applyAlignment="1"/>
    <xf numFmtId="0" fontId="7" fillId="0" borderId="0" xfId="9"/>
    <xf numFmtId="0" fontId="12" fillId="0" borderId="0" xfId="9" applyFont="1" applyFill="1" applyAlignment="1">
      <alignment wrapText="1"/>
    </xf>
    <xf numFmtId="0" fontId="7" fillId="0" borderId="0" xfId="9" applyFill="1"/>
    <xf numFmtId="4" fontId="7" fillId="0" borderId="0" xfId="9" applyNumberFormat="1"/>
    <xf numFmtId="0" fontId="1" fillId="0" borderId="0" xfId="9" applyFont="1"/>
    <xf numFmtId="0" fontId="1" fillId="0" borderId="0" xfId="9" applyFont="1" applyAlignment="1"/>
    <xf numFmtId="0" fontId="7" fillId="0" borderId="0" xfId="10" applyAlignment="1">
      <alignment wrapText="1"/>
    </xf>
    <xf numFmtId="0" fontId="6" fillId="0" borderId="0" xfId="10" applyFont="1"/>
    <xf numFmtId="0" fontId="7" fillId="0" borderId="0" xfId="10"/>
    <xf numFmtId="0" fontId="15" fillId="0" borderId="0" xfId="10" applyFont="1"/>
    <xf numFmtId="0" fontId="13" fillId="0" borderId="0" xfId="5" applyFont="1" applyAlignment="1"/>
    <xf numFmtId="0" fontId="13" fillId="0" borderId="0" xfId="5" applyFont="1"/>
    <xf numFmtId="0" fontId="13" fillId="0" borderId="1" xfId="5" applyFont="1" applyBorder="1"/>
    <xf numFmtId="2" fontId="13" fillId="0" borderId="1" xfId="5" applyNumberFormat="1" applyFont="1" applyBorder="1"/>
    <xf numFmtId="164" fontId="13" fillId="0" borderId="1" xfId="5" applyNumberFormat="1" applyFont="1" applyBorder="1"/>
    <xf numFmtId="0" fontId="7" fillId="0" borderId="0" xfId="4" applyBorder="1" applyAlignment="1"/>
    <xf numFmtId="0" fontId="0" fillId="0" borderId="0" xfId="4" applyFont="1"/>
    <xf numFmtId="0" fontId="0" fillId="0" borderId="0" xfId="4" applyFont="1" applyAlignment="1">
      <alignment vertical="center"/>
    </xf>
    <xf numFmtId="0" fontId="4" fillId="0" borderId="0" xfId="4" applyFont="1"/>
    <xf numFmtId="2" fontId="7" fillId="0" borderId="0" xfId="4" applyNumberFormat="1" applyFont="1" applyBorder="1"/>
    <xf numFmtId="0" fontId="4" fillId="0" borderId="0" xfId="4" applyFont="1" applyBorder="1" applyAlignment="1">
      <alignment vertical="center" wrapText="1"/>
    </xf>
    <xf numFmtId="1" fontId="8" fillId="3" borderId="7" xfId="3" applyNumberFormat="1"/>
    <xf numFmtId="0" fontId="0" fillId="0" borderId="0" xfId="4" applyFont="1" applyAlignment="1">
      <alignment wrapText="1"/>
    </xf>
    <xf numFmtId="1" fontId="7" fillId="0" borderId="1" xfId="4" applyNumberFormat="1" applyBorder="1"/>
    <xf numFmtId="0" fontId="4" fillId="4" borderId="0" xfId="4" applyFont="1" applyFill="1"/>
    <xf numFmtId="1" fontId="6" fillId="0" borderId="1" xfId="4" applyNumberFormat="1" applyFont="1" applyBorder="1"/>
    <xf numFmtId="0" fontId="16" fillId="0" borderId="0" xfId="0" applyFont="1" applyBorder="1" applyAlignment="1">
      <alignment horizontal="left"/>
    </xf>
    <xf numFmtId="0" fontId="16" fillId="9" borderId="1" xfId="0" applyFont="1" applyFill="1" applyBorder="1" applyAlignment="1">
      <alignment horizontal="left" vertical="top" wrapText="1"/>
    </xf>
    <xf numFmtId="0" fontId="16" fillId="9" borderId="1" xfId="0" applyFont="1" applyFill="1" applyBorder="1" applyAlignment="1">
      <alignment vertical="top" wrapText="1"/>
    </xf>
    <xf numFmtId="0" fontId="6" fillId="5" borderId="1" xfId="5" applyFont="1" applyFill="1" applyBorder="1"/>
    <xf numFmtId="0" fontId="6" fillId="0" borderId="1" xfId="0" applyFont="1" applyBorder="1" applyAlignment="1">
      <alignment horizontal="left" vertical="top" wrapText="1"/>
    </xf>
    <xf numFmtId="164" fontId="6" fillId="5" borderId="1" xfId="6" applyFont="1" applyFill="1" applyBorder="1" applyAlignment="1">
      <alignment horizontal="left" vertical="top"/>
    </xf>
    <xf numFmtId="9" fontId="6" fillId="5" borderId="1" xfId="7" applyFont="1" applyFill="1" applyBorder="1" applyAlignment="1">
      <alignment horizontal="center" vertical="top"/>
    </xf>
    <xf numFmtId="164" fontId="6" fillId="5" borderId="1" xfId="6" applyFont="1" applyFill="1" applyBorder="1"/>
    <xf numFmtId="164" fontId="16" fillId="5" borderId="1" xfId="6" applyFont="1" applyFill="1" applyBorder="1"/>
    <xf numFmtId="0" fontId="6" fillId="0" borderId="1" xfId="0" applyFont="1" applyFill="1" applyBorder="1" applyAlignment="1">
      <alignment horizontal="left" vertical="top" wrapText="1"/>
    </xf>
    <xf numFmtId="0" fontId="6" fillId="7" borderId="1" xfId="5" applyFont="1" applyFill="1" applyBorder="1"/>
    <xf numFmtId="0" fontId="16" fillId="7" borderId="1" xfId="0" applyFont="1" applyFill="1" applyBorder="1" applyAlignment="1">
      <alignment horizontal="left" vertical="top" wrapText="1"/>
    </xf>
    <xf numFmtId="164" fontId="16" fillId="7" borderId="1" xfId="6" applyFont="1" applyFill="1" applyBorder="1" applyAlignment="1">
      <alignment horizontal="left" vertical="top"/>
    </xf>
    <xf numFmtId="9" fontId="16" fillId="7" borderId="1" xfId="7" applyFont="1" applyFill="1" applyBorder="1" applyAlignment="1">
      <alignment horizontal="center" vertical="top"/>
    </xf>
    <xf numFmtId="9" fontId="16" fillId="7" borderId="1" xfId="7" applyFont="1" applyFill="1" applyBorder="1" applyAlignment="1">
      <alignment horizontal="left" vertical="top"/>
    </xf>
    <xf numFmtId="0" fontId="16" fillId="10" borderId="1" xfId="5" applyFont="1" applyFill="1" applyBorder="1"/>
    <xf numFmtId="0" fontId="16" fillId="10" borderId="1" xfId="5" applyFont="1" applyFill="1" applyBorder="1" applyAlignment="1">
      <alignment horizontal="left"/>
    </xf>
    <xf numFmtId="164" fontId="16" fillId="10" borderId="1" xfId="6" applyFont="1" applyFill="1" applyBorder="1" applyAlignment="1">
      <alignment horizontal="left"/>
    </xf>
    <xf numFmtId="9" fontId="16" fillId="10" borderId="1" xfId="7" applyFont="1" applyFill="1" applyBorder="1" applyAlignment="1">
      <alignment horizontal="center"/>
    </xf>
    <xf numFmtId="0" fontId="16" fillId="0" borderId="0" xfId="5" applyFont="1" applyBorder="1" applyAlignment="1">
      <alignment vertical="center"/>
    </xf>
    <xf numFmtId="0" fontId="16" fillId="0" borderId="0" xfId="0" applyFont="1" applyBorder="1" applyAlignment="1"/>
    <xf numFmtId="0" fontId="17" fillId="0" borderId="0" xfId="5" applyFont="1"/>
    <xf numFmtId="0" fontId="18" fillId="0" borderId="0" xfId="5" applyFont="1"/>
    <xf numFmtId="0" fontId="18" fillId="0" borderId="0" xfId="5" applyFont="1" applyAlignment="1"/>
    <xf numFmtId="0" fontId="6" fillId="0" borderId="1" xfId="0" applyFont="1" applyFill="1" applyBorder="1" applyAlignment="1">
      <alignment horizontal="right" vertical="top" wrapText="1"/>
    </xf>
    <xf numFmtId="0" fontId="16" fillId="7" borderId="1" xfId="0" applyFont="1" applyFill="1" applyBorder="1" applyAlignment="1">
      <alignment horizontal="right" vertical="top" wrapText="1"/>
    </xf>
    <xf numFmtId="2" fontId="16" fillId="7" borderId="1" xfId="0" applyNumberFormat="1" applyFont="1" applyFill="1" applyBorder="1" applyAlignment="1">
      <alignment horizontal="right" vertical="top" wrapText="1"/>
    </xf>
    <xf numFmtId="1" fontId="16" fillId="7" borderId="1" xfId="0" applyNumberFormat="1" applyFont="1" applyFill="1" applyBorder="1" applyAlignment="1">
      <alignment horizontal="right" vertical="top" wrapText="1"/>
    </xf>
    <xf numFmtId="1" fontId="6" fillId="0" borderId="1" xfId="0" applyNumberFormat="1" applyFont="1" applyFill="1" applyBorder="1" applyAlignment="1">
      <alignment horizontal="right" vertical="top" wrapText="1"/>
    </xf>
    <xf numFmtId="0" fontId="4" fillId="0" borderId="0" xfId="0" applyFont="1"/>
    <xf numFmtId="9" fontId="0" fillId="0" borderId="0" xfId="0" applyNumberFormat="1"/>
    <xf numFmtId="10" fontId="0" fillId="0" borderId="0" xfId="0" applyNumberFormat="1"/>
    <xf numFmtId="9" fontId="6" fillId="0" borderId="1" xfId="0" applyNumberFormat="1" applyFont="1" applyFill="1" applyBorder="1" applyAlignment="1">
      <alignment horizontal="right" vertical="top" wrapText="1"/>
    </xf>
    <xf numFmtId="0" fontId="13" fillId="0" borderId="1" xfId="5" applyFont="1" applyBorder="1" applyAlignment="1"/>
    <xf numFmtId="1" fontId="0" fillId="0" borderId="1" xfId="0" applyNumberFormat="1" applyBorder="1"/>
    <xf numFmtId="0" fontId="1" fillId="0" borderId="1" xfId="0" applyFont="1" applyBorder="1" applyAlignment="1">
      <alignment horizontal="right"/>
    </xf>
    <xf numFmtId="0" fontId="0" fillId="0" borderId="2" xfId="0" applyBorder="1"/>
    <xf numFmtId="2" fontId="0" fillId="0" borderId="2" xfId="0" applyNumberFormat="1" applyBorder="1"/>
    <xf numFmtId="0" fontId="0" fillId="0" borderId="0" xfId="0"/>
    <xf numFmtId="0" fontId="0" fillId="0" borderId="0" xfId="0"/>
    <xf numFmtId="0" fontId="4" fillId="0" borderId="0" xfId="0" applyFont="1"/>
    <xf numFmtId="2" fontId="0" fillId="0" borderId="0" xfId="0" applyNumberFormat="1"/>
    <xf numFmtId="0" fontId="0" fillId="0" borderId="0" xfId="0" applyAlignment="1">
      <alignment horizontal="center"/>
    </xf>
    <xf numFmtId="2" fontId="4" fillId="0" borderId="1" xfId="0" applyNumberFormat="1" applyFont="1" applyBorder="1"/>
    <xf numFmtId="168" fontId="4" fillId="0" borderId="1" xfId="0" applyNumberFormat="1" applyFont="1" applyBorder="1"/>
    <xf numFmtId="1" fontId="4" fillId="0" borderId="1" xfId="0" applyNumberFormat="1" applyFont="1" applyBorder="1"/>
    <xf numFmtId="0" fontId="20" fillId="0" borderId="0" xfId="4" applyFont="1"/>
    <xf numFmtId="1" fontId="4" fillId="0" borderId="1" xfId="4" applyNumberFormat="1" applyFont="1" applyBorder="1"/>
    <xf numFmtId="1" fontId="7" fillId="0" borderId="0" xfId="4" applyNumberFormat="1"/>
    <xf numFmtId="0" fontId="0" fillId="0" borderId="0" xfId="9" applyFont="1"/>
    <xf numFmtId="0" fontId="7" fillId="0" borderId="1" xfId="9" applyBorder="1"/>
    <xf numFmtId="4" fontId="7" fillId="0" borderId="1" xfId="9" applyNumberFormat="1" applyBorder="1"/>
    <xf numFmtId="0" fontId="1" fillId="0" borderId="1" xfId="9" applyFont="1" applyBorder="1"/>
    <xf numFmtId="2" fontId="1" fillId="0" borderId="1" xfId="9" applyNumberFormat="1" applyFont="1" applyBorder="1"/>
    <xf numFmtId="0" fontId="0" fillId="0" borderId="1" xfId="9" applyFont="1" applyBorder="1"/>
    <xf numFmtId="1" fontId="7" fillId="0" borderId="1" xfId="9" applyNumberFormat="1" applyBorder="1"/>
    <xf numFmtId="0" fontId="7" fillId="4" borderId="1" xfId="9" applyFill="1" applyBorder="1"/>
    <xf numFmtId="1" fontId="1" fillId="0" borderId="1" xfId="9" applyNumberFormat="1" applyFont="1" applyBorder="1"/>
    <xf numFmtId="0" fontId="0" fillId="0" borderId="0" xfId="9" applyFont="1" applyBorder="1"/>
    <xf numFmtId="0" fontId="7" fillId="0" borderId="0" xfId="9" applyBorder="1"/>
    <xf numFmtId="2" fontId="7" fillId="0" borderId="0" xfId="9" applyNumberFormat="1" applyBorder="1"/>
    <xf numFmtId="0" fontId="0" fillId="0" borderId="0" xfId="0" applyAlignment="1"/>
    <xf numFmtId="0" fontId="0" fillId="0" borderId="0" xfId="0" applyFill="1"/>
    <xf numFmtId="0" fontId="0" fillId="13" borderId="0" xfId="0" applyFill="1" applyAlignment="1">
      <alignment wrapText="1"/>
    </xf>
    <xf numFmtId="0" fontId="0" fillId="0" borderId="0" xfId="0" applyFont="1"/>
    <xf numFmtId="0" fontId="0" fillId="0" borderId="0" xfId="0" applyNumberFormat="1" applyFont="1"/>
    <xf numFmtId="4" fontId="0" fillId="0" borderId="0" xfId="0" applyNumberFormat="1" applyFont="1"/>
    <xf numFmtId="0" fontId="3" fillId="0" borderId="0" xfId="0" applyFont="1" applyAlignment="1">
      <alignment wrapText="1"/>
    </xf>
    <xf numFmtId="0" fontId="3" fillId="0" borderId="0" xfId="0" applyFont="1" applyAlignment="1"/>
    <xf numFmtId="0" fontId="1" fillId="0" borderId="0" xfId="0" applyFont="1" applyAlignment="1"/>
    <xf numFmtId="4" fontId="0" fillId="0" borderId="0" xfId="0" applyNumberFormat="1"/>
    <xf numFmtId="0" fontId="1" fillId="0" borderId="0" xfId="0" applyFont="1" applyAlignment="1">
      <alignment horizontal="center"/>
    </xf>
    <xf numFmtId="9" fontId="4" fillId="0" borderId="0" xfId="0" applyNumberFormat="1" applyFont="1"/>
    <xf numFmtId="0" fontId="4" fillId="0" borderId="0" xfId="9" applyFont="1"/>
    <xf numFmtId="0" fontId="1" fillId="0" borderId="0" xfId="4" applyFont="1"/>
    <xf numFmtId="0" fontId="7" fillId="0" borderId="1" xfId="10" applyBorder="1"/>
    <xf numFmtId="9" fontId="7" fillId="0" borderId="1" xfId="10" applyNumberFormat="1" applyBorder="1"/>
    <xf numFmtId="0" fontId="6" fillId="0" borderId="1" xfId="10" applyFont="1" applyBorder="1"/>
    <xf numFmtId="0" fontId="0" fillId="0" borderId="1" xfId="10" applyFont="1" applyBorder="1"/>
    <xf numFmtId="0" fontId="1" fillId="0" borderId="1" xfId="10" applyFont="1" applyBorder="1"/>
    <xf numFmtId="4" fontId="7" fillId="0" borderId="1" xfId="10" applyNumberFormat="1" applyBorder="1"/>
    <xf numFmtId="4" fontId="1" fillId="0" borderId="1" xfId="10" applyNumberFormat="1" applyFont="1" applyBorder="1"/>
    <xf numFmtId="0" fontId="4" fillId="0" borderId="1" xfId="10" applyFont="1" applyBorder="1"/>
    <xf numFmtId="0" fontId="7" fillId="7" borderId="1" xfId="10" applyFill="1" applyBorder="1"/>
    <xf numFmtId="2" fontId="1" fillId="0" borderId="1" xfId="10" applyNumberFormat="1" applyFont="1" applyBorder="1"/>
    <xf numFmtId="0" fontId="1" fillId="0" borderId="1" xfId="10" applyFont="1" applyBorder="1" applyAlignment="1">
      <alignment wrapText="1"/>
    </xf>
    <xf numFmtId="0" fontId="1" fillId="0" borderId="1" xfId="10" applyFont="1" applyBorder="1" applyAlignment="1">
      <alignment vertical="top" wrapText="1"/>
    </xf>
    <xf numFmtId="0" fontId="1" fillId="0" borderId="1" xfId="10" applyFont="1" applyBorder="1" applyAlignment="1">
      <alignment vertical="center" wrapText="1"/>
    </xf>
    <xf numFmtId="2" fontId="16" fillId="0" borderId="1" xfId="10" applyNumberFormat="1" applyFont="1" applyBorder="1"/>
    <xf numFmtId="9" fontId="1" fillId="0" borderId="1" xfId="10" applyNumberFormat="1" applyFont="1" applyBorder="1"/>
    <xf numFmtId="4" fontId="6" fillId="0" borderId="1" xfId="4" applyNumberFormat="1" applyFont="1" applyBorder="1"/>
    <xf numFmtId="4" fontId="7" fillId="0" borderId="1" xfId="4" applyNumberFormat="1" applyBorder="1"/>
    <xf numFmtId="2" fontId="7" fillId="0" borderId="0" xfId="4" applyNumberFormat="1" applyBorder="1"/>
    <xf numFmtId="0" fontId="0" fillId="0" borderId="1" xfId="0" applyFill="1" applyBorder="1"/>
    <xf numFmtId="10" fontId="1" fillId="0" borderId="1" xfId="0" applyNumberFormat="1" applyFont="1" applyBorder="1"/>
    <xf numFmtId="9" fontId="1" fillId="0" borderId="1" xfId="0" applyNumberFormat="1" applyFont="1" applyBorder="1"/>
    <xf numFmtId="2" fontId="16" fillId="0" borderId="1" xfId="0" applyNumberFormat="1" applyFont="1" applyBorder="1"/>
    <xf numFmtId="0" fontId="0" fillId="12" borderId="1" xfId="0" applyFill="1" applyBorder="1"/>
    <xf numFmtId="2" fontId="25" fillId="0" borderId="1" xfId="0" applyNumberFormat="1" applyFont="1" applyBorder="1"/>
    <xf numFmtId="0" fontId="6" fillId="0" borderId="1" xfId="0" applyFont="1" applyBorder="1" applyAlignment="1">
      <alignment wrapText="1"/>
    </xf>
    <xf numFmtId="1" fontId="0" fillId="0" borderId="0" xfId="0" applyNumberFormat="1"/>
    <xf numFmtId="1" fontId="0" fillId="0" borderId="1" xfId="0" applyNumberFormat="1" applyFill="1" applyBorder="1"/>
    <xf numFmtId="1" fontId="1" fillId="0" borderId="1" xfId="0" applyNumberFormat="1" applyFont="1" applyBorder="1"/>
    <xf numFmtId="0" fontId="4" fillId="12" borderId="1" xfId="0" applyFont="1" applyFill="1" applyBorder="1"/>
    <xf numFmtId="0" fontId="1" fillId="0" borderId="1" xfId="0" applyFont="1" applyFill="1" applyBorder="1"/>
    <xf numFmtId="10" fontId="4" fillId="0" borderId="0" xfId="0" applyNumberFormat="1" applyFont="1"/>
    <xf numFmtId="0" fontId="1" fillId="0" borderId="0" xfId="0" applyFont="1" applyBorder="1"/>
    <xf numFmtId="2" fontId="16" fillId="0" borderId="0" xfId="0" applyNumberFormat="1" applyFont="1" applyBorder="1"/>
    <xf numFmtId="1" fontId="1" fillId="0" borderId="0" xfId="0" applyNumberFormat="1" applyFont="1" applyBorder="1"/>
    <xf numFmtId="0" fontId="26" fillId="0" borderId="1" xfId="0" applyFont="1" applyBorder="1"/>
    <xf numFmtId="0" fontId="0" fillId="0" borderId="1" xfId="0" applyFont="1" applyBorder="1"/>
    <xf numFmtId="10" fontId="0" fillId="0" borderId="1" xfId="0" applyNumberFormat="1" applyFont="1" applyBorder="1"/>
    <xf numFmtId="0" fontId="6" fillId="0" borderId="0" xfId="4" applyFont="1" applyBorder="1"/>
    <xf numFmtId="1" fontId="7" fillId="0" borderId="0" xfId="4" applyNumberFormat="1" applyBorder="1"/>
    <xf numFmtId="0" fontId="5" fillId="0" borderId="0" xfId="1"/>
    <xf numFmtId="0" fontId="6" fillId="0" borderId="0" xfId="4" applyFont="1" applyFill="1" applyBorder="1"/>
    <xf numFmtId="0" fontId="6" fillId="0" borderId="0" xfId="1" applyFont="1"/>
    <xf numFmtId="0" fontId="27" fillId="0" borderId="0" xfId="4" applyFont="1" applyFill="1" applyBorder="1"/>
    <xf numFmtId="0" fontId="28" fillId="0" borderId="0" xfId="1" applyFont="1"/>
    <xf numFmtId="0" fontId="6" fillId="0" borderId="0" xfId="0" applyFont="1"/>
    <xf numFmtId="0" fontId="1" fillId="0" borderId="0" xfId="0" applyFont="1" applyAlignment="1">
      <alignment horizontal="center" vertical="center" wrapText="1"/>
    </xf>
    <xf numFmtId="0" fontId="0" fillId="0" borderId="1" xfId="0" applyNumberFormat="1" applyFont="1" applyBorder="1"/>
    <xf numFmtId="9" fontId="0" fillId="0" borderId="1" xfId="0" applyNumberFormat="1" applyFont="1" applyBorder="1"/>
    <xf numFmtId="4" fontId="0" fillId="0" borderId="1" xfId="0" applyNumberFormat="1" applyFont="1" applyBorder="1"/>
    <xf numFmtId="0" fontId="16" fillId="0" borderId="1" xfId="0" applyFont="1" applyBorder="1"/>
    <xf numFmtId="1" fontId="0" fillId="0" borderId="1" xfId="0" applyNumberFormat="1" applyFont="1" applyBorder="1"/>
    <xf numFmtId="10" fontId="4" fillId="0" borderId="1" xfId="0" applyNumberFormat="1" applyFont="1" applyBorder="1"/>
    <xf numFmtId="0" fontId="4" fillId="0" borderId="1" xfId="0" applyNumberFormat="1" applyFont="1" applyBorder="1"/>
    <xf numFmtId="1" fontId="6" fillId="0" borderId="1" xfId="0" applyNumberFormat="1" applyFont="1" applyBorder="1"/>
    <xf numFmtId="9" fontId="4" fillId="0" borderId="1" xfId="0" applyNumberFormat="1" applyFont="1" applyBorder="1"/>
    <xf numFmtId="0" fontId="14" fillId="0" borderId="1" xfId="0" applyFont="1" applyBorder="1" applyAlignment="1">
      <alignment vertical="center" wrapText="1"/>
    </xf>
    <xf numFmtId="0" fontId="4" fillId="0" borderId="0" xfId="4" applyFont="1" applyFill="1" applyBorder="1"/>
    <xf numFmtId="0" fontId="4" fillId="0" borderId="0" xfId="1" applyFont="1"/>
    <xf numFmtId="3" fontId="0" fillId="0" borderId="1" xfId="0" applyNumberFormat="1" applyFont="1" applyBorder="1"/>
    <xf numFmtId="0" fontId="0" fillId="8" borderId="1" xfId="0" applyFont="1" applyFill="1" applyBorder="1" applyAlignment="1">
      <alignment wrapText="1"/>
    </xf>
    <xf numFmtId="3" fontId="1" fillId="0" borderId="1" xfId="0" applyNumberFormat="1" applyFont="1" applyBorder="1"/>
    <xf numFmtId="4" fontId="1" fillId="0" borderId="1" xfId="0" applyNumberFormat="1" applyFont="1" applyBorder="1"/>
    <xf numFmtId="0" fontId="16" fillId="0" borderId="1" xfId="0" applyFont="1" applyFill="1" applyBorder="1"/>
    <xf numFmtId="2" fontId="4" fillId="0" borderId="1" xfId="4" applyNumberFormat="1" applyFont="1" applyBorder="1"/>
    <xf numFmtId="0" fontId="0" fillId="14" borderId="1" xfId="0" applyFill="1" applyBorder="1"/>
    <xf numFmtId="3" fontId="0" fillId="0" borderId="1" xfId="0" applyNumberFormat="1" applyBorder="1"/>
    <xf numFmtId="0" fontId="8" fillId="3" borderId="9" xfId="3" applyBorder="1"/>
    <xf numFmtId="2" fontId="8" fillId="3" borderId="9" xfId="3" applyNumberFormat="1" applyBorder="1"/>
    <xf numFmtId="9" fontId="6" fillId="0" borderId="1" xfId="0" applyNumberFormat="1" applyFont="1" applyBorder="1"/>
    <xf numFmtId="9" fontId="25" fillId="0" borderId="1" xfId="2" applyFont="1" applyBorder="1"/>
    <xf numFmtId="0" fontId="0" fillId="0" borderId="0" xfId="0" applyAlignment="1">
      <alignment vertical="center" wrapText="1"/>
    </xf>
    <xf numFmtId="0" fontId="1" fillId="0" borderId="0" xfId="0" applyFont="1" applyAlignment="1">
      <alignment vertical="center" wrapText="1"/>
    </xf>
    <xf numFmtId="0" fontId="1" fillId="0" borderId="0" xfId="0" applyFont="1" applyAlignment="1">
      <alignment vertical="center"/>
    </xf>
    <xf numFmtId="2" fontId="34" fillId="0" borderId="0" xfId="0" applyNumberFormat="1" applyFont="1"/>
    <xf numFmtId="2" fontId="34" fillId="0" borderId="2" xfId="0" applyNumberFormat="1" applyFont="1" applyBorder="1"/>
    <xf numFmtId="0" fontId="32" fillId="0" borderId="1" xfId="0" applyFont="1" applyBorder="1" applyAlignment="1">
      <alignment horizontal="center"/>
    </xf>
    <xf numFmtId="0" fontId="33" fillId="0" borderId="1" xfId="0" applyFont="1" applyFill="1" applyBorder="1" applyAlignment="1"/>
    <xf numFmtId="0" fontId="35" fillId="0" borderId="1" xfId="0" applyFont="1" applyBorder="1" applyAlignment="1">
      <alignment vertical="center"/>
    </xf>
    <xf numFmtId="165" fontId="0" fillId="0" borderId="0" xfId="2" applyNumberFormat="1" applyFont="1"/>
    <xf numFmtId="0" fontId="0" fillId="0" borderId="0" xfId="0"/>
    <xf numFmtId="0" fontId="32" fillId="0" borderId="0" xfId="0" applyFont="1" applyBorder="1"/>
    <xf numFmtId="0" fontId="33" fillId="0" borderId="15" xfId="0" applyFont="1" applyBorder="1" applyAlignment="1">
      <alignment horizontal="center"/>
    </xf>
    <xf numFmtId="0" fontId="33" fillId="0" borderId="1" xfId="0" applyNumberFormat="1" applyFont="1" applyBorder="1" applyAlignment="1">
      <alignment horizontal="left"/>
    </xf>
    <xf numFmtId="0" fontId="32" fillId="0" borderId="15" xfId="0" applyFont="1" applyBorder="1" applyAlignment="1">
      <alignment horizontal="center"/>
    </xf>
    <xf numFmtId="0" fontId="33" fillId="0" borderId="1" xfId="0" applyFont="1" applyBorder="1" applyAlignment="1">
      <alignment horizontal="center"/>
    </xf>
    <xf numFmtId="0" fontId="33" fillId="0" borderId="1" xfId="0" applyFont="1" applyFill="1" applyBorder="1" applyAlignment="1">
      <alignment horizontal="right"/>
    </xf>
    <xf numFmtId="0" fontId="33" fillId="5" borderId="14" xfId="0" applyFont="1" applyFill="1" applyBorder="1" applyAlignment="1">
      <alignment horizontal="right"/>
    </xf>
    <xf numFmtId="0" fontId="33" fillId="0" borderId="0" xfId="0" applyFont="1" applyBorder="1"/>
    <xf numFmtId="0" fontId="32" fillId="0" borderId="1" xfId="0" applyFont="1" applyBorder="1"/>
    <xf numFmtId="2" fontId="32" fillId="5" borderId="1" xfId="0" applyNumberFormat="1" applyFont="1" applyFill="1" applyBorder="1" applyAlignment="1">
      <alignment horizontal="right"/>
    </xf>
    <xf numFmtId="2" fontId="32" fillId="0" borderId="1" xfId="0" applyNumberFormat="1" applyFont="1" applyFill="1" applyBorder="1" applyAlignment="1">
      <alignment horizontal="right"/>
    </xf>
    <xf numFmtId="2" fontId="32" fillId="5" borderId="14" xfId="0" applyNumberFormat="1" applyFont="1" applyFill="1" applyBorder="1" applyAlignment="1">
      <alignment horizontal="right"/>
    </xf>
    <xf numFmtId="0" fontId="34" fillId="0" borderId="1" xfId="0" applyFont="1" applyBorder="1"/>
    <xf numFmtId="0" fontId="34" fillId="0" borderId="0" xfId="0" applyFont="1"/>
    <xf numFmtId="0" fontId="32" fillId="0" borderId="15" xfId="0" applyFont="1" applyFill="1" applyBorder="1" applyAlignment="1">
      <alignment horizontal="center"/>
    </xf>
    <xf numFmtId="0" fontId="32" fillId="0" borderId="1" xfId="0" applyFont="1" applyFill="1" applyBorder="1"/>
    <xf numFmtId="169" fontId="32" fillId="0" borderId="1" xfId="5" applyNumberFormat="1" applyFont="1" applyFill="1" applyBorder="1" applyAlignment="1">
      <alignment horizontal="right" vertical="center"/>
    </xf>
    <xf numFmtId="2" fontId="32" fillId="0" borderId="1" xfId="0" applyNumberFormat="1" applyFont="1" applyFill="1" applyBorder="1"/>
    <xf numFmtId="2" fontId="33" fillId="0" borderId="1" xfId="0" applyNumberFormat="1" applyFont="1" applyFill="1" applyBorder="1" applyAlignment="1">
      <alignment horizontal="right"/>
    </xf>
    <xf numFmtId="0" fontId="33" fillId="0" borderId="1" xfId="0" applyFont="1" applyBorder="1" applyAlignment="1">
      <alignment horizontal="right"/>
    </xf>
    <xf numFmtId="167" fontId="32" fillId="5" borderId="1" xfId="0" applyNumberFormat="1" applyFont="1" applyFill="1" applyBorder="1" applyAlignment="1">
      <alignment horizontal="right"/>
    </xf>
    <xf numFmtId="167" fontId="33" fillId="0" borderId="1" xfId="0" applyNumberFormat="1" applyFont="1" applyFill="1" applyBorder="1"/>
    <xf numFmtId="167" fontId="33" fillId="0" borderId="1" xfId="0" applyNumberFormat="1" applyFont="1" applyFill="1" applyBorder="1" applyAlignment="1">
      <alignment horizontal="right"/>
    </xf>
    <xf numFmtId="167" fontId="32" fillId="0" borderId="1" xfId="0" applyNumberFormat="1" applyFont="1" applyFill="1" applyBorder="1" applyAlignment="1">
      <alignment horizontal="right"/>
    </xf>
    <xf numFmtId="0" fontId="33" fillId="0" borderId="18" xfId="0" applyNumberFormat="1" applyFont="1" applyFill="1" applyBorder="1" applyAlignment="1">
      <alignment horizontal="center" vertical="center" wrapText="1"/>
    </xf>
    <xf numFmtId="0" fontId="33" fillId="0" borderId="2" xfId="0" applyFont="1" applyFill="1" applyBorder="1" applyAlignment="1">
      <alignment horizontal="right"/>
    </xf>
    <xf numFmtId="2" fontId="32" fillId="0" borderId="2" xfId="0" applyNumberFormat="1" applyFont="1" applyFill="1" applyBorder="1" applyAlignment="1">
      <alignment horizontal="right"/>
    </xf>
    <xf numFmtId="0" fontId="34" fillId="0" borderId="2" xfId="0" applyFont="1" applyBorder="1"/>
    <xf numFmtId="2" fontId="33" fillId="0" borderId="2" xfId="0" applyNumberFormat="1" applyFont="1" applyFill="1" applyBorder="1" applyAlignment="1">
      <alignment horizontal="right"/>
    </xf>
    <xf numFmtId="2" fontId="32" fillId="0" borderId="16" xfId="0" applyNumberFormat="1" applyFont="1" applyFill="1" applyBorder="1" applyAlignment="1">
      <alignment horizontal="right"/>
    </xf>
    <xf numFmtId="2" fontId="33" fillId="0" borderId="16" xfId="0" applyNumberFormat="1" applyFont="1" applyFill="1" applyBorder="1" applyAlignment="1">
      <alignment horizontal="right"/>
    </xf>
    <xf numFmtId="2" fontId="34" fillId="0" borderId="6" xfId="0" applyNumberFormat="1" applyFont="1" applyBorder="1"/>
    <xf numFmtId="0" fontId="34" fillId="0" borderId="6" xfId="0" applyFont="1" applyBorder="1"/>
    <xf numFmtId="2" fontId="33" fillId="5" borderId="14" xfId="0" applyNumberFormat="1" applyFont="1" applyFill="1" applyBorder="1" applyAlignment="1">
      <alignment horizontal="right"/>
    </xf>
    <xf numFmtId="2" fontId="34" fillId="0" borderId="1" xfId="0" applyNumberFormat="1" applyFont="1" applyBorder="1"/>
    <xf numFmtId="0" fontId="33" fillId="0" borderId="4" xfId="0" applyNumberFormat="1" applyFont="1" applyFill="1" applyBorder="1" applyAlignment="1">
      <alignment vertical="center" wrapText="1"/>
    </xf>
    <xf numFmtId="0" fontId="33" fillId="0" borderId="19" xfId="0" applyFont="1" applyBorder="1" applyAlignment="1">
      <alignment vertical="center" wrapText="1"/>
    </xf>
    <xf numFmtId="0" fontId="20" fillId="0" borderId="0" xfId="0" applyFont="1"/>
    <xf numFmtId="0" fontId="0" fillId="0" borderId="4" xfId="0" applyBorder="1"/>
    <xf numFmtId="9" fontId="0" fillId="0" borderId="0" xfId="2" applyFont="1"/>
    <xf numFmtId="0" fontId="0" fillId="0" borderId="0" xfId="0"/>
    <xf numFmtId="0" fontId="36" fillId="5" borderId="0" xfId="0" applyFont="1" applyFill="1" applyBorder="1" applyAlignment="1">
      <alignment horizontal="left" vertical="center" wrapText="1"/>
    </xf>
    <xf numFmtId="0" fontId="36" fillId="5" borderId="0" xfId="0" applyFont="1" applyFill="1" applyBorder="1" applyAlignment="1">
      <alignment horizontal="right" vertical="center" wrapText="1"/>
    </xf>
    <xf numFmtId="0" fontId="36" fillId="5" borderId="2" xfId="0" applyFont="1" applyFill="1" applyBorder="1" applyAlignment="1">
      <alignment horizontal="left" vertical="center" wrapText="1"/>
    </xf>
    <xf numFmtId="1" fontId="37" fillId="0" borderId="3" xfId="0" applyNumberFormat="1" applyFont="1" applyBorder="1" applyAlignment="1">
      <alignment horizontal="center" vertical="center" wrapText="1"/>
    </xf>
    <xf numFmtId="0" fontId="32" fillId="5" borderId="4" xfId="0" applyFont="1" applyFill="1" applyBorder="1"/>
    <xf numFmtId="2" fontId="32" fillId="5" borderId="21" xfId="0" applyNumberFormat="1" applyFont="1" applyFill="1" applyBorder="1"/>
    <xf numFmtId="2" fontId="32" fillId="5" borderId="4" xfId="0" applyNumberFormat="1" applyFont="1" applyFill="1" applyBorder="1"/>
    <xf numFmtId="2" fontId="32" fillId="5" borderId="22" xfId="0" applyNumberFormat="1" applyFont="1" applyFill="1" applyBorder="1"/>
    <xf numFmtId="0" fontId="32" fillId="5" borderId="6" xfId="0" applyFont="1" applyFill="1" applyBorder="1"/>
    <xf numFmtId="2" fontId="38" fillId="5" borderId="6" xfId="14" applyNumberFormat="1" applyFont="1" applyFill="1" applyBorder="1" applyAlignment="1">
      <alignment horizontal="right"/>
    </xf>
    <xf numFmtId="2" fontId="38" fillId="5" borderId="22" xfId="14" applyNumberFormat="1" applyFont="1" applyFill="1" applyBorder="1" applyAlignment="1">
      <alignment horizontal="right"/>
    </xf>
    <xf numFmtId="2" fontId="32" fillId="5" borderId="6" xfId="0" applyNumberFormat="1" applyFont="1" applyFill="1" applyBorder="1"/>
    <xf numFmtId="2" fontId="32" fillId="5" borderId="22" xfId="0" applyNumberFormat="1" applyFont="1" applyFill="1" applyBorder="1" applyAlignment="1">
      <alignment horizontal="right"/>
    </xf>
    <xf numFmtId="0" fontId="33" fillId="5" borderId="1" xfId="0" applyFont="1" applyFill="1" applyBorder="1"/>
    <xf numFmtId="2" fontId="33" fillId="5" borderId="3" xfId="0" applyNumberFormat="1" applyFont="1" applyFill="1" applyBorder="1" applyAlignment="1">
      <alignment horizontal="right"/>
    </xf>
    <xf numFmtId="2" fontId="33" fillId="5" borderId="16" xfId="0" applyNumberFormat="1" applyFont="1" applyFill="1" applyBorder="1" applyAlignment="1">
      <alignment horizontal="right"/>
    </xf>
    <xf numFmtId="0" fontId="33" fillId="5" borderId="5" xfId="0" applyFont="1" applyFill="1" applyBorder="1"/>
    <xf numFmtId="2" fontId="33" fillId="0" borderId="23" xfId="0" applyNumberFormat="1" applyFont="1" applyFill="1" applyBorder="1" applyAlignment="1">
      <alignment horizontal="right" vertical="center"/>
    </xf>
    <xf numFmtId="2" fontId="32" fillId="5" borderId="24" xfId="0" applyNumberFormat="1" applyFont="1" applyFill="1" applyBorder="1"/>
    <xf numFmtId="2" fontId="33" fillId="5" borderId="21" xfId="0" applyNumberFormat="1" applyFont="1" applyFill="1" applyBorder="1"/>
    <xf numFmtId="2" fontId="32" fillId="5" borderId="8" xfId="0" applyNumberFormat="1" applyFont="1" applyFill="1" applyBorder="1"/>
    <xf numFmtId="2" fontId="33" fillId="5" borderId="22" xfId="0" applyNumberFormat="1" applyFont="1" applyFill="1" applyBorder="1"/>
    <xf numFmtId="2" fontId="38" fillId="5" borderId="8" xfId="14" applyNumberFormat="1" applyFont="1" applyFill="1" applyBorder="1" applyAlignment="1">
      <alignment horizontal="right"/>
    </xf>
    <xf numFmtId="2" fontId="39" fillId="5" borderId="22" xfId="14" applyNumberFormat="1" applyFont="1" applyFill="1" applyBorder="1" applyAlignment="1">
      <alignment horizontal="right"/>
    </xf>
    <xf numFmtId="2" fontId="32" fillId="5" borderId="18" xfId="0" applyNumberFormat="1" applyFont="1" applyFill="1" applyBorder="1"/>
    <xf numFmtId="2" fontId="32" fillId="5" borderId="5" xfId="0" applyNumberFormat="1" applyFont="1" applyFill="1" applyBorder="1"/>
    <xf numFmtId="2" fontId="33" fillId="5" borderId="1" xfId="0" applyNumberFormat="1" applyFont="1" applyFill="1" applyBorder="1" applyAlignment="1">
      <alignment horizontal="right"/>
    </xf>
    <xf numFmtId="2" fontId="33" fillId="5" borderId="1" xfId="0" applyNumberFormat="1" applyFont="1" applyFill="1" applyBorder="1" applyAlignment="1">
      <alignment horizontal="right" vertical="center"/>
    </xf>
    <xf numFmtId="2" fontId="32" fillId="5" borderId="1" xfId="0" applyNumberFormat="1" applyFont="1" applyFill="1" applyBorder="1" applyAlignment="1">
      <alignment horizontal="right" vertical="center"/>
    </xf>
    <xf numFmtId="0" fontId="32" fillId="5" borderId="0" xfId="0" applyFont="1" applyFill="1" applyBorder="1"/>
    <xf numFmtId="2" fontId="33" fillId="0" borderId="0" xfId="0" applyNumberFormat="1" applyFont="1" applyFill="1" applyBorder="1" applyAlignment="1">
      <alignment horizontal="right" vertical="center"/>
    </xf>
    <xf numFmtId="0" fontId="32" fillId="0" borderId="0" xfId="0" applyFont="1" applyAlignment="1">
      <alignment horizontal="right"/>
    </xf>
    <xf numFmtId="0" fontId="40" fillId="0" borderId="0" xfId="0" applyFont="1" applyAlignment="1">
      <alignment horizontal="right"/>
    </xf>
    <xf numFmtId="0" fontId="41" fillId="5" borderId="0" xfId="0" applyFont="1" applyFill="1" applyBorder="1"/>
    <xf numFmtId="0" fontId="36" fillId="5" borderId="0" xfId="0" applyFont="1" applyFill="1" applyBorder="1" applyAlignment="1">
      <alignment vertical="center" wrapText="1"/>
    </xf>
    <xf numFmtId="0" fontId="36" fillId="5" borderId="0" xfId="0" applyFont="1" applyFill="1" applyBorder="1" applyAlignment="1">
      <alignment vertical="center"/>
    </xf>
    <xf numFmtId="0" fontId="32" fillId="5" borderId="24" xfId="0" applyFont="1" applyFill="1" applyBorder="1"/>
    <xf numFmtId="0" fontId="32" fillId="5" borderId="8" xfId="0" applyFont="1" applyFill="1" applyBorder="1"/>
    <xf numFmtId="1" fontId="37" fillId="0" borderId="21" xfId="0" applyNumberFormat="1" applyFont="1" applyBorder="1" applyAlignment="1">
      <alignment horizontal="center" vertical="center" wrapText="1"/>
    </xf>
    <xf numFmtId="2" fontId="33" fillId="5" borderId="23" xfId="0" applyNumberFormat="1" applyFont="1" applyFill="1" applyBorder="1" applyAlignment="1">
      <alignment horizontal="right"/>
    </xf>
    <xf numFmtId="9" fontId="33" fillId="0" borderId="23" xfId="2" applyFont="1" applyFill="1" applyBorder="1" applyAlignment="1">
      <alignment horizontal="right" vertical="center"/>
    </xf>
    <xf numFmtId="10" fontId="33" fillId="0" borderId="23" xfId="2" applyNumberFormat="1" applyFont="1" applyFill="1" applyBorder="1" applyAlignment="1">
      <alignment horizontal="right" vertical="center"/>
    </xf>
    <xf numFmtId="0" fontId="33" fillId="5" borderId="1" xfId="0" applyFont="1" applyFill="1" applyBorder="1" applyAlignment="1">
      <alignment horizontal="center" vertical="center" wrapText="1"/>
    </xf>
    <xf numFmtId="2" fontId="0" fillId="0" borderId="1" xfId="0" applyNumberFormat="1" applyFont="1" applyBorder="1"/>
    <xf numFmtId="1" fontId="0" fillId="0" borderId="0" xfId="0" applyNumberFormat="1" applyFont="1"/>
    <xf numFmtId="0" fontId="0" fillId="0" borderId="0" xfId="0" applyFont="1" applyFill="1" applyBorder="1"/>
    <xf numFmtId="4" fontId="0" fillId="0" borderId="0" xfId="0" applyNumberFormat="1" applyFont="1" applyBorder="1"/>
    <xf numFmtId="0" fontId="0" fillId="0" borderId="1" xfId="0" applyFont="1" applyFill="1" applyBorder="1"/>
    <xf numFmtId="0" fontId="42" fillId="0" borderId="0" xfId="0" applyFont="1" applyAlignment="1">
      <alignment horizontal="center" vertical="center"/>
    </xf>
    <xf numFmtId="0" fontId="43" fillId="15" borderId="0" xfId="0" applyFont="1" applyFill="1" applyAlignment="1">
      <alignment horizontal="center" vertical="center" wrapText="1"/>
    </xf>
    <xf numFmtId="0" fontId="0" fillId="16" borderId="0" xfId="0" applyFill="1" applyAlignment="1">
      <alignment horizontal="center" vertical="center" wrapText="1"/>
    </xf>
    <xf numFmtId="0" fontId="3" fillId="0" borderId="0" xfId="0" applyFont="1" applyAlignment="1">
      <alignment vertical="center" wrapText="1"/>
    </xf>
    <xf numFmtId="0" fontId="0" fillId="0" borderId="1" xfId="0" applyFont="1" applyBorder="1" applyAlignment="1">
      <alignment wrapText="1"/>
    </xf>
    <xf numFmtId="0" fontId="0" fillId="0" borderId="1" xfId="0" applyFont="1" applyFill="1" applyBorder="1" applyAlignment="1">
      <alignment wrapText="1"/>
    </xf>
    <xf numFmtId="0" fontId="1" fillId="0" borderId="5" xfId="0" applyFont="1" applyBorder="1"/>
    <xf numFmtId="0" fontId="1" fillId="0" borderId="5" xfId="0" applyFont="1" applyBorder="1" applyAlignment="1">
      <alignment wrapText="1"/>
    </xf>
    <xf numFmtId="0" fontId="1" fillId="0" borderId="5" xfId="0" applyFont="1" applyFill="1" applyBorder="1" applyAlignment="1">
      <alignment wrapText="1"/>
    </xf>
    <xf numFmtId="168" fontId="0" fillId="0" borderId="1" xfId="0" applyNumberFormat="1" applyFont="1" applyBorder="1"/>
    <xf numFmtId="0" fontId="0" fillId="0" borderId="6" xfId="0" applyFill="1" applyBorder="1"/>
    <xf numFmtId="2" fontId="0" fillId="0" borderId="6" xfId="0" applyNumberFormat="1" applyFill="1" applyBorder="1"/>
    <xf numFmtId="0" fontId="3" fillId="0" borderId="0" xfId="0" applyFont="1" applyFill="1" applyBorder="1"/>
    <xf numFmtId="0" fontId="20" fillId="0" borderId="0" xfId="4" applyFont="1" applyAlignment="1"/>
    <xf numFmtId="0" fontId="27" fillId="0" borderId="0" xfId="4" applyFont="1" applyAlignment="1"/>
    <xf numFmtId="0" fontId="0" fillId="0" borderId="0" xfId="10" applyFont="1"/>
    <xf numFmtId="3" fontId="7" fillId="0" borderId="1" xfId="10" applyNumberFormat="1" applyBorder="1"/>
    <xf numFmtId="2" fontId="6" fillId="0" borderId="1" xfId="10" applyNumberFormat="1" applyFont="1" applyBorder="1"/>
    <xf numFmtId="2" fontId="4" fillId="0" borderId="1" xfId="10" applyNumberFormat="1" applyFont="1" applyBorder="1"/>
    <xf numFmtId="9" fontId="4" fillId="0" borderId="1" xfId="2" applyFont="1" applyBorder="1"/>
    <xf numFmtId="1" fontId="4" fillId="0" borderId="1" xfId="10" applyNumberFormat="1" applyFont="1" applyBorder="1"/>
    <xf numFmtId="3" fontId="1" fillId="0" borderId="1" xfId="10" applyNumberFormat="1" applyFont="1" applyBorder="1"/>
    <xf numFmtId="0" fontId="0" fillId="0" borderId="0" xfId="0" applyFill="1" applyBorder="1"/>
    <xf numFmtId="0" fontId="0" fillId="0" borderId="0" xfId="0" applyNumberFormat="1"/>
    <xf numFmtId="17" fontId="0" fillId="0" borderId="0" xfId="0" applyNumberFormat="1"/>
    <xf numFmtId="168" fontId="0" fillId="0" borderId="0" xfId="0" applyNumberFormat="1"/>
    <xf numFmtId="1" fontId="0" fillId="0" borderId="0" xfId="0" quotePrefix="1" applyNumberFormat="1"/>
    <xf numFmtId="0" fontId="21" fillId="0" borderId="0" xfId="0" applyFont="1" applyBorder="1" applyAlignment="1">
      <alignment horizontal="left" wrapText="1"/>
    </xf>
    <xf numFmtId="9" fontId="0" fillId="0" borderId="0" xfId="0" applyNumberFormat="1" applyAlignment="1">
      <alignment horizontal="right"/>
    </xf>
    <xf numFmtId="0" fontId="0" fillId="0" borderId="0" xfId="0" applyAlignment="1">
      <alignment horizontal="left" wrapText="1"/>
    </xf>
    <xf numFmtId="1" fontId="0" fillId="0" borderId="0" xfId="0" quotePrefix="1" applyNumberFormat="1" applyAlignment="1">
      <alignment wrapText="1"/>
    </xf>
    <xf numFmtId="14" fontId="0" fillId="0" borderId="0" xfId="0" applyNumberFormat="1" applyAlignment="1">
      <alignment wrapText="1"/>
    </xf>
    <xf numFmtId="1" fontId="0" fillId="0" borderId="0" xfId="0" applyNumberFormat="1" applyAlignment="1">
      <alignment wrapText="1"/>
    </xf>
    <xf numFmtId="168" fontId="0" fillId="0" borderId="0" xfId="0" quotePrefix="1" applyNumberFormat="1" applyAlignment="1">
      <alignment wrapText="1"/>
    </xf>
    <xf numFmtId="165" fontId="0" fillId="0" borderId="0" xfId="0" applyNumberFormat="1"/>
    <xf numFmtId="3" fontId="46" fillId="0" borderId="0" xfId="18" applyNumberFormat="1" applyFont="1" applyBorder="1" applyAlignment="1">
      <alignment horizontal="right" wrapText="1"/>
    </xf>
    <xf numFmtId="0" fontId="46" fillId="0" borderId="0" xfId="18" applyFont="1" applyBorder="1" applyAlignment="1">
      <alignment horizontal="right" wrapText="1"/>
    </xf>
    <xf numFmtId="2" fontId="0" fillId="0" borderId="0" xfId="0" quotePrefix="1" applyNumberFormat="1"/>
    <xf numFmtId="165" fontId="0" fillId="0" borderId="0" xfId="2" applyNumberFormat="1" applyFont="1" applyAlignment="1">
      <alignment horizontal="right"/>
    </xf>
    <xf numFmtId="1" fontId="4" fillId="0" borderId="0" xfId="4" applyNumberFormat="1" applyFont="1"/>
    <xf numFmtId="0" fontId="0" fillId="0" borderId="38" xfId="0" applyFont="1" applyBorder="1"/>
    <xf numFmtId="0" fontId="25" fillId="0" borderId="0" xfId="0" applyFont="1"/>
    <xf numFmtId="0" fontId="6" fillId="0" borderId="0" xfId="0" applyFont="1" applyBorder="1" applyAlignment="1">
      <alignment wrapText="1"/>
    </xf>
    <xf numFmtId="1" fontId="6" fillId="0" borderId="0" xfId="0" applyNumberFormat="1" applyFont="1" applyBorder="1" applyAlignment="1">
      <alignment wrapText="1"/>
    </xf>
    <xf numFmtId="168" fontId="6" fillId="0" borderId="0" xfId="0" applyNumberFormat="1" applyFont="1" applyBorder="1" applyAlignment="1">
      <alignment wrapText="1"/>
    </xf>
    <xf numFmtId="0" fontId="16" fillId="0" borderId="0" xfId="0" applyFont="1" applyBorder="1" applyAlignment="1">
      <alignment wrapText="1"/>
    </xf>
    <xf numFmtId="0" fontId="6" fillId="12" borderId="0" xfId="0" applyFont="1" applyFill="1" applyBorder="1" applyAlignment="1">
      <alignment wrapText="1"/>
    </xf>
    <xf numFmtId="0" fontId="16" fillId="6" borderId="0" xfId="0" applyFont="1" applyFill="1" applyBorder="1" applyAlignment="1">
      <alignment wrapText="1"/>
    </xf>
    <xf numFmtId="9" fontId="6" fillId="0" borderId="0" xfId="5" applyNumberFormat="1" applyFont="1" applyFill="1" applyBorder="1" applyAlignment="1" applyProtection="1">
      <alignment wrapText="1"/>
      <protection locked="0"/>
    </xf>
    <xf numFmtId="9" fontId="6" fillId="0" borderId="0" xfId="0" applyNumberFormat="1" applyFont="1" applyBorder="1" applyAlignment="1">
      <alignment wrapText="1"/>
    </xf>
    <xf numFmtId="0" fontId="6" fillId="0" borderId="0" xfId="0" applyNumberFormat="1" applyFont="1" applyBorder="1" applyAlignment="1">
      <alignment wrapText="1"/>
    </xf>
    <xf numFmtId="1" fontId="6" fillId="0" borderId="0" xfId="5" applyNumberFormat="1" applyFont="1" applyFill="1" applyBorder="1" applyAlignment="1" applyProtection="1">
      <alignment wrapText="1"/>
      <protection locked="0"/>
    </xf>
    <xf numFmtId="0" fontId="6" fillId="0" borderId="0" xfId="5" applyFont="1" applyFill="1" applyBorder="1" applyAlignment="1" applyProtection="1">
      <alignment wrapText="1"/>
    </xf>
    <xf numFmtId="0" fontId="6" fillId="0" borderId="0" xfId="5" applyFont="1" applyFill="1" applyBorder="1" applyAlignment="1">
      <alignment wrapText="1"/>
    </xf>
    <xf numFmtId="2" fontId="6" fillId="0" borderId="0" xfId="0" applyNumberFormat="1" applyFont="1" applyBorder="1" applyAlignment="1">
      <alignment wrapText="1"/>
    </xf>
    <xf numFmtId="9" fontId="6" fillId="0" borderId="0" xfId="2" applyFont="1" applyBorder="1" applyAlignment="1">
      <alignment wrapText="1"/>
    </xf>
    <xf numFmtId="10" fontId="6" fillId="0" borderId="0" xfId="0" applyNumberFormat="1" applyFont="1" applyBorder="1" applyAlignment="1">
      <alignment wrapText="1"/>
    </xf>
    <xf numFmtId="0" fontId="6" fillId="0" borderId="0" xfId="0" applyFont="1" applyBorder="1" applyAlignment="1">
      <alignment horizontal="right" wrapText="1"/>
    </xf>
    <xf numFmtId="2" fontId="6" fillId="0" borderId="0" xfId="5" applyNumberFormat="1" applyFont="1" applyFill="1" applyBorder="1" applyAlignment="1" applyProtection="1">
      <alignment wrapText="1"/>
      <protection locked="0"/>
    </xf>
    <xf numFmtId="2" fontId="7" fillId="0" borderId="1" xfId="4" applyNumberFormat="1" applyFill="1" applyBorder="1"/>
    <xf numFmtId="0" fontId="12" fillId="0" borderId="0" xfId="0" applyFont="1"/>
    <xf numFmtId="0" fontId="47" fillId="0" borderId="0" xfId="0" applyFont="1" applyBorder="1" applyAlignment="1">
      <alignment horizontal="right"/>
    </xf>
    <xf numFmtId="0" fontId="12" fillId="0" borderId="0" xfId="0" applyFont="1" applyBorder="1"/>
    <xf numFmtId="2" fontId="12" fillId="0" borderId="0" xfId="0" applyNumberFormat="1" applyFont="1" applyBorder="1" applyAlignment="1">
      <alignment horizontal="right"/>
    </xf>
    <xf numFmtId="0" fontId="12" fillId="0" borderId="0" xfId="0" applyFont="1" applyFill="1" applyBorder="1"/>
    <xf numFmtId="0" fontId="0" fillId="0" borderId="0" xfId="0" applyBorder="1"/>
    <xf numFmtId="2" fontId="0" fillId="0" borderId="0" xfId="0" quotePrefix="1" applyNumberFormat="1" applyFill="1" applyBorder="1"/>
    <xf numFmtId="0" fontId="1" fillId="0" borderId="0" xfId="0" applyFont="1" applyAlignment="1">
      <alignment horizontal="center" wrapText="1"/>
    </xf>
    <xf numFmtId="1" fontId="27" fillId="6" borderId="0" xfId="0" applyNumberFormat="1" applyFont="1" applyFill="1" applyBorder="1" applyAlignment="1" applyProtection="1">
      <alignment horizontal="center"/>
    </xf>
    <xf numFmtId="0" fontId="0" fillId="18" borderId="38" xfId="0" applyFont="1" applyFill="1" applyBorder="1"/>
    <xf numFmtId="1" fontId="0" fillId="18" borderId="38" xfId="0" applyNumberFormat="1" applyFont="1" applyFill="1" applyBorder="1"/>
    <xf numFmtId="0" fontId="50" fillId="17" borderId="46" xfId="0" applyFont="1" applyFill="1" applyBorder="1" applyAlignment="1">
      <alignment wrapText="1"/>
    </xf>
    <xf numFmtId="0" fontId="50" fillId="17" borderId="47" xfId="0" applyFont="1" applyFill="1" applyBorder="1"/>
    <xf numFmtId="0" fontId="50" fillId="17" borderId="47" xfId="0" applyFont="1" applyFill="1" applyBorder="1" applyAlignment="1">
      <alignment wrapText="1"/>
    </xf>
    <xf numFmtId="0" fontId="0" fillId="18" borderId="46" xfId="0" applyNumberFormat="1" applyFont="1" applyFill="1" applyBorder="1"/>
    <xf numFmtId="0" fontId="0" fillId="18" borderId="47" xfId="0" applyFont="1" applyFill="1" applyBorder="1"/>
    <xf numFmtId="2" fontId="0" fillId="18" borderId="47" xfId="0" applyNumberFormat="1" applyFont="1" applyFill="1" applyBorder="1"/>
    <xf numFmtId="1" fontId="0" fillId="18" borderId="47" xfId="0" applyNumberFormat="1" applyFont="1" applyFill="1" applyBorder="1"/>
    <xf numFmtId="0" fontId="0" fillId="0" borderId="46" xfId="0" applyNumberFormat="1" applyFont="1" applyBorder="1"/>
    <xf numFmtId="0" fontId="0" fillId="0" borderId="47" xfId="0" applyFont="1" applyBorder="1"/>
    <xf numFmtId="2" fontId="0" fillId="0" borderId="47" xfId="0" applyNumberFormat="1" applyFont="1" applyBorder="1"/>
    <xf numFmtId="1" fontId="0" fillId="0" borderId="47" xfId="0" applyNumberFormat="1" applyFont="1" applyBorder="1"/>
    <xf numFmtId="1" fontId="0" fillId="0" borderId="48" xfId="0" applyNumberFormat="1" applyFont="1" applyBorder="1"/>
    <xf numFmtId="0" fontId="0" fillId="0" borderId="0" xfId="0" applyNumberFormat="1" applyAlignment="1">
      <alignment horizontal="right"/>
    </xf>
    <xf numFmtId="9" fontId="0" fillId="0" borderId="0" xfId="0" applyNumberFormat="1" applyFill="1"/>
    <xf numFmtId="165" fontId="0" fillId="0" borderId="0" xfId="0" applyNumberFormat="1" applyFill="1"/>
    <xf numFmtId="0" fontId="47" fillId="0" borderId="0" xfId="0" applyFont="1" applyAlignment="1"/>
    <xf numFmtId="1" fontId="0" fillId="0" borderId="0" xfId="0" applyNumberFormat="1" applyFill="1" applyBorder="1"/>
    <xf numFmtId="1" fontId="0" fillId="0" borderId="0" xfId="0" applyNumberFormat="1" applyBorder="1"/>
    <xf numFmtId="165" fontId="0" fillId="0" borderId="1" xfId="0" applyNumberFormat="1" applyBorder="1"/>
    <xf numFmtId="165" fontId="0" fillId="0" borderId="1" xfId="0" applyNumberFormat="1" applyFont="1" applyBorder="1"/>
    <xf numFmtId="0" fontId="1" fillId="0" borderId="1" xfId="0" applyFont="1" applyBorder="1" applyAlignment="1">
      <alignment horizontal="center"/>
    </xf>
    <xf numFmtId="0" fontId="1" fillId="0" borderId="1" xfId="0" applyFont="1" applyBorder="1" applyAlignment="1">
      <alignment horizontal="center" wrapText="1"/>
    </xf>
    <xf numFmtId="0" fontId="1" fillId="0" borderId="0" xfId="0" applyFont="1" applyAlignment="1">
      <alignment horizontal="left"/>
    </xf>
    <xf numFmtId="0" fontId="1" fillId="0" borderId="37" xfId="0" applyFont="1" applyBorder="1" applyAlignment="1">
      <alignment horizontal="left"/>
    </xf>
    <xf numFmtId="0" fontId="0" fillId="0" borderId="35" xfId="0" applyBorder="1" applyAlignment="1">
      <alignment horizontal="left" wrapText="1"/>
    </xf>
    <xf numFmtId="9" fontId="0" fillId="0" borderId="0" xfId="0" applyNumberFormat="1" applyBorder="1" applyAlignment="1">
      <alignment horizontal="right"/>
    </xf>
    <xf numFmtId="0" fontId="0" fillId="0" borderId="33" xfId="0" applyBorder="1" applyAlignment="1">
      <alignment horizontal="left" wrapText="1"/>
    </xf>
    <xf numFmtId="9" fontId="0" fillId="0" borderId="44" xfId="0" applyNumberFormat="1" applyBorder="1" applyAlignment="1">
      <alignment horizontal="right"/>
    </xf>
    <xf numFmtId="0" fontId="0" fillId="0" borderId="35" xfId="0" applyBorder="1"/>
    <xf numFmtId="2" fontId="0" fillId="0" borderId="0" xfId="0" applyNumberFormat="1" applyBorder="1"/>
    <xf numFmtId="1" fontId="0" fillId="0" borderId="34" xfId="0" applyNumberFormat="1" applyBorder="1"/>
    <xf numFmtId="0" fontId="0" fillId="0" borderId="33" xfId="0" applyBorder="1"/>
    <xf numFmtId="0" fontId="0" fillId="0" borderId="44" xfId="0" applyBorder="1"/>
    <xf numFmtId="1" fontId="0" fillId="0" borderId="32" xfId="0" applyNumberFormat="1" applyBorder="1"/>
    <xf numFmtId="0" fontId="0" fillId="0" borderId="37" xfId="0" applyBorder="1"/>
    <xf numFmtId="165" fontId="0" fillId="0" borderId="0" xfId="0" applyNumberFormat="1" applyFill="1" applyBorder="1"/>
    <xf numFmtId="9" fontId="0" fillId="0" borderId="0" xfId="0" applyNumberFormat="1" applyFill="1" applyBorder="1"/>
    <xf numFmtId="1" fontId="0" fillId="0" borderId="0" xfId="0" quotePrefix="1" applyNumberFormat="1" applyBorder="1"/>
    <xf numFmtId="2" fontId="0" fillId="0" borderId="0" xfId="0" quotePrefix="1" applyNumberFormat="1" applyBorder="1"/>
    <xf numFmtId="2" fontId="0" fillId="0" borderId="0" xfId="0" applyNumberFormat="1" applyFill="1" applyBorder="1"/>
    <xf numFmtId="2" fontId="0" fillId="0" borderId="34" xfId="0" quotePrefix="1" applyNumberFormat="1" applyBorder="1"/>
    <xf numFmtId="1" fontId="0" fillId="0" borderId="44" xfId="0" quotePrefix="1" applyNumberFormat="1" applyBorder="1"/>
    <xf numFmtId="0" fontId="1" fillId="0" borderId="25" xfId="0" applyFont="1" applyBorder="1" applyAlignment="1">
      <alignment horizontal="center"/>
    </xf>
    <xf numFmtId="0" fontId="1" fillId="0" borderId="39" xfId="0" applyFont="1" applyBorder="1"/>
    <xf numFmtId="0" fontId="1" fillId="0" borderId="41" xfId="0" applyFont="1" applyBorder="1"/>
    <xf numFmtId="165" fontId="0" fillId="0" borderId="34" xfId="0" applyNumberFormat="1" applyBorder="1"/>
    <xf numFmtId="165" fontId="0" fillId="0" borderId="44" xfId="0" applyNumberFormat="1" applyFill="1" applyBorder="1"/>
    <xf numFmtId="165" fontId="0" fillId="0" borderId="32" xfId="0" applyNumberFormat="1" applyBorder="1"/>
    <xf numFmtId="0" fontId="1" fillId="0" borderId="39" xfId="0" applyFont="1" applyBorder="1" applyAlignment="1">
      <alignment wrapText="1"/>
    </xf>
    <xf numFmtId="0" fontId="1" fillId="0" borderId="43" xfId="0" applyFont="1" applyBorder="1" applyAlignment="1">
      <alignment horizontal="center"/>
    </xf>
    <xf numFmtId="0" fontId="1" fillId="0" borderId="36" xfId="0" applyFont="1" applyBorder="1" applyAlignment="1">
      <alignment horizontal="center"/>
    </xf>
    <xf numFmtId="0" fontId="0" fillId="0" borderId="37" xfId="0" applyBorder="1" applyAlignment="1">
      <alignment horizontal="left"/>
    </xf>
    <xf numFmtId="165" fontId="0" fillId="0" borderId="43" xfId="2" applyNumberFormat="1" applyFont="1" applyBorder="1" applyAlignment="1">
      <alignment horizontal="right"/>
    </xf>
    <xf numFmtId="0" fontId="1" fillId="0" borderId="25" xfId="0" applyFont="1" applyBorder="1"/>
    <xf numFmtId="0" fontId="0" fillId="0" borderId="45" xfId="0" applyFont="1" applyFill="1" applyBorder="1"/>
    <xf numFmtId="1" fontId="0" fillId="0" borderId="38" xfId="0" applyNumberFormat="1" applyFont="1" applyBorder="1"/>
    <xf numFmtId="1" fontId="0" fillId="18" borderId="38" xfId="0" applyNumberFormat="1" applyFont="1" applyFill="1" applyBorder="1" applyAlignment="1">
      <alignment wrapText="1"/>
    </xf>
    <xf numFmtId="1" fontId="0" fillId="0" borderId="0" xfId="0" quotePrefix="1" applyNumberFormat="1" applyFill="1" applyBorder="1"/>
    <xf numFmtId="0" fontId="0" fillId="18" borderId="38" xfId="0" applyNumberFormat="1" applyFont="1" applyFill="1" applyBorder="1" applyAlignment="1">
      <alignment wrapText="1"/>
    </xf>
    <xf numFmtId="0" fontId="0" fillId="0" borderId="38" xfId="0" applyNumberFormat="1" applyFont="1" applyBorder="1" applyAlignment="1">
      <alignment wrapText="1"/>
    </xf>
    <xf numFmtId="0" fontId="50" fillId="17" borderId="49" xfId="0" applyFont="1" applyFill="1" applyBorder="1" applyAlignment="1">
      <alignment wrapText="1"/>
    </xf>
    <xf numFmtId="0" fontId="50" fillId="17" borderId="49" xfId="0" applyFont="1" applyFill="1" applyBorder="1"/>
    <xf numFmtId="0" fontId="0" fillId="18" borderId="47" xfId="0" applyNumberFormat="1" applyFont="1" applyFill="1" applyBorder="1" applyAlignment="1">
      <alignment wrapText="1"/>
    </xf>
    <xf numFmtId="0" fontId="0" fillId="0" borderId="0" xfId="0" applyNumberFormat="1" applyFont="1" applyBorder="1"/>
    <xf numFmtId="0" fontId="0" fillId="0" borderId="0" xfId="0" applyFont="1" applyBorder="1"/>
    <xf numFmtId="9" fontId="0" fillId="0" borderId="0" xfId="0" applyNumberFormat="1" applyFont="1" applyBorder="1"/>
    <xf numFmtId="2" fontId="0" fillId="0" borderId="0" xfId="0" applyNumberFormat="1" applyFont="1" applyBorder="1"/>
    <xf numFmtId="1" fontId="0" fillId="0" borderId="0" xfId="0" applyNumberFormat="1" applyFont="1" applyBorder="1"/>
    <xf numFmtId="165" fontId="0" fillId="18" borderId="47" xfId="0" applyNumberFormat="1" applyFont="1" applyFill="1" applyBorder="1"/>
    <xf numFmtId="165" fontId="0" fillId="0" borderId="47" xfId="0" applyNumberFormat="1" applyFont="1" applyBorder="1"/>
    <xf numFmtId="165" fontId="0" fillId="0" borderId="34" xfId="0" applyNumberFormat="1" applyFill="1" applyBorder="1"/>
    <xf numFmtId="165" fontId="0" fillId="0" borderId="32" xfId="0" applyNumberFormat="1" applyFill="1" applyBorder="1"/>
    <xf numFmtId="0" fontId="1" fillId="0" borderId="41" xfId="0" applyFont="1" applyBorder="1" applyAlignment="1">
      <alignment wrapText="1"/>
    </xf>
    <xf numFmtId="0" fontId="1" fillId="0" borderId="25" xfId="0" applyFont="1" applyBorder="1" applyAlignment="1">
      <alignment horizontal="left" wrapText="1"/>
    </xf>
    <xf numFmtId="1" fontId="27" fillId="0" borderId="0" xfId="0" applyNumberFormat="1" applyFont="1" applyFill="1" applyBorder="1" applyAlignment="1" applyProtection="1">
      <alignment horizontal="center"/>
    </xf>
    <xf numFmtId="0" fontId="21" fillId="0" borderId="35" xfId="0" applyFont="1" applyFill="1" applyBorder="1" applyAlignment="1">
      <alignment horizontal="left" wrapText="1"/>
    </xf>
    <xf numFmtId="0" fontId="21" fillId="0" borderId="33" xfId="0" applyFont="1" applyFill="1" applyBorder="1" applyAlignment="1">
      <alignment horizontal="left" wrapText="1"/>
    </xf>
    <xf numFmtId="0" fontId="1" fillId="0" borderId="39" xfId="0" applyFont="1" applyBorder="1" applyAlignment="1">
      <alignment horizontal="center"/>
    </xf>
    <xf numFmtId="0" fontId="0" fillId="0" borderId="34" xfId="0" quotePrefix="1" applyBorder="1"/>
    <xf numFmtId="0" fontId="0" fillId="0" borderId="50" xfId="0" applyFont="1" applyBorder="1"/>
    <xf numFmtId="2" fontId="0" fillId="0" borderId="44" xfId="0" applyNumberFormat="1" applyBorder="1"/>
    <xf numFmtId="0" fontId="0" fillId="0" borderId="32" xfId="0" quotePrefix="1" applyBorder="1"/>
    <xf numFmtId="1" fontId="0" fillId="0" borderId="34" xfId="0" quotePrefix="1" applyNumberFormat="1" applyBorder="1"/>
    <xf numFmtId="1" fontId="0" fillId="0" borderId="32" xfId="0" quotePrefix="1" applyNumberFormat="1" applyBorder="1"/>
    <xf numFmtId="0" fontId="1" fillId="0" borderId="41" xfId="0" applyFont="1" applyBorder="1" applyAlignment="1">
      <alignment horizontal="center"/>
    </xf>
    <xf numFmtId="2" fontId="0" fillId="0" borderId="1" xfId="0" applyNumberFormat="1" applyFill="1" applyBorder="1"/>
    <xf numFmtId="0" fontId="21" fillId="0" borderId="1" xfId="0" applyFont="1" applyBorder="1" applyAlignment="1">
      <alignment wrapText="1"/>
    </xf>
    <xf numFmtId="0" fontId="21" fillId="0" borderId="1" xfId="0" applyFont="1" applyBorder="1" applyAlignment="1">
      <alignment horizontal="left" wrapText="1"/>
    </xf>
    <xf numFmtId="0" fontId="0" fillId="0" borderId="15" xfId="0" applyBorder="1"/>
    <xf numFmtId="1" fontId="0" fillId="0" borderId="14" xfId="0" applyNumberFormat="1" applyBorder="1"/>
    <xf numFmtId="0" fontId="6" fillId="0" borderId="15" xfId="0" applyFont="1" applyBorder="1"/>
    <xf numFmtId="0" fontId="6" fillId="0" borderId="13" xfId="0" applyFont="1" applyBorder="1"/>
    <xf numFmtId="0" fontId="21" fillId="0" borderId="12" xfId="0" applyFont="1" applyBorder="1" applyAlignment="1">
      <alignment horizontal="left" wrapText="1"/>
    </xf>
    <xf numFmtId="0" fontId="0" fillId="0" borderId="12" xfId="0" applyBorder="1"/>
    <xf numFmtId="1" fontId="0" fillId="0" borderId="12" xfId="0" applyNumberFormat="1" applyBorder="1"/>
    <xf numFmtId="2" fontId="0" fillId="0" borderId="12" xfId="0" applyNumberFormat="1" applyBorder="1"/>
    <xf numFmtId="1" fontId="0" fillId="0" borderId="10" xfId="0" applyNumberFormat="1" applyBorder="1"/>
    <xf numFmtId="0" fontId="0" fillId="0" borderId="51" xfId="0" applyBorder="1"/>
    <xf numFmtId="0" fontId="0" fillId="0" borderId="5" xfId="0" applyBorder="1"/>
    <xf numFmtId="2" fontId="0" fillId="0" borderId="5" xfId="0" applyNumberFormat="1" applyBorder="1"/>
    <xf numFmtId="1" fontId="0" fillId="0" borderId="5" xfId="0" applyNumberFormat="1" applyBorder="1"/>
    <xf numFmtId="1" fontId="0" fillId="0" borderId="17" xfId="0" applyNumberFormat="1" applyBorder="1"/>
    <xf numFmtId="0" fontId="1" fillId="0" borderId="27" xfId="0" applyFont="1" applyBorder="1"/>
    <xf numFmtId="0" fontId="1" fillId="0" borderId="40" xfId="0" applyFont="1" applyBorder="1"/>
    <xf numFmtId="0" fontId="1" fillId="0" borderId="40" xfId="0" applyFont="1" applyBorder="1" applyAlignment="1">
      <alignment horizontal="left"/>
    </xf>
    <xf numFmtId="0" fontId="1" fillId="0" borderId="40" xfId="0" applyFont="1" applyBorder="1" applyAlignment="1">
      <alignment wrapText="1"/>
    </xf>
    <xf numFmtId="0" fontId="1" fillId="0" borderId="26" xfId="0" applyFont="1" applyBorder="1" applyAlignment="1">
      <alignment wrapText="1"/>
    </xf>
    <xf numFmtId="0" fontId="1" fillId="0" borderId="39" xfId="0" applyFont="1" applyBorder="1" applyAlignment="1">
      <alignment horizontal="left"/>
    </xf>
    <xf numFmtId="0" fontId="16" fillId="0" borderId="0" xfId="0" applyFont="1"/>
    <xf numFmtId="0" fontId="0" fillId="0" borderId="0" xfId="0" applyAlignment="1">
      <alignment horizontal="center"/>
    </xf>
    <xf numFmtId="0" fontId="0" fillId="0" borderId="1" xfId="0" applyBorder="1" applyAlignment="1">
      <alignment horizontal="center"/>
    </xf>
    <xf numFmtId="0" fontId="3" fillId="0" borderId="0" xfId="0" quotePrefix="1" applyFont="1" applyAlignment="1"/>
    <xf numFmtId="0" fontId="6" fillId="0" borderId="0" xfId="0" applyFont="1" applyBorder="1" applyAlignment="1"/>
    <xf numFmtId="0" fontId="0" fillId="18" borderId="38" xfId="0" applyFill="1" applyBorder="1"/>
    <xf numFmtId="0" fontId="0" fillId="18" borderId="46" xfId="0" applyFill="1" applyBorder="1"/>
    <xf numFmtId="0" fontId="0" fillId="18" borderId="47" xfId="0" applyFill="1" applyBorder="1"/>
    <xf numFmtId="0" fontId="0" fillId="18" borderId="48" xfId="0" applyFill="1" applyBorder="1"/>
    <xf numFmtId="0" fontId="48" fillId="0" borderId="0" xfId="0" applyFont="1"/>
    <xf numFmtId="0" fontId="52" fillId="20" borderId="1" xfId="21" applyFont="1" applyFill="1" applyBorder="1" applyAlignment="1">
      <alignment horizontal="center"/>
    </xf>
    <xf numFmtId="0" fontId="53" fillId="0" borderId="1" xfId="21" applyFont="1" applyBorder="1"/>
    <xf numFmtId="0" fontId="53" fillId="0" borderId="1" xfId="21" applyFont="1" applyBorder="1" applyAlignment="1">
      <alignment horizontal="center"/>
    </xf>
    <xf numFmtId="170" fontId="53" fillId="0" borderId="1" xfId="21" applyNumberFormat="1" applyFont="1" applyBorder="1"/>
    <xf numFmtId="2" fontId="53" fillId="0" borderId="1" xfId="21" applyNumberFormat="1" applyFont="1" applyBorder="1"/>
    <xf numFmtId="0" fontId="53" fillId="0" borderId="0" xfId="21" applyFont="1"/>
    <xf numFmtId="0" fontId="53" fillId="0" borderId="0" xfId="21" applyFont="1" applyAlignment="1">
      <alignment horizontal="center"/>
    </xf>
    <xf numFmtId="170" fontId="53" fillId="0" borderId="0" xfId="21" applyNumberFormat="1" applyFont="1"/>
    <xf numFmtId="2" fontId="53" fillId="0" borderId="0" xfId="21" applyNumberFormat="1" applyFont="1"/>
    <xf numFmtId="164" fontId="0" fillId="0" borderId="0" xfId="0" applyNumberFormat="1"/>
    <xf numFmtId="171" fontId="0" fillId="0" borderId="0" xfId="0" applyNumberFormat="1"/>
    <xf numFmtId="0" fontId="0" fillId="0" borderId="37" xfId="0" applyFont="1" applyBorder="1"/>
    <xf numFmtId="0" fontId="0" fillId="0" borderId="43" xfId="0" applyFont="1" applyBorder="1"/>
    <xf numFmtId="0" fontId="0" fillId="0" borderId="43" xfId="0" applyFont="1" applyBorder="1" applyAlignment="1">
      <alignment wrapText="1"/>
    </xf>
    <xf numFmtId="0" fontId="0" fillId="0" borderId="36" xfId="0" applyFont="1" applyBorder="1" applyAlignment="1">
      <alignment wrapText="1"/>
    </xf>
    <xf numFmtId="0" fontId="0" fillId="0" borderId="33" xfId="0" applyFont="1" applyBorder="1" applyAlignment="1">
      <alignment wrapText="1"/>
    </xf>
    <xf numFmtId="2" fontId="0" fillId="0" borderId="44" xfId="0" applyNumberFormat="1" applyFont="1" applyBorder="1"/>
    <xf numFmtId="2" fontId="0" fillId="0" borderId="44" xfId="0" applyNumberFormat="1" applyFont="1" applyBorder="1" applyAlignment="1">
      <alignment horizontal="center"/>
    </xf>
    <xf numFmtId="2" fontId="0" fillId="0" borderId="32" xfId="0" applyNumberFormat="1" applyFont="1" applyBorder="1" applyAlignment="1">
      <alignment horizontal="center"/>
    </xf>
    <xf numFmtId="0" fontId="55" fillId="0" borderId="1" xfId="0" applyFont="1" applyBorder="1" applyAlignment="1">
      <alignment horizontal="center" vertical="center"/>
    </xf>
    <xf numFmtId="0" fontId="0" fillId="0" borderId="1" xfId="0" applyBorder="1" applyAlignment="1">
      <alignment horizontal="center" wrapText="1"/>
    </xf>
    <xf numFmtId="0" fontId="0" fillId="0" borderId="0" xfId="0" applyFont="1" applyAlignment="1">
      <alignment vertical="center"/>
    </xf>
    <xf numFmtId="0" fontId="55" fillId="0" borderId="52" xfId="0" applyFont="1" applyBorder="1" applyAlignment="1">
      <alignment horizontal="center" vertical="center"/>
    </xf>
    <xf numFmtId="0" fontId="0" fillId="0" borderId="53" xfId="0" applyBorder="1" applyAlignment="1">
      <alignment horizontal="center"/>
    </xf>
    <xf numFmtId="0" fontId="0" fillId="0" borderId="53" xfId="0" applyBorder="1" applyAlignment="1">
      <alignment horizontal="center" wrapText="1"/>
    </xf>
    <xf numFmtId="0" fontId="1" fillId="0" borderId="53" xfId="0" applyFont="1" applyBorder="1" applyAlignment="1">
      <alignment horizontal="center" wrapText="1"/>
    </xf>
    <xf numFmtId="0" fontId="1" fillId="0" borderId="42" xfId="0" applyFont="1" applyBorder="1" applyAlignment="1">
      <alignment horizontal="center" wrapText="1"/>
    </xf>
    <xf numFmtId="0" fontId="1" fillId="0" borderId="13" xfId="0" applyFont="1" applyBorder="1"/>
    <xf numFmtId="0" fontId="0" fillId="0" borderId="12" xfId="0" applyBorder="1" applyAlignment="1">
      <alignment horizontal="center"/>
    </xf>
    <xf numFmtId="2" fontId="1" fillId="14" borderId="12" xfId="0" applyNumberFormat="1" applyFont="1" applyFill="1" applyBorder="1" applyAlignment="1">
      <alignment horizontal="center"/>
    </xf>
    <xf numFmtId="2" fontId="1" fillId="14" borderId="10" xfId="0" applyNumberFormat="1" applyFont="1" applyFill="1" applyBorder="1" applyAlignment="1">
      <alignment horizontal="center"/>
    </xf>
    <xf numFmtId="0" fontId="0" fillId="0" borderId="1" xfId="0" applyBorder="1" applyAlignment="1">
      <alignment horizontal="center" vertical="center" wrapText="1"/>
    </xf>
    <xf numFmtId="0" fontId="1" fillId="0" borderId="1" xfId="0" applyFont="1" applyBorder="1" applyAlignment="1">
      <alignment vertical="center"/>
    </xf>
    <xf numFmtId="2" fontId="1" fillId="0" borderId="1" xfId="0" applyNumberFormat="1" applyFont="1" applyBorder="1" applyAlignment="1">
      <alignment horizontal="center" vertical="center"/>
    </xf>
    <xf numFmtId="2" fontId="1" fillId="14" borderId="1" xfId="0" applyNumberFormat="1" applyFont="1" applyFill="1" applyBorder="1" applyAlignment="1">
      <alignment horizontal="center" vertical="center"/>
    </xf>
    <xf numFmtId="0" fontId="0" fillId="0" borderId="1" xfId="0" applyBorder="1" applyAlignment="1">
      <alignment vertical="center"/>
    </xf>
    <xf numFmtId="2" fontId="0" fillId="0" borderId="1" xfId="0" applyNumberForma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right" vertical="center"/>
    </xf>
    <xf numFmtId="0" fontId="56" fillId="0" borderId="0" xfId="0" applyFont="1" applyAlignment="1">
      <alignment vertical="center"/>
    </xf>
    <xf numFmtId="0" fontId="6" fillId="0" borderId="0" xfId="0" applyFont="1" applyAlignment="1">
      <alignment vertical="center"/>
    </xf>
    <xf numFmtId="0" fontId="4" fillId="0" borderId="1" xfId="0" applyFont="1" applyBorder="1" applyAlignment="1">
      <alignment horizontal="center"/>
    </xf>
    <xf numFmtId="2" fontId="1" fillId="0" borderId="1" xfId="0" applyNumberFormat="1" applyFont="1" applyBorder="1" applyAlignment="1">
      <alignment horizontal="center"/>
    </xf>
    <xf numFmtId="0" fontId="4" fillId="0" borderId="0" xfId="0" applyFont="1" applyAlignment="1">
      <alignment horizontal="center"/>
    </xf>
    <xf numFmtId="2" fontId="0" fillId="0" borderId="1" xfId="0" applyNumberFormat="1" applyBorder="1" applyAlignment="1">
      <alignment horizontal="center"/>
    </xf>
    <xf numFmtId="2" fontId="4" fillId="0" borderId="1" xfId="0" applyNumberFormat="1" applyFont="1" applyBorder="1" applyAlignment="1">
      <alignment horizontal="center"/>
    </xf>
    <xf numFmtId="2" fontId="25" fillId="0" borderId="1" xfId="0" applyNumberFormat="1" applyFont="1" applyBorder="1" applyAlignment="1">
      <alignment horizontal="center" vertical="center"/>
    </xf>
    <xf numFmtId="167" fontId="4" fillId="0" borderId="1" xfId="0" applyNumberFormat="1" applyFont="1" applyBorder="1" applyAlignment="1">
      <alignment horizontal="center"/>
    </xf>
    <xf numFmtId="167" fontId="4" fillId="0" borderId="0" xfId="0" applyNumberFormat="1" applyFont="1" applyAlignment="1">
      <alignment horizontal="center"/>
    </xf>
    <xf numFmtId="0" fontId="0" fillId="0" borderId="0" xfId="0" applyAlignment="1">
      <alignment vertical="center"/>
    </xf>
    <xf numFmtId="0" fontId="57" fillId="0" borderId="1" xfId="0" applyFont="1" applyBorder="1" applyAlignment="1">
      <alignment horizontal="center" wrapText="1"/>
    </xf>
    <xf numFmtId="14" fontId="0" fillId="0" borderId="1" xfId="0" applyNumberFormat="1" applyBorder="1" applyAlignment="1">
      <alignment wrapText="1"/>
    </xf>
    <xf numFmtId="14" fontId="0" fillId="0" borderId="1" xfId="0" applyNumberFormat="1" applyBorder="1"/>
    <xf numFmtId="165" fontId="0" fillId="0" borderId="1" xfId="2" applyNumberFormat="1" applyFont="1" applyBorder="1" applyAlignment="1">
      <alignment horizontal="center" vertic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2" fontId="0" fillId="0" borderId="8" xfId="0" applyNumberFormat="1" applyBorder="1" applyAlignment="1">
      <alignment horizontal="center" vertical="center" wrapText="1"/>
    </xf>
    <xf numFmtId="2" fontId="0" fillId="0" borderId="8" xfId="0" applyNumberFormat="1" applyBorder="1" applyAlignment="1">
      <alignment vertical="center" wrapText="1"/>
    </xf>
    <xf numFmtId="2" fontId="1" fillId="0" borderId="0" xfId="0" applyNumberFormat="1" applyFont="1" applyAlignment="1">
      <alignment vertical="center"/>
    </xf>
    <xf numFmtId="0" fontId="0" fillId="0" borderId="0" xfId="0" applyAlignment="1">
      <alignment horizontal="center" vertical="center"/>
    </xf>
    <xf numFmtId="0" fontId="0" fillId="0" borderId="0" xfId="0" applyAlignment="1">
      <alignment horizontal="center" vertical="center" wrapText="1"/>
    </xf>
    <xf numFmtId="9" fontId="0" fillId="0" borderId="1" xfId="2" applyFont="1" applyBorder="1" applyAlignment="1">
      <alignment horizontal="center" vertical="center"/>
    </xf>
    <xf numFmtId="0" fontId="0" fillId="0" borderId="1" xfId="0" applyBorder="1" applyAlignment="1">
      <alignment vertical="center" wrapText="1"/>
    </xf>
    <xf numFmtId="2" fontId="1" fillId="0" borderId="1" xfId="0" applyNumberFormat="1" applyFont="1" applyBorder="1" applyAlignment="1">
      <alignment vertical="center" wrapText="1"/>
    </xf>
    <xf numFmtId="170" fontId="0" fillId="0" borderId="1" xfId="0" applyNumberFormat="1" applyBorder="1" applyAlignment="1">
      <alignment wrapText="1"/>
    </xf>
    <xf numFmtId="1" fontId="0" fillId="0" borderId="1" xfId="0" applyNumberFormat="1" applyBorder="1" applyAlignment="1">
      <alignment wrapText="1"/>
    </xf>
    <xf numFmtId="2" fontId="0" fillId="0" borderId="1" xfId="0" applyNumberFormat="1" applyBorder="1" applyAlignment="1">
      <alignment wrapText="1"/>
    </xf>
    <xf numFmtId="170" fontId="0" fillId="0" borderId="1" xfId="0" applyNumberFormat="1" applyBorder="1"/>
    <xf numFmtId="0" fontId="29" fillId="0" borderId="1" xfId="0" applyFont="1" applyBorder="1" applyAlignment="1">
      <alignment wrapText="1"/>
    </xf>
    <xf numFmtId="10" fontId="0" fillId="0" borderId="1" xfId="0" applyNumberFormat="1" applyBorder="1" applyAlignment="1">
      <alignment wrapText="1"/>
    </xf>
    <xf numFmtId="9" fontId="0" fillId="0" borderId="1" xfId="0" applyNumberFormat="1" applyBorder="1" applyAlignment="1">
      <alignment wrapText="1"/>
    </xf>
    <xf numFmtId="9" fontId="0" fillId="0" borderId="0" xfId="0" applyNumberFormat="1" applyAlignment="1">
      <alignment wrapText="1"/>
    </xf>
    <xf numFmtId="10" fontId="0" fillId="0" borderId="0" xfId="0" applyNumberFormat="1" applyAlignment="1">
      <alignment wrapText="1"/>
    </xf>
    <xf numFmtId="172" fontId="7" fillId="0" borderId="0" xfId="4" applyNumberFormat="1"/>
    <xf numFmtId="9" fontId="7" fillId="0" borderId="0" xfId="4" applyNumberFormat="1"/>
    <xf numFmtId="165" fontId="0" fillId="0" borderId="0" xfId="27" applyNumberFormat="1" applyFont="1"/>
    <xf numFmtId="6" fontId="7" fillId="0" borderId="0" xfId="4" applyNumberFormat="1"/>
    <xf numFmtId="8" fontId="7" fillId="0" borderId="0" xfId="4" applyNumberFormat="1"/>
    <xf numFmtId="0" fontId="7" fillId="0" borderId="0" xfId="4" applyAlignment="1">
      <alignment horizontal="center"/>
    </xf>
    <xf numFmtId="1" fontId="7" fillId="0" borderId="0" xfId="4" applyNumberFormat="1" applyAlignment="1">
      <alignment horizontal="center"/>
    </xf>
    <xf numFmtId="2" fontId="7" fillId="13" borderId="0" xfId="4" applyNumberFormat="1" applyFill="1"/>
    <xf numFmtId="170" fontId="7" fillId="0" borderId="0" xfId="4" applyNumberFormat="1"/>
    <xf numFmtId="167" fontId="7" fillId="0" borderId="0" xfId="4" applyNumberFormat="1"/>
    <xf numFmtId="2" fontId="0" fillId="0" borderId="0" xfId="0" applyNumberFormat="1" applyAlignment="1">
      <alignment horizontal="center"/>
    </xf>
    <xf numFmtId="0" fontId="0" fillId="0" borderId="0" xfId="0" applyAlignment="1">
      <alignment horizontal="center" wrapText="1"/>
    </xf>
    <xf numFmtId="0" fontId="0" fillId="0" borderId="0" xfId="0" applyAlignment="1">
      <alignment horizontal="left"/>
    </xf>
    <xf numFmtId="2" fontId="0" fillId="0" borderId="0" xfId="2" applyNumberFormat="1" applyFont="1"/>
    <xf numFmtId="0" fontId="0" fillId="0" borderId="0" xfId="0" applyAlignment="1">
      <alignment horizontal="center"/>
    </xf>
    <xf numFmtId="9" fontId="0" fillId="0" borderId="0" xfId="2" applyFont="1" applyBorder="1"/>
    <xf numFmtId="0" fontId="0" fillId="0" borderId="0" xfId="0" applyFont="1" applyAlignment="1">
      <alignment wrapText="1"/>
    </xf>
    <xf numFmtId="49" fontId="0" fillId="0" borderId="0" xfId="0" applyNumberFormat="1"/>
    <xf numFmtId="43" fontId="0" fillId="0" borderId="0" xfId="14" applyFont="1"/>
    <xf numFmtId="0" fontId="59" fillId="0" borderId="0" xfId="29" applyFont="1" applyAlignment="1">
      <alignment horizontal="left"/>
    </xf>
    <xf numFmtId="0" fontId="58" fillId="0" borderId="0" xfId="29" applyFont="1" applyAlignment="1"/>
    <xf numFmtId="0" fontId="60" fillId="0" borderId="0" xfId="29" applyFont="1" applyAlignment="1"/>
    <xf numFmtId="0" fontId="61" fillId="0" borderId="0" xfId="29" applyFont="1" applyAlignment="1">
      <alignment horizontal="left"/>
    </xf>
    <xf numFmtId="0" fontId="30" fillId="0" borderId="0" xfId="29" applyFont="1" applyAlignment="1">
      <alignment horizontal="left"/>
    </xf>
    <xf numFmtId="0" fontId="22" fillId="0" borderId="0" xfId="29" applyFont="1" applyAlignment="1"/>
    <xf numFmtId="174" fontId="12" fillId="0" borderId="0" xfId="29" applyNumberFormat="1" applyFont="1" applyAlignment="1">
      <alignment horizontal="left"/>
    </xf>
    <xf numFmtId="0" fontId="60" fillId="0" borderId="0" xfId="29" applyFont="1"/>
    <xf numFmtId="0" fontId="47" fillId="0" borderId="0" xfId="29" applyFont="1" applyAlignment="1"/>
    <xf numFmtId="0" fontId="12" fillId="0" borderId="0" xfId="29" applyFont="1" applyAlignment="1">
      <alignment horizontal="left"/>
    </xf>
    <xf numFmtId="0" fontId="22" fillId="0" borderId="0" xfId="29" applyFont="1" applyAlignment="1">
      <alignment horizontal="center"/>
    </xf>
    <xf numFmtId="0" fontId="22" fillId="0" borderId="57" xfId="29" applyFont="1" applyBorder="1" applyAlignment="1"/>
    <xf numFmtId="0" fontId="62" fillId="0" borderId="58" xfId="29" applyFont="1" applyBorder="1" applyAlignment="1"/>
    <xf numFmtId="0" fontId="22" fillId="0" borderId="1" xfId="0" applyFont="1" applyBorder="1"/>
    <xf numFmtId="0" fontId="47" fillId="0" borderId="1" xfId="29" applyFont="1" applyBorder="1" applyAlignment="1"/>
    <xf numFmtId="0" fontId="65" fillId="0" borderId="0" xfId="29" applyFont="1" applyFill="1" applyAlignment="1"/>
    <xf numFmtId="0" fontId="58" fillId="0" borderId="0" xfId="29" applyFont="1" applyFill="1" applyAlignment="1"/>
    <xf numFmtId="0" fontId="12" fillId="0" borderId="1" xfId="29" applyFont="1" applyFill="1" applyBorder="1" applyAlignment="1">
      <alignment wrapText="1"/>
    </xf>
    <xf numFmtId="0" fontId="12" fillId="0" borderId="1" xfId="29" applyFont="1" applyBorder="1" applyAlignment="1">
      <alignment wrapText="1"/>
    </xf>
    <xf numFmtId="0" fontId="5" fillId="0" borderId="1" xfId="1" applyBorder="1" applyAlignment="1">
      <alignment wrapText="1"/>
    </xf>
    <xf numFmtId="0" fontId="58" fillId="0" borderId="0" xfId="29" applyFont="1" applyAlignment="1">
      <alignment wrapText="1"/>
    </xf>
    <xf numFmtId="0" fontId="58" fillId="0" borderId="0" xfId="29" applyFont="1" applyFill="1" applyAlignment="1">
      <alignment wrapText="1"/>
    </xf>
    <xf numFmtId="0" fontId="60" fillId="0" borderId="0" xfId="29" applyFont="1" applyFill="1" applyAlignment="1">
      <alignment wrapText="1"/>
    </xf>
    <xf numFmtId="0" fontId="60" fillId="0" borderId="0" xfId="29" applyFont="1" applyAlignment="1">
      <alignment wrapText="1"/>
    </xf>
    <xf numFmtId="0" fontId="12" fillId="0" borderId="0" xfId="29" applyFont="1" applyBorder="1" applyAlignment="1"/>
    <xf numFmtId="0" fontId="66" fillId="0" borderId="0" xfId="1" applyFont="1" applyBorder="1" applyAlignment="1"/>
    <xf numFmtId="0" fontId="47" fillId="0" borderId="0" xfId="29" applyFont="1" applyAlignment="1">
      <alignment horizontal="center"/>
    </xf>
    <xf numFmtId="0" fontId="58" fillId="0" borderId="0" xfId="29" applyFont="1" applyAlignment="1">
      <alignment horizontal="center"/>
    </xf>
    <xf numFmtId="0" fontId="58" fillId="0" borderId="0" xfId="29" applyFont="1" applyAlignment="1">
      <alignment horizontal="left"/>
    </xf>
    <xf numFmtId="0" fontId="21" fillId="0" borderId="0" xfId="0" applyFont="1" applyAlignment="1">
      <alignment horizontal="center" vertical="center" wrapText="1"/>
    </xf>
    <xf numFmtId="0" fontId="60" fillId="0" borderId="0" xfId="29" applyFont="1" applyAlignment="1">
      <alignment horizontal="left" wrapText="1"/>
    </xf>
    <xf numFmtId="0" fontId="58" fillId="0" borderId="0" xfId="29" applyFont="1" applyAlignment="1">
      <alignment horizontal="left" wrapText="1"/>
    </xf>
    <xf numFmtId="0" fontId="12" fillId="0" borderId="0" xfId="29" applyFont="1" applyAlignment="1"/>
    <xf numFmtId="0" fontId="67" fillId="0" borderId="0" xfId="0" applyFont="1" applyAlignment="1">
      <alignment horizontal="center" vertical="center" wrapText="1"/>
    </xf>
    <xf numFmtId="0" fontId="68" fillId="0" borderId="0" xfId="29" applyFont="1" applyAlignment="1">
      <alignment horizontal="left" wrapText="1"/>
    </xf>
    <xf numFmtId="0" fontId="21" fillId="0" borderId="0" xfId="0" applyFont="1" applyAlignment="1">
      <alignment horizontal="center" vertical="center"/>
    </xf>
    <xf numFmtId="0" fontId="68" fillId="0" borderId="0" xfId="29" applyFont="1" applyAlignment="1"/>
    <xf numFmtId="0" fontId="65" fillId="0" borderId="0" xfId="29" applyFont="1" applyAlignment="1">
      <alignment horizontal="center"/>
    </xf>
    <xf numFmtId="0" fontId="21" fillId="0" borderId="0" xfId="0" applyFont="1" applyAlignment="1">
      <alignment horizontal="center" vertical="top"/>
    </xf>
    <xf numFmtId="0" fontId="66" fillId="0" borderId="0" xfId="1" applyFont="1" applyAlignment="1">
      <alignment horizontal="left" vertical="center" indent="2"/>
    </xf>
    <xf numFmtId="0" fontId="5" fillId="0" borderId="0" xfId="1" applyAlignment="1"/>
    <xf numFmtId="0" fontId="69" fillId="0" borderId="0" xfId="0" applyFont="1"/>
    <xf numFmtId="0" fontId="0" fillId="0" borderId="0" xfId="0" applyBorder="1" applyAlignment="1">
      <alignment wrapText="1"/>
    </xf>
    <xf numFmtId="170" fontId="0" fillId="0" borderId="0" xfId="0" applyNumberFormat="1" applyBorder="1" applyAlignment="1">
      <alignment wrapText="1"/>
    </xf>
    <xf numFmtId="170" fontId="0" fillId="0" borderId="0" xfId="0" applyNumberFormat="1" applyBorder="1"/>
    <xf numFmtId="1" fontId="0" fillId="0" borderId="0" xfId="0" applyNumberFormat="1" applyBorder="1" applyAlignment="1">
      <alignment wrapText="1"/>
    </xf>
    <xf numFmtId="2" fontId="0" fillId="0" borderId="0" xfId="0" applyNumberFormat="1" applyBorder="1" applyAlignment="1">
      <alignment wrapText="1"/>
    </xf>
    <xf numFmtId="0" fontId="16" fillId="0" borderId="6" xfId="0" applyFont="1" applyBorder="1" applyAlignment="1">
      <alignment wrapText="1"/>
    </xf>
    <xf numFmtId="0" fontId="0" fillId="0" borderId="0" xfId="0" applyAlignment="1">
      <alignment horizontal="center"/>
    </xf>
    <xf numFmtId="0" fontId="33" fillId="0" borderId="5" xfId="0" applyNumberFormat="1" applyFont="1" applyFill="1" applyBorder="1" applyAlignment="1">
      <alignment horizontal="center" vertical="center" wrapText="1"/>
    </xf>
    <xf numFmtId="0" fontId="33" fillId="0" borderId="1" xfId="0" applyNumberFormat="1" applyFont="1" applyFill="1" applyBorder="1" applyAlignment="1">
      <alignment horizontal="center" vertical="center" wrapText="1"/>
    </xf>
    <xf numFmtId="0" fontId="33" fillId="5" borderId="24" xfId="0" applyFont="1" applyFill="1" applyBorder="1" applyAlignment="1">
      <alignment horizontal="center" vertical="center" wrapText="1"/>
    </xf>
    <xf numFmtId="0" fontId="33" fillId="5" borderId="2" xfId="0" applyFont="1" applyFill="1" applyBorder="1" applyAlignment="1">
      <alignment horizontal="center" vertical="center" wrapText="1"/>
    </xf>
    <xf numFmtId="0" fontId="33" fillId="5" borderId="4" xfId="0" applyFont="1" applyFill="1" applyBorder="1" applyAlignment="1">
      <alignment horizontal="center" vertical="center"/>
    </xf>
    <xf numFmtId="0" fontId="33" fillId="5" borderId="5" xfId="0" applyFont="1" applyFill="1" applyBorder="1" applyAlignment="1">
      <alignment horizontal="center" vertical="center"/>
    </xf>
    <xf numFmtId="0" fontId="0" fillId="0" borderId="1" xfId="0" applyFont="1" applyBorder="1" applyAlignment="1">
      <alignment horizontal="center" vertical="center"/>
    </xf>
    <xf numFmtId="2" fontId="0" fillId="0" borderId="1" xfId="0" applyNumberFormat="1" applyFont="1" applyBorder="1" applyAlignment="1">
      <alignment horizontal="center" vertical="center"/>
    </xf>
    <xf numFmtId="2" fontId="24" fillId="21" borderId="1" xfId="0" applyNumberFormat="1" applyFont="1" applyFill="1" applyBorder="1" applyAlignment="1">
      <alignment horizontal="center" vertical="center"/>
    </xf>
    <xf numFmtId="0" fontId="0" fillId="0" borderId="0" xfId="0" applyFill="1" applyBorder="1" applyAlignment="1">
      <alignment horizontal="left"/>
    </xf>
    <xf numFmtId="0" fontId="1" fillId="0" borderId="35" xfId="0" applyFont="1" applyBorder="1" applyAlignment="1">
      <alignment horizontal="left"/>
    </xf>
    <xf numFmtId="0" fontId="0" fillId="0" borderId="43" xfId="0" applyBorder="1" applyAlignment="1">
      <alignment horizontal="left" wrapText="1"/>
    </xf>
    <xf numFmtId="0" fontId="0" fillId="0" borderId="36" xfId="0" applyBorder="1" applyAlignment="1">
      <alignment wrapText="1"/>
    </xf>
    <xf numFmtId="0" fontId="0" fillId="0" borderId="0" xfId="0" applyBorder="1" applyAlignment="1">
      <alignment horizontal="left" wrapText="1"/>
    </xf>
    <xf numFmtId="0" fontId="0" fillId="0" borderId="34" xfId="0" applyBorder="1" applyAlignment="1">
      <alignment wrapText="1"/>
    </xf>
    <xf numFmtId="0" fontId="0" fillId="0" borderId="44" xfId="0" applyBorder="1" applyAlignment="1">
      <alignment horizontal="left" wrapText="1"/>
    </xf>
    <xf numFmtId="0" fontId="0" fillId="0" borderId="32" xfId="0" applyBorder="1" applyAlignment="1">
      <alignment wrapText="1"/>
    </xf>
    <xf numFmtId="0" fontId="0" fillId="0" borderId="0" xfId="0" applyFont="1" applyFill="1" applyBorder="1" applyAlignment="1">
      <alignment wrapText="1"/>
    </xf>
    <xf numFmtId="0" fontId="21" fillId="0" borderId="0" xfId="0" applyFont="1" applyFill="1" applyBorder="1" applyAlignment="1">
      <alignment horizontal="left" wrapText="1"/>
    </xf>
    <xf numFmtId="0" fontId="0" fillId="0" borderId="0" xfId="0" applyFont="1" applyFill="1" applyBorder="1" applyAlignment="1">
      <alignment horizontal="left"/>
    </xf>
    <xf numFmtId="2" fontId="0" fillId="0" borderId="44" xfId="0" quotePrefix="1" applyNumberFormat="1" applyBorder="1"/>
    <xf numFmtId="16" fontId="0" fillId="0" borderId="1" xfId="0" applyNumberFormat="1" applyFont="1" applyBorder="1"/>
    <xf numFmtId="0" fontId="1" fillId="0" borderId="0" xfId="0" applyNumberFormat="1" applyFont="1"/>
    <xf numFmtId="0" fontId="70" fillId="0" borderId="0" xfId="0" applyFont="1" applyAlignment="1">
      <alignment vertical="center"/>
    </xf>
    <xf numFmtId="0" fontId="21" fillId="0" borderId="0" xfId="0" applyFont="1" applyAlignment="1">
      <alignment horizontal="left" vertical="center" wrapText="1"/>
    </xf>
    <xf numFmtId="0" fontId="21" fillId="0" borderId="0" xfId="0" applyFont="1" applyBorder="1" applyAlignment="1">
      <alignment horizontal="left" vertical="center" wrapText="1"/>
    </xf>
    <xf numFmtId="0" fontId="1" fillId="0" borderId="39" xfId="0" applyFont="1" applyFill="1" applyBorder="1" applyAlignment="1">
      <alignment horizontal="center"/>
    </xf>
    <xf numFmtId="0" fontId="0" fillId="0" borderId="44" xfId="0" applyFill="1" applyBorder="1"/>
    <xf numFmtId="0" fontId="19" fillId="0" borderId="0" xfId="1" applyFont="1" applyAlignment="1"/>
    <xf numFmtId="0" fontId="19" fillId="0" borderId="0" xfId="1" applyFont="1"/>
    <xf numFmtId="0" fontId="16" fillId="0" borderId="0" xfId="0" applyFont="1" applyAlignment="1">
      <alignment horizontal="center"/>
    </xf>
    <xf numFmtId="0" fontId="16" fillId="0" borderId="0" xfId="0" applyFont="1" applyAlignment="1"/>
    <xf numFmtId="0" fontId="16" fillId="0" borderId="0" xfId="0" applyFont="1" applyAlignment="1">
      <alignment horizontal="left"/>
    </xf>
    <xf numFmtId="0" fontId="16" fillId="0" borderId="0" xfId="0" applyFont="1" applyBorder="1"/>
    <xf numFmtId="0" fontId="16" fillId="0" borderId="0" xfId="0" applyFont="1" applyBorder="1" applyAlignment="1">
      <alignment horizontal="right"/>
    </xf>
    <xf numFmtId="0" fontId="6" fillId="0" borderId="0" xfId="0" applyFont="1" applyBorder="1" applyAlignment="1">
      <alignment horizontal="center"/>
    </xf>
    <xf numFmtId="1" fontId="6" fillId="0" borderId="0" xfId="0" applyNumberFormat="1" applyFont="1" applyBorder="1"/>
    <xf numFmtId="2" fontId="6" fillId="0" borderId="0" xfId="0" applyNumberFormat="1" applyFont="1" applyBorder="1" applyAlignment="1">
      <alignment horizontal="right"/>
    </xf>
    <xf numFmtId="0" fontId="16" fillId="0" borderId="0" xfId="0" applyFont="1" applyFill="1" applyBorder="1"/>
    <xf numFmtId="0" fontId="16" fillId="0" borderId="1" xfId="0" applyFont="1" applyBorder="1" applyAlignment="1">
      <alignment horizontal="right"/>
    </xf>
    <xf numFmtId="1" fontId="6" fillId="0" borderId="1" xfId="0" applyNumberFormat="1" applyFont="1" applyBorder="1" applyAlignment="1">
      <alignment horizontal="right"/>
    </xf>
    <xf numFmtId="0" fontId="6" fillId="0" borderId="1" xfId="0" applyFont="1" applyFill="1" applyBorder="1"/>
    <xf numFmtId="2" fontId="6" fillId="0" borderId="1" xfId="0" applyNumberFormat="1" applyFont="1" applyBorder="1" applyAlignment="1">
      <alignment horizontal="right"/>
    </xf>
    <xf numFmtId="2" fontId="6" fillId="0" borderId="1" xfId="0" applyNumberFormat="1" applyFont="1" applyBorder="1"/>
    <xf numFmtId="2" fontId="13" fillId="0" borderId="0" xfId="5" applyNumberFormat="1" applyFont="1" applyAlignment="1"/>
    <xf numFmtId="0" fontId="45" fillId="0" borderId="36" xfId="16" applyBorder="1" applyAlignment="1">
      <alignment horizontal="right" wrapText="1"/>
    </xf>
    <xf numFmtId="0" fontId="46" fillId="0" borderId="35" xfId="18" applyFont="1" applyBorder="1">
      <alignment wrapText="1"/>
    </xf>
    <xf numFmtId="0" fontId="46" fillId="0" borderId="33" xfId="18" applyFont="1" applyBorder="1">
      <alignment wrapText="1"/>
    </xf>
    <xf numFmtId="0" fontId="45" fillId="0" borderId="43" xfId="16" applyBorder="1" applyAlignment="1">
      <alignment horizontal="right" wrapText="1"/>
    </xf>
    <xf numFmtId="9" fontId="46" fillId="0" borderId="34" xfId="2" applyFont="1" applyBorder="1"/>
    <xf numFmtId="0" fontId="46" fillId="0" borderId="44" xfId="18" applyFont="1" applyBorder="1" applyAlignment="1">
      <alignment horizontal="right" wrapText="1"/>
    </xf>
    <xf numFmtId="3" fontId="46" fillId="0" borderId="44" xfId="18" applyNumberFormat="1" applyFont="1" applyBorder="1" applyAlignment="1">
      <alignment horizontal="right" wrapText="1"/>
    </xf>
    <xf numFmtId="9" fontId="46" fillId="0" borderId="32" xfId="2" applyFont="1" applyBorder="1"/>
    <xf numFmtId="0" fontId="46" fillId="0" borderId="37" xfId="16" applyFont="1" applyFill="1" applyBorder="1" applyAlignment="1">
      <alignment horizontal="right" wrapText="1"/>
    </xf>
    <xf numFmtId="0" fontId="46" fillId="0" borderId="43" xfId="16" applyFont="1" applyFill="1" applyBorder="1" applyAlignment="1">
      <alignment horizontal="right" wrapText="1"/>
    </xf>
    <xf numFmtId="0" fontId="46" fillId="0" borderId="36" xfId="16" applyFont="1" applyFill="1" applyBorder="1" applyAlignment="1">
      <alignment horizontal="right" wrapText="1"/>
    </xf>
    <xf numFmtId="0" fontId="46" fillId="0" borderId="35" xfId="0" applyFont="1" applyBorder="1" applyAlignment="1">
      <alignment horizontal="right"/>
    </xf>
    <xf numFmtId="0" fontId="46" fillId="0" borderId="0" xfId="0" applyFont="1" applyBorder="1"/>
    <xf numFmtId="0" fontId="46" fillId="0" borderId="34" xfId="0" applyFont="1" applyBorder="1" applyAlignment="1">
      <alignment horizontal="right"/>
    </xf>
    <xf numFmtId="0" fontId="46" fillId="0" borderId="33" xfId="0" applyFont="1" applyBorder="1" applyAlignment="1">
      <alignment horizontal="right"/>
    </xf>
    <xf numFmtId="0" fontId="46" fillId="0" borderId="44" xfId="0" applyFont="1" applyBorder="1"/>
    <xf numFmtId="0" fontId="46" fillId="0" borderId="32" xfId="0" applyFont="1" applyBorder="1" applyAlignment="1">
      <alignment horizontal="right"/>
    </xf>
    <xf numFmtId="0" fontId="1" fillId="0" borderId="1" xfId="0" applyFont="1" applyBorder="1" applyAlignment="1">
      <alignment horizontal="center" wrapText="1"/>
    </xf>
    <xf numFmtId="168" fontId="0" fillId="22" borderId="0" xfId="0" applyNumberFormat="1" applyFill="1"/>
    <xf numFmtId="0" fontId="0" fillId="0" borderId="0" xfId="0" applyBorder="1" applyAlignment="1"/>
    <xf numFmtId="0" fontId="1" fillId="0" borderId="1" xfId="0" applyFont="1" applyBorder="1" applyAlignment="1">
      <alignment vertical="center" wrapText="1"/>
    </xf>
    <xf numFmtId="2" fontId="1" fillId="0" borderId="2" xfId="0" applyNumberFormat="1" applyFont="1" applyBorder="1" applyAlignment="1">
      <alignment vertical="center" wrapText="1"/>
    </xf>
    <xf numFmtId="10" fontId="14" fillId="0" borderId="0" xfId="27" applyNumberFormat="1" applyFont="1"/>
    <xf numFmtId="173" fontId="14" fillId="0" borderId="0" xfId="28" applyNumberFormat="1" applyFont="1"/>
    <xf numFmtId="0" fontId="7" fillId="0" borderId="0" xfId="4" applyFont="1"/>
    <xf numFmtId="10" fontId="7" fillId="0" borderId="0" xfId="4" applyNumberFormat="1" applyFont="1"/>
    <xf numFmtId="0" fontId="58" fillId="0" borderId="0" xfId="29" applyFont="1" applyAlignment="1">
      <alignment horizontal="left" vertical="center"/>
    </xf>
    <xf numFmtId="0" fontId="58" fillId="0" borderId="0" xfId="29" applyFont="1" applyAlignment="1">
      <alignment horizontal="left" vertical="center"/>
    </xf>
    <xf numFmtId="0" fontId="58" fillId="0" borderId="0" xfId="29" applyFont="1" applyAlignment="1">
      <alignment horizontal="left"/>
    </xf>
    <xf numFmtId="0" fontId="21" fillId="0" borderId="0" xfId="0" applyFont="1" applyFill="1" applyAlignment="1">
      <alignment horizontal="left" vertical="center" wrapText="1"/>
    </xf>
    <xf numFmtId="0" fontId="22" fillId="0" borderId="54" xfId="29" applyFont="1" applyBorder="1" applyAlignment="1">
      <alignment horizontal="center"/>
    </xf>
    <xf numFmtId="0" fontId="12" fillId="0" borderId="55" xfId="29" applyFont="1" applyBorder="1"/>
    <xf numFmtId="0" fontId="12" fillId="0" borderId="56" xfId="29" applyFont="1" applyBorder="1"/>
    <xf numFmtId="0" fontId="63" fillId="0" borderId="1" xfId="0" applyFont="1" applyBorder="1" applyAlignment="1">
      <alignment horizontal="left" vertical="center" wrapText="1"/>
    </xf>
    <xf numFmtId="0" fontId="21" fillId="0" borderId="0" xfId="0" applyFont="1" applyAlignment="1">
      <alignment horizontal="left" vertical="center" wrapText="1"/>
    </xf>
    <xf numFmtId="0" fontId="21" fillId="0" borderId="59" xfId="0" applyFont="1" applyBorder="1" applyAlignment="1">
      <alignment horizontal="left" vertical="center" wrapText="1"/>
    </xf>
    <xf numFmtId="0" fontId="52" fillId="19" borderId="1" xfId="21" applyFont="1" applyFill="1" applyBorder="1" applyAlignment="1">
      <alignment horizontal="center"/>
    </xf>
    <xf numFmtId="0" fontId="52" fillId="20" borderId="1" xfId="21" applyFont="1" applyFill="1" applyBorder="1" applyAlignment="1">
      <alignment horizontal="center"/>
    </xf>
    <xf numFmtId="0" fontId="52" fillId="20" borderId="1" xfId="21" applyFont="1" applyFill="1" applyBorder="1" applyAlignment="1">
      <alignment horizontal="center" vertical="center"/>
    </xf>
    <xf numFmtId="0" fontId="52" fillId="20" borderId="1" xfId="21" applyFont="1" applyFill="1" applyBorder="1" applyAlignment="1">
      <alignment horizontal="center" vertical="center" wrapText="1"/>
    </xf>
    <xf numFmtId="0" fontId="52" fillId="20" borderId="1" xfId="21" applyFont="1" applyFill="1" applyBorder="1" applyAlignment="1">
      <alignment horizontal="justify" wrapText="1"/>
    </xf>
    <xf numFmtId="0" fontId="1" fillId="0" borderId="1" xfId="0" applyFont="1" applyBorder="1" applyAlignment="1">
      <alignment horizontal="center" wrapText="1"/>
    </xf>
    <xf numFmtId="0" fontId="7" fillId="0" borderId="0" xfId="4" applyAlignment="1">
      <alignment horizontal="center" vertical="center" wrapText="1"/>
    </xf>
    <xf numFmtId="0" fontId="0" fillId="0" borderId="0" xfId="0"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0" fillId="0" borderId="0" xfId="0" applyAlignment="1">
      <alignment horizontal="left" vertical="center"/>
    </xf>
    <xf numFmtId="0" fontId="33" fillId="0" borderId="19" xfId="0" applyFont="1" applyBorder="1" applyAlignment="1">
      <alignment horizontal="center" vertical="center" wrapText="1"/>
    </xf>
    <xf numFmtId="0" fontId="33" fillId="0" borderId="17" xfId="0" applyFont="1" applyBorder="1" applyAlignment="1">
      <alignment horizontal="center" vertical="center" wrapText="1"/>
    </xf>
    <xf numFmtId="0" fontId="33" fillId="0" borderId="2" xfId="0" applyFont="1" applyFill="1" applyBorder="1" applyAlignment="1">
      <alignment horizontal="center"/>
    </xf>
    <xf numFmtId="0" fontId="33" fillId="0" borderId="16" xfId="0" applyFont="1" applyFill="1" applyBorder="1" applyAlignment="1">
      <alignment horizontal="center"/>
    </xf>
    <xf numFmtId="0" fontId="33" fillId="0" borderId="3" xfId="0" applyFont="1" applyFill="1" applyBorder="1" applyAlignment="1">
      <alignment horizontal="center"/>
    </xf>
    <xf numFmtId="0" fontId="33" fillId="0" borderId="1" xfId="0" applyNumberFormat="1" applyFont="1" applyFill="1" applyBorder="1" applyAlignment="1">
      <alignment horizontal="center" vertical="center" wrapText="1"/>
    </xf>
    <xf numFmtId="0" fontId="33" fillId="5" borderId="24" xfId="0" applyFont="1" applyFill="1" applyBorder="1" applyAlignment="1">
      <alignment horizontal="center" vertical="center" wrapText="1"/>
    </xf>
    <xf numFmtId="0" fontId="33" fillId="5" borderId="21" xfId="0" applyFont="1" applyFill="1" applyBorder="1" applyAlignment="1">
      <alignment horizontal="center" vertical="center" wrapText="1"/>
    </xf>
    <xf numFmtId="0" fontId="33" fillId="5" borderId="18" xfId="0" applyFont="1" applyFill="1" applyBorder="1" applyAlignment="1">
      <alignment horizontal="center" vertical="center" wrapText="1"/>
    </xf>
    <xf numFmtId="0" fontId="33" fillId="5" borderId="23" xfId="0" applyFont="1" applyFill="1" applyBorder="1" applyAlignment="1">
      <alignment horizontal="center" vertical="center" wrapText="1"/>
    </xf>
    <xf numFmtId="0" fontId="33" fillId="5" borderId="20" xfId="0" applyFont="1" applyFill="1" applyBorder="1" applyAlignment="1">
      <alignment horizontal="right" vertical="center" wrapText="1"/>
    </xf>
    <xf numFmtId="0" fontId="33" fillId="5" borderId="2" xfId="0" applyFont="1" applyFill="1" applyBorder="1" applyAlignment="1">
      <alignment horizontal="center" vertical="center" wrapText="1"/>
    </xf>
    <xf numFmtId="0" fontId="33" fillId="5" borderId="16" xfId="0" applyFont="1" applyFill="1" applyBorder="1" applyAlignment="1">
      <alignment horizontal="center" vertical="center" wrapText="1"/>
    </xf>
    <xf numFmtId="0" fontId="33" fillId="5" borderId="3" xfId="0" applyFont="1" applyFill="1" applyBorder="1" applyAlignment="1">
      <alignment horizontal="center" vertical="center" wrapText="1"/>
    </xf>
    <xf numFmtId="0" fontId="32" fillId="0" borderId="13" xfId="0" applyFont="1" applyBorder="1" applyAlignment="1">
      <alignment horizontal="left"/>
    </xf>
    <xf numFmtId="0" fontId="32" fillId="0" borderId="12" xfId="0" applyFont="1" applyBorder="1" applyAlignment="1">
      <alignment horizontal="left"/>
    </xf>
    <xf numFmtId="0" fontId="32" fillId="0" borderId="11" xfId="0" applyFont="1" applyBorder="1" applyAlignment="1">
      <alignment horizontal="left"/>
    </xf>
    <xf numFmtId="0" fontId="32" fillId="0" borderId="10" xfId="0" applyFont="1" applyBorder="1" applyAlignment="1">
      <alignment horizontal="left"/>
    </xf>
    <xf numFmtId="0" fontId="33" fillId="5" borderId="4" xfId="0" applyFont="1" applyFill="1" applyBorder="1" applyAlignment="1">
      <alignment horizontal="center" vertical="center"/>
    </xf>
    <xf numFmtId="0" fontId="33" fillId="5" borderId="5" xfId="0" applyFont="1" applyFill="1" applyBorder="1" applyAlignment="1">
      <alignment horizontal="center" vertical="center"/>
    </xf>
    <xf numFmtId="0" fontId="33" fillId="0" borderId="4" xfId="0" applyNumberFormat="1" applyFont="1" applyFill="1" applyBorder="1" applyAlignment="1">
      <alignment horizontal="center" vertical="center" wrapText="1"/>
    </xf>
    <xf numFmtId="0" fontId="33" fillId="0" borderId="5" xfId="0" applyNumberFormat="1" applyFont="1" applyFill="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3" fillId="0" borderId="0" xfId="4" applyFont="1" applyAlignment="1">
      <alignment horizontal="left" wrapText="1"/>
    </xf>
    <xf numFmtId="0" fontId="1" fillId="0" borderId="1" xfId="9" applyFont="1" applyBorder="1" applyAlignment="1">
      <alignment horizontal="center"/>
    </xf>
    <xf numFmtId="0" fontId="0" fillId="0" borderId="1" xfId="0" applyBorder="1" applyAlignment="1">
      <alignment horizontal="center"/>
    </xf>
  </cellXfs>
  <cellStyles count="30">
    <cellStyle name="20% - Accent1 2" xfId="13"/>
    <cellStyle name="Body: normal cell" xfId="18"/>
    <cellStyle name="Calculation" xfId="3" builtinId="22"/>
    <cellStyle name="Comma" xfId="14" builtinId="3"/>
    <cellStyle name="Comma 2" xfId="6"/>
    <cellStyle name="Comma 2 2" xfId="11"/>
    <cellStyle name="Comma 2 3" xfId="24"/>
    <cellStyle name="Comma 2 3 2" xfId="28"/>
    <cellStyle name="Footnotes: top row" xfId="19"/>
    <cellStyle name="Header: bottom row" xfId="16"/>
    <cellStyle name="Hyperlink" xfId="1" builtinId="8"/>
    <cellStyle name="Hyperlink 2" xfId="12"/>
    <cellStyle name="Hyperlink 2 2" xfId="25"/>
    <cellStyle name="Normal" xfId="0" builtinId="0"/>
    <cellStyle name="Normal 10 3 3" xfId="21"/>
    <cellStyle name="Normal 2" xfId="5"/>
    <cellStyle name="Normal 2 2" xfId="22"/>
    <cellStyle name="Normal 2 2 2" xfId="26"/>
    <cellStyle name="Normal 2 2 3" xfId="29"/>
    <cellStyle name="Normal 3" xfId="20"/>
    <cellStyle name="Normal 4" xfId="4"/>
    <cellStyle name="Normal 5" xfId="9"/>
    <cellStyle name="Normal 6" xfId="10"/>
    <cellStyle name="Parent row" xfId="17"/>
    <cellStyle name="Percent" xfId="2" builtinId="5"/>
    <cellStyle name="Percent 2" xfId="7"/>
    <cellStyle name="Percent 2 2" xfId="8"/>
    <cellStyle name="Percent 2 3" xfId="23"/>
    <cellStyle name="Percent 4" xfId="27"/>
    <cellStyle name="Table title" xfId="15"/>
  </cellStyles>
  <dxfs count="1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i val="0"/>
        <strike val="0"/>
        <condense val="0"/>
        <extend val="0"/>
        <outline val="0"/>
        <shadow val="0"/>
        <u val="none"/>
        <vertAlign val="baseline"/>
        <sz val="11"/>
        <color rgb="FF000000"/>
        <name val="Calibri"/>
        <scheme val="none"/>
      </font>
      <fill>
        <patternFill patternType="solid">
          <fgColor rgb="FFDDEBF7"/>
          <bgColor rgb="FFDDEBF7"/>
        </patternFill>
      </fill>
      <alignment horizontal="general" vertical="bottom" textRotation="0" wrapText="1" indent="0" justifyLastLine="0" shrinkToFit="0" readingOrder="0"/>
    </dxf>
    <dxf>
      <border outline="0">
        <bottom style="thin">
          <color rgb="FF9BC2E6"/>
        </bottom>
      </border>
    </dxf>
    <dxf>
      <font>
        <b/>
        <i val="0"/>
        <strike val="0"/>
        <condense val="0"/>
        <extend val="0"/>
        <outline val="0"/>
        <shadow val="0"/>
        <u val="none"/>
        <vertAlign val="baseline"/>
        <sz val="11"/>
        <color theme="0"/>
        <name val="Calibri"/>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border diagonalUp="0" diagonalDown="0" outline="0">
        <left/>
        <right/>
        <top style="thin">
          <color theme="4" tint="0.39997558519241921"/>
        </top>
        <bottom style="thin">
          <color theme="4" tint="0.39997558519241921"/>
        </bottom>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1"/>
        <name val="Calibri"/>
        <scheme val="minor"/>
      </font>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396875</xdr:colOff>
      <xdr:row>25</xdr:row>
      <xdr:rowOff>83342</xdr:rowOff>
    </xdr:from>
    <xdr:to>
      <xdr:col>9</xdr:col>
      <xdr:colOff>689374</xdr:colOff>
      <xdr:row>37</xdr:row>
      <xdr:rowOff>111123</xdr:rowOff>
    </xdr:to>
    <xdr:pic>
      <xdr:nvPicPr>
        <xdr:cNvPr id="2" name="Picture 1">
          <a:extLst>
            <a:ext uri="{FF2B5EF4-FFF2-40B4-BE49-F238E27FC236}">
              <a16:creationId xmlns:a16="http://schemas.microsoft.com/office/drawing/2014/main" id="{C68D6595-BB34-43FD-A56C-A2709257421F}"/>
            </a:ext>
          </a:extLst>
        </xdr:cNvPr>
        <xdr:cNvPicPr>
          <a:picLocks noChangeAspect="1"/>
        </xdr:cNvPicPr>
      </xdr:nvPicPr>
      <xdr:blipFill>
        <a:blip xmlns:r="http://schemas.openxmlformats.org/officeDocument/2006/relationships" r:embed="rId1"/>
        <a:stretch>
          <a:fillRect/>
        </a:stretch>
      </xdr:blipFill>
      <xdr:spPr>
        <a:xfrm>
          <a:off x="595313" y="6647655"/>
          <a:ext cx="7325124" cy="22185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ech1\EMAIL\Performance\PERFORMANCE\ocm\Yearly_perf\OCMJAN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av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User21\shared%20doc\ARR%202.6%20REV\Performance\PERFORMANCE\ocm\Yearly_perf\OCMJAN200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Performance\PERFORMANCE\ocm\Yearly_perf\OCMJAN200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input"/>
      <sheetName val="Daily report"/>
      <sheetName val="OCM2"/>
      <sheetName val="OCM4"/>
      <sheetName val="OCM1"/>
      <sheetName val="OCM3"/>
      <sheetName val="OCM5"/>
      <sheetName val="OCM7"/>
      <sheetName val="INDEX"/>
      <sheetName val="OCM6"/>
      <sheetName val="highlight"/>
      <sheetName val="water"/>
      <sheetName val="AWARD"/>
      <sheetName val="CE"/>
      <sheetName val="hrawd"/>
      <sheetName val="2000-01"/>
      <sheetName val="04REL"/>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herVC"/>
      <sheetName val="MappingStates"/>
      <sheetName val="HistoricalProductionPetroprdcts"/>
      <sheetName val="ConvEff"/>
      <sheetName val="CERC Escalation Rates"/>
      <sheetName val="Sheet9"/>
      <sheetName val="Captive"/>
      <sheetName val="MH"/>
      <sheetName val="PB"/>
      <sheetName val="AS"/>
      <sheetName val="CoalReceipt"/>
      <sheetName val="GasReceipt"/>
      <sheetName val="GE GasPowerSystems Catalog 2019"/>
      <sheetName val="NewNuclear"/>
      <sheetName val="EIA"/>
    </sheetNames>
    <sheetDataSet>
      <sheetData sheetId="0"/>
      <sheetData sheetId="1"/>
      <sheetData sheetId="2"/>
      <sheetData sheetId="3"/>
      <sheetData sheetId="4"/>
      <sheetData sheetId="5"/>
      <sheetData sheetId="6"/>
      <sheetData sheetId="7">
        <row r="35">
          <cell r="A35" t="str">
            <v>S. No.</v>
          </cell>
          <cell r="B35" t="str">
            <v>Source of Power (Station wise)</v>
          </cell>
          <cell r="C35" t="str">
            <v xml:space="preserve">Technology </v>
          </cell>
          <cell r="D35" t="str">
            <v>Type</v>
          </cell>
          <cell r="E35" t="str">
            <v>Installed Capacity    (MW)</v>
          </cell>
          <cell r="F35" t="str">
            <v>Utility share (%)</v>
          </cell>
          <cell r="G35" t="str">
            <v>Utility share (MW)</v>
          </cell>
          <cell r="H35" t="str">
            <v>Total Energy Sent Out (ESO) from the station (MU)</v>
          </cell>
          <cell r="I35" t="str">
            <v>Total Annual Fixed charges (Rs Crore)</v>
          </cell>
          <cell r="J35" t="str">
            <v>Capacity Charges paid/ payable by Utility (Rs Crore)</v>
          </cell>
          <cell r="K35" t="str">
            <v xml:space="preserve">FC/unit </v>
          </cell>
          <cell r="L35" t="str">
            <v>Variable Cost per unit including Fuel Price Adjustment (Rs/kWh)</v>
          </cell>
          <cell r="M35" t="str">
            <v>Total Variable Charges (Rs Crore)</v>
          </cell>
          <cell r="N35" t="str">
            <v>Total Cost of Power Purchase (Rs Crore)</v>
          </cell>
          <cell r="O35" t="str">
            <v>Average Cost of Power Purchase (Rs/kWh)</v>
          </cell>
        </row>
        <row r="36">
          <cell r="A36">
            <v>2</v>
          </cell>
          <cell r="B36" t="str">
            <v>BHUSAWAL - 3</v>
          </cell>
          <cell r="C36" t="str">
            <v>Thermal</v>
          </cell>
          <cell r="D36" t="str">
            <v>Subcritical</v>
          </cell>
          <cell r="E36">
            <v>210</v>
          </cell>
          <cell r="F36">
            <v>1</v>
          </cell>
          <cell r="G36">
            <v>210</v>
          </cell>
          <cell r="H36">
            <v>533.23365899999999</v>
          </cell>
          <cell r="J36">
            <v>76.469626379999994</v>
          </cell>
          <cell r="K36">
            <v>1.4340735077265632</v>
          </cell>
          <cell r="L36">
            <v>3.1367800279276814</v>
          </cell>
          <cell r="M36">
            <v>170.31483067699997</v>
          </cell>
          <cell r="N36">
            <v>243.73329555699996</v>
          </cell>
          <cell r="O36">
            <v>4.5708535356542441</v>
          </cell>
        </row>
        <row r="37">
          <cell r="A37">
            <v>8</v>
          </cell>
          <cell r="B37" t="str">
            <v>CHANDRAPUR - 1 to 7</v>
          </cell>
          <cell r="C37" t="str">
            <v>Thermal</v>
          </cell>
          <cell r="D37" t="str">
            <v>Subcritical</v>
          </cell>
          <cell r="E37">
            <v>1920</v>
          </cell>
          <cell r="F37">
            <v>1</v>
          </cell>
          <cell r="G37">
            <v>1920</v>
          </cell>
          <cell r="H37">
            <v>8068.6249799999987</v>
          </cell>
          <cell r="J37">
            <v>453.71966860000009</v>
          </cell>
          <cell r="K37">
            <v>0.56232588541994699</v>
          </cell>
          <cell r="L37">
            <v>2.3017582233695535</v>
          </cell>
          <cell r="M37">
            <v>2074.4434567999997</v>
          </cell>
          <cell r="N37">
            <v>2310.9220584999998</v>
          </cell>
          <cell r="O37">
            <v>2.864084108789501</v>
          </cell>
        </row>
        <row r="38">
          <cell r="A38">
            <v>15</v>
          </cell>
          <cell r="B38" t="str">
            <v>PARAS UNIT-3</v>
          </cell>
          <cell r="C38" t="str">
            <v>Thermal</v>
          </cell>
          <cell r="D38" t="str">
            <v>Subcritical</v>
          </cell>
          <cell r="E38">
            <v>500</v>
          </cell>
          <cell r="F38">
            <v>1</v>
          </cell>
          <cell r="G38">
            <v>500</v>
          </cell>
          <cell r="H38">
            <v>2808.8002799999999</v>
          </cell>
          <cell r="J38">
            <v>424.54855599999996</v>
          </cell>
          <cell r="K38">
            <v>1.5114942811099403</v>
          </cell>
          <cell r="L38">
            <v>2.527932898917256</v>
          </cell>
          <cell r="M38">
            <v>676.35910742999999</v>
          </cell>
          <cell r="N38">
            <v>1134.59441943</v>
          </cell>
          <cell r="O38">
            <v>4.0394271800271966</v>
          </cell>
        </row>
        <row r="39">
          <cell r="A39">
            <v>17</v>
          </cell>
          <cell r="B39" t="str">
            <v>PARLI -3</v>
          </cell>
          <cell r="C39" t="str">
            <v>Thermal</v>
          </cell>
          <cell r="D39" t="str">
            <v>Subcritical</v>
          </cell>
          <cell r="E39">
            <v>0</v>
          </cell>
          <cell r="F39">
            <v>1</v>
          </cell>
          <cell r="G39">
            <v>0</v>
          </cell>
          <cell r="H39">
            <v>-13.398009999999999</v>
          </cell>
          <cell r="J39">
            <v>31.149999629999989</v>
          </cell>
          <cell r="K39">
            <v>-23.249721137691338</v>
          </cell>
          <cell r="L39">
            <v>3.3329999143902715</v>
          </cell>
          <cell r="M39">
            <v>-4.4655566182999999</v>
          </cell>
          <cell r="N39">
            <v>26.68444301169999</v>
          </cell>
          <cell r="O39">
            <v>-19.916721223301067</v>
          </cell>
        </row>
        <row r="40">
          <cell r="A40">
            <v>18</v>
          </cell>
          <cell r="B40" t="str">
            <v>PARLI -4</v>
          </cell>
          <cell r="C40" t="str">
            <v>Thermal</v>
          </cell>
          <cell r="D40" t="str">
            <v>Subcritical</v>
          </cell>
          <cell r="E40">
            <v>0</v>
          </cell>
          <cell r="F40">
            <v>1</v>
          </cell>
          <cell r="G40">
            <v>0</v>
          </cell>
          <cell r="K40">
            <v>-23.249721137691338</v>
          </cell>
        </row>
        <row r="41">
          <cell r="A41">
            <v>19</v>
          </cell>
          <cell r="B41" t="str">
            <v>PARLI -5</v>
          </cell>
          <cell r="C41" t="str">
            <v>Thermal</v>
          </cell>
          <cell r="D41" t="str">
            <v>Subcritical</v>
          </cell>
          <cell r="E41">
            <v>0</v>
          </cell>
          <cell r="F41">
            <v>1</v>
          </cell>
          <cell r="G41">
            <v>0</v>
          </cell>
          <cell r="K41">
            <v>-23.249721137691338</v>
          </cell>
        </row>
        <row r="42">
          <cell r="A42">
            <v>20</v>
          </cell>
          <cell r="B42" t="str">
            <v>PARLI UNIT-6</v>
          </cell>
          <cell r="C42" t="str">
            <v>Thermal</v>
          </cell>
          <cell r="D42" t="str">
            <v>Subcritical</v>
          </cell>
          <cell r="E42">
            <v>250</v>
          </cell>
          <cell r="F42">
            <v>1</v>
          </cell>
          <cell r="G42">
            <v>250</v>
          </cell>
          <cell r="H42">
            <v>1985.0350800000001</v>
          </cell>
          <cell r="J42">
            <v>395.01584529999991</v>
          </cell>
          <cell r="K42">
            <v>1.9899690906218135</v>
          </cell>
          <cell r="L42">
            <v>3.0712195182968749</v>
          </cell>
          <cell r="M42">
            <v>592.33446791999995</v>
          </cell>
          <cell r="N42">
            <v>1004.6636935199998</v>
          </cell>
          <cell r="O42">
            <v>5.0611886089186884</v>
          </cell>
        </row>
        <row r="43">
          <cell r="A43">
            <v>21</v>
          </cell>
          <cell r="B43" t="str">
            <v>PARLI UNIT-7</v>
          </cell>
          <cell r="C43" t="str">
            <v>Thermal</v>
          </cell>
          <cell r="D43" t="str">
            <v>Subcritical</v>
          </cell>
          <cell r="E43">
            <v>250</v>
          </cell>
          <cell r="F43">
            <v>1</v>
          </cell>
          <cell r="G43">
            <v>250</v>
          </cell>
          <cell r="K43">
            <v>1.9899690906218135</v>
          </cell>
        </row>
        <row r="44">
          <cell r="A44">
            <v>22</v>
          </cell>
          <cell r="B44" t="str">
            <v>KORADI - 5</v>
          </cell>
          <cell r="C44" t="str">
            <v>Thermal</v>
          </cell>
          <cell r="D44" t="str">
            <v>Subcritical</v>
          </cell>
          <cell r="E44">
            <v>0</v>
          </cell>
          <cell r="F44">
            <v>1</v>
          </cell>
          <cell r="G44">
            <v>0</v>
          </cell>
          <cell r="H44">
            <v>376.14266700000002</v>
          </cell>
          <cell r="J44">
            <v>27.409842322999992</v>
          </cell>
          <cell r="K44">
            <v>0.72870867167536701</v>
          </cell>
          <cell r="L44">
            <v>2.6683805097282405</v>
          </cell>
          <cell r="M44">
            <v>98.737450149999987</v>
          </cell>
          <cell r="N44">
            <v>127.77901847299998</v>
          </cell>
          <cell r="O44">
            <v>3.3970891814036075</v>
          </cell>
        </row>
        <row r="45">
          <cell r="A45">
            <v>23</v>
          </cell>
          <cell r="B45" t="str">
            <v>KORADI - 6</v>
          </cell>
          <cell r="C45" t="str">
            <v>Thermal</v>
          </cell>
          <cell r="D45" t="str">
            <v>Subcritical</v>
          </cell>
          <cell r="E45">
            <v>0</v>
          </cell>
          <cell r="F45">
            <v>1</v>
          </cell>
          <cell r="G45">
            <v>0</v>
          </cell>
          <cell r="K45">
            <v>0.72870867167536701</v>
          </cell>
        </row>
        <row r="46">
          <cell r="A46">
            <v>24</v>
          </cell>
          <cell r="B46" t="str">
            <v>KORADI - 7</v>
          </cell>
          <cell r="C46" t="str">
            <v>Thermal</v>
          </cell>
          <cell r="D46" t="str">
            <v>Subcritical</v>
          </cell>
          <cell r="E46">
            <v>210</v>
          </cell>
          <cell r="F46">
            <v>1</v>
          </cell>
          <cell r="G46">
            <v>210</v>
          </cell>
          <cell r="K46">
            <v>0.72870867167536701</v>
          </cell>
        </row>
        <row r="47">
          <cell r="A47">
            <v>28</v>
          </cell>
          <cell r="B47" t="str">
            <v>Parli replacement U 8</v>
          </cell>
          <cell r="C47" t="str">
            <v>Thermal</v>
          </cell>
          <cell r="D47" t="str">
            <v>Subcritical</v>
          </cell>
          <cell r="E47">
            <v>250</v>
          </cell>
          <cell r="F47">
            <v>1</v>
          </cell>
          <cell r="G47">
            <v>250</v>
          </cell>
          <cell r="H47">
            <v>752.02300000000002</v>
          </cell>
          <cell r="J47">
            <v>221.97973801000001</v>
          </cell>
          <cell r="K47">
            <v>2.9517679380816806</v>
          </cell>
          <cell r="L47">
            <v>2.9739557380558841</v>
          </cell>
          <cell r="M47">
            <v>211.47668329999999</v>
          </cell>
          <cell r="N47">
            <v>445.62804961000001</v>
          </cell>
          <cell r="O47">
            <v>5.9257236761375651</v>
          </cell>
        </row>
        <row r="48">
          <cell r="A48">
            <v>72</v>
          </cell>
          <cell r="B48" t="str">
            <v>Rattanindia Amravati</v>
          </cell>
          <cell r="C48" t="str">
            <v>Thermal</v>
          </cell>
          <cell r="D48" t="str">
            <v>Subcritical</v>
          </cell>
          <cell r="E48">
            <v>1200</v>
          </cell>
          <cell r="F48">
            <v>1</v>
          </cell>
          <cell r="G48">
            <v>1200</v>
          </cell>
          <cell r="H48">
            <v>4347.1214820000005</v>
          </cell>
          <cell r="J48">
            <v>803.26662279999994</v>
          </cell>
          <cell r="K48">
            <v>1.8478126873749967</v>
          </cell>
          <cell r="L48">
            <v>3.0977011794491185</v>
          </cell>
          <cell r="M48">
            <v>1291.3231900999999</v>
          </cell>
          <cell r="N48">
            <v>2149.874957</v>
          </cell>
          <cell r="O48">
            <v>4.9455138668241148</v>
          </cell>
        </row>
        <row r="49">
          <cell r="A49">
            <v>3</v>
          </cell>
          <cell r="B49" t="str">
            <v>BHUSAWAL 4</v>
          </cell>
          <cell r="C49" t="str">
            <v>Thermal</v>
          </cell>
          <cell r="D49" t="str">
            <v>Subcritical</v>
          </cell>
          <cell r="E49">
            <v>500</v>
          </cell>
          <cell r="F49">
            <v>1</v>
          </cell>
          <cell r="G49">
            <v>500</v>
          </cell>
          <cell r="H49">
            <v>5623.667586999999</v>
          </cell>
          <cell r="J49">
            <v>989.66230409999991</v>
          </cell>
          <cell r="K49">
            <v>1.7598165054914723</v>
          </cell>
          <cell r="L49">
            <v>2.795376538318143</v>
          </cell>
          <cell r="M49">
            <v>1631.4259670000001</v>
          </cell>
          <cell r="N49">
            <v>2561.6891473000001</v>
          </cell>
          <cell r="O49">
            <v>4.5551930438096155</v>
          </cell>
        </row>
        <row r="50">
          <cell r="A50">
            <v>4</v>
          </cell>
          <cell r="B50" t="str">
            <v>BHUSAWAL 5</v>
          </cell>
          <cell r="C50" t="str">
            <v>Thermal</v>
          </cell>
          <cell r="D50" t="str">
            <v>Subcritical</v>
          </cell>
          <cell r="E50">
            <v>500</v>
          </cell>
          <cell r="F50">
            <v>1</v>
          </cell>
          <cell r="G50">
            <v>500</v>
          </cell>
          <cell r="K50">
            <v>1.7598165054914723</v>
          </cell>
        </row>
        <row r="51">
          <cell r="A51">
            <v>5</v>
          </cell>
          <cell r="B51" t="str">
            <v>KHAPARKHEDA - 1to 4</v>
          </cell>
          <cell r="C51" t="str">
            <v>Thermal</v>
          </cell>
          <cell r="D51" t="str">
            <v>Subcritical</v>
          </cell>
          <cell r="E51">
            <v>840</v>
          </cell>
          <cell r="F51">
            <v>1</v>
          </cell>
          <cell r="G51">
            <v>840</v>
          </cell>
          <cell r="H51">
            <v>2815.2681590000002</v>
          </cell>
          <cell r="J51">
            <v>241.61652678299998</v>
          </cell>
          <cell r="K51">
            <v>0.85823627852496864</v>
          </cell>
          <cell r="L51">
            <v>2.7589944438568121</v>
          </cell>
          <cell r="M51">
            <v>792.21645976479977</v>
          </cell>
          <cell r="N51">
            <v>1018.3474476477998</v>
          </cell>
          <cell r="O51">
            <v>3.6172307223817812</v>
          </cell>
        </row>
        <row r="52">
          <cell r="A52">
            <v>6</v>
          </cell>
          <cell r="B52" t="str">
            <v>KHAPARKHEDA 5</v>
          </cell>
          <cell r="C52" t="str">
            <v>Thermal</v>
          </cell>
          <cell r="D52" t="str">
            <v>Subcritical</v>
          </cell>
          <cell r="E52">
            <v>500</v>
          </cell>
          <cell r="F52">
            <v>1</v>
          </cell>
          <cell r="G52">
            <v>500</v>
          </cell>
          <cell r="H52">
            <v>2815.3329760000001</v>
          </cell>
          <cell r="J52">
            <v>441.86893060599999</v>
          </cell>
          <cell r="K52">
            <v>1.5695085958670629</v>
          </cell>
          <cell r="L52">
            <v>2.396819582144162</v>
          </cell>
          <cell r="M52">
            <v>787.44863351330002</v>
          </cell>
          <cell r="N52">
            <v>1116.6534513193001</v>
          </cell>
          <cell r="O52">
            <v>3.9663281780112252</v>
          </cell>
        </row>
        <row r="53">
          <cell r="A53">
            <v>7</v>
          </cell>
          <cell r="B53" t="str">
            <v>NASHIK- 3,4 &amp; 5</v>
          </cell>
          <cell r="C53" t="str">
            <v>Thermal</v>
          </cell>
          <cell r="D53" t="str">
            <v>Subcritical</v>
          </cell>
          <cell r="E53">
            <v>630</v>
          </cell>
          <cell r="F53">
            <v>1</v>
          </cell>
          <cell r="G53">
            <v>630</v>
          </cell>
          <cell r="H53">
            <v>2580.1439359999999</v>
          </cell>
          <cell r="J53">
            <v>340.14331499999997</v>
          </cell>
          <cell r="K53">
            <v>1.3183113943919134</v>
          </cell>
          <cell r="L53">
            <v>3.431116363694215</v>
          </cell>
          <cell r="M53">
            <v>822.54988684959994</v>
          </cell>
          <cell r="N53">
            <v>1225.4207229495998</v>
          </cell>
          <cell r="O53">
            <v>4.7494277580861279</v>
          </cell>
        </row>
        <row r="54">
          <cell r="A54">
            <v>71</v>
          </cell>
          <cell r="B54" t="str">
            <v>EMCO Power</v>
          </cell>
          <cell r="C54" t="str">
            <v>Thermal</v>
          </cell>
          <cell r="D54" t="str">
            <v>Subcritical</v>
          </cell>
          <cell r="E54">
            <v>200</v>
          </cell>
          <cell r="F54">
            <v>1</v>
          </cell>
          <cell r="G54">
            <v>200</v>
          </cell>
          <cell r="H54">
            <v>1260.6230499999999</v>
          </cell>
          <cell r="J54">
            <v>166.36282019999999</v>
          </cell>
          <cell r="K54">
            <v>1.3196872784453688</v>
          </cell>
          <cell r="L54">
            <v>2.9033469600607411</v>
          </cell>
          <cell r="M54">
            <v>244.41003029999996</v>
          </cell>
          <cell r="N54">
            <v>532.36543019999999</v>
          </cell>
          <cell r="O54">
            <v>4.2230342385061101</v>
          </cell>
        </row>
        <row r="55">
          <cell r="A55">
            <v>36</v>
          </cell>
          <cell r="B55" t="str">
            <v>KSTPS III</v>
          </cell>
          <cell r="C55" t="str">
            <v>Thermal</v>
          </cell>
          <cell r="D55" t="str">
            <v>Subcritical</v>
          </cell>
          <cell r="E55">
            <v>500</v>
          </cell>
          <cell r="F55">
            <v>0.28230699999999997</v>
          </cell>
          <cell r="G55">
            <v>141.15349999999998</v>
          </cell>
          <cell r="H55">
            <v>975.87608</v>
          </cell>
          <cell r="J55">
            <v>131.49443050000002</v>
          </cell>
          <cell r="K55">
            <v>1.3474500830064409</v>
          </cell>
          <cell r="L55">
            <v>1.4671774699099092</v>
          </cell>
          <cell r="M55">
            <v>119.11666790000001</v>
          </cell>
          <cell r="N55">
            <v>274.67277030000002</v>
          </cell>
          <cell r="O55">
            <v>2.8146275529163498</v>
          </cell>
        </row>
        <row r="56">
          <cell r="A56">
            <v>51</v>
          </cell>
          <cell r="B56" t="str">
            <v>Lara</v>
          </cell>
          <cell r="C56" t="str">
            <v>Thermal</v>
          </cell>
          <cell r="D56" t="str">
            <v>Subcritical</v>
          </cell>
          <cell r="E56">
            <v>50</v>
          </cell>
          <cell r="F56">
            <v>1</v>
          </cell>
          <cell r="G56">
            <v>50</v>
          </cell>
          <cell r="H56">
            <v>0</v>
          </cell>
          <cell r="J56">
            <v>0</v>
          </cell>
          <cell r="K56">
            <v>0</v>
          </cell>
          <cell r="L56">
            <v>0</v>
          </cell>
          <cell r="M56">
            <v>0</v>
          </cell>
          <cell r="N56">
            <v>0</v>
          </cell>
          <cell r="O56">
            <v>0</v>
          </cell>
        </row>
        <row r="57">
          <cell r="A57">
            <v>52</v>
          </cell>
          <cell r="B57" t="str">
            <v>Gadarwara</v>
          </cell>
          <cell r="C57" t="str">
            <v>Thermal</v>
          </cell>
          <cell r="D57" t="str">
            <v>Subcritical</v>
          </cell>
          <cell r="E57">
            <v>228</v>
          </cell>
          <cell r="F57">
            <v>1</v>
          </cell>
          <cell r="G57">
            <v>228</v>
          </cell>
          <cell r="H57">
            <v>0</v>
          </cell>
          <cell r="J57">
            <v>0</v>
          </cell>
          <cell r="K57">
            <v>0</v>
          </cell>
          <cell r="L57">
            <v>0</v>
          </cell>
          <cell r="M57">
            <v>0</v>
          </cell>
          <cell r="N57">
            <v>0</v>
          </cell>
          <cell r="O57">
            <v>0</v>
          </cell>
        </row>
        <row r="58">
          <cell r="A58">
            <v>62</v>
          </cell>
          <cell r="B58" t="str">
            <v>Pench</v>
          </cell>
          <cell r="C58" t="str">
            <v>Thermal</v>
          </cell>
          <cell r="D58" t="str">
            <v>Subcritical</v>
          </cell>
          <cell r="E58">
            <v>160</v>
          </cell>
          <cell r="F58">
            <v>0.33124999999999999</v>
          </cell>
          <cell r="G58">
            <v>53</v>
          </cell>
          <cell r="H58">
            <v>50.551805999999992</v>
          </cell>
          <cell r="J58">
            <v>0</v>
          </cell>
          <cell r="K58">
            <v>0</v>
          </cell>
          <cell r="L58">
            <v>2.0500000000000003</v>
          </cell>
          <cell r="M58">
            <v>10.36312023</v>
          </cell>
          <cell r="N58">
            <v>10.36312023</v>
          </cell>
          <cell r="O58">
            <v>2.0500000000000003</v>
          </cell>
        </row>
        <row r="59">
          <cell r="A59">
            <v>65</v>
          </cell>
          <cell r="B59" t="str">
            <v>IPP - JSW</v>
          </cell>
          <cell r="C59" t="str">
            <v>Thermal</v>
          </cell>
          <cell r="D59" t="str">
            <v>Subcritical</v>
          </cell>
          <cell r="E59">
            <v>300</v>
          </cell>
          <cell r="F59">
            <v>1</v>
          </cell>
          <cell r="G59">
            <v>300</v>
          </cell>
          <cell r="H59">
            <v>1898.9194039999998</v>
          </cell>
          <cell r="J59">
            <v>161.57160970000001</v>
          </cell>
          <cell r="K59">
            <v>0.85086080725519841</v>
          </cell>
          <cell r="L59">
            <v>2.0359305365231815</v>
          </cell>
          <cell r="M59">
            <v>396.07045609999994</v>
          </cell>
          <cell r="N59">
            <v>548.17840979999994</v>
          </cell>
          <cell r="O59">
            <v>2.8867913437783796</v>
          </cell>
        </row>
        <row r="60">
          <cell r="A60">
            <v>35</v>
          </cell>
          <cell r="B60" t="str">
            <v>KSTPS</v>
          </cell>
          <cell r="C60" t="str">
            <v>Thermal</v>
          </cell>
          <cell r="D60" t="str">
            <v>Subcritical</v>
          </cell>
          <cell r="E60">
            <v>2100</v>
          </cell>
          <cell r="F60">
            <v>0.31778200000000001</v>
          </cell>
          <cell r="G60">
            <v>667.34220000000005</v>
          </cell>
          <cell r="H60">
            <v>4815.3789760000009</v>
          </cell>
          <cell r="J60">
            <v>302.54929769999995</v>
          </cell>
          <cell r="K60">
            <v>0.62829799940547792</v>
          </cell>
          <cell r="L60">
            <v>0.94677864457245997</v>
          </cell>
          <cell r="M60">
            <v>597.85703350000006</v>
          </cell>
          <cell r="N60">
            <v>758.45909570000003</v>
          </cell>
          <cell r="O60">
            <v>1.5750766439779378</v>
          </cell>
        </row>
        <row r="61">
          <cell r="A61">
            <v>37</v>
          </cell>
          <cell r="B61" t="str">
            <v>VSTP I</v>
          </cell>
          <cell r="C61" t="str">
            <v>Thermal</v>
          </cell>
          <cell r="D61" t="str">
            <v>Subcritical</v>
          </cell>
          <cell r="E61">
            <v>1260</v>
          </cell>
          <cell r="F61">
            <v>0.36585600000000001</v>
          </cell>
          <cell r="G61">
            <v>460.97856000000002</v>
          </cell>
          <cell r="H61">
            <v>3170.6234629999999</v>
          </cell>
          <cell r="J61">
            <v>254.8867295</v>
          </cell>
          <cell r="K61">
            <v>0.80390097554766005</v>
          </cell>
          <cell r="L61">
            <v>1.0146508308356643</v>
          </cell>
          <cell r="M61">
            <v>475.66688320000009</v>
          </cell>
          <cell r="N61">
            <v>576.59430260000011</v>
          </cell>
          <cell r="O61">
            <v>1.8185518063833241</v>
          </cell>
        </row>
        <row r="62">
          <cell r="A62">
            <v>38</v>
          </cell>
          <cell r="B62" t="str">
            <v>VSTP II</v>
          </cell>
          <cell r="C62" t="str">
            <v>Thermal</v>
          </cell>
          <cell r="D62" t="str">
            <v>Subcritical</v>
          </cell>
          <cell r="E62">
            <v>1000</v>
          </cell>
          <cell r="F62">
            <v>0.35783500000000001</v>
          </cell>
          <cell r="G62">
            <v>357.83500000000004</v>
          </cell>
          <cell r="H62">
            <v>2610.3887540000001</v>
          </cell>
          <cell r="J62">
            <v>168.52921889999999</v>
          </cell>
          <cell r="K62">
            <v>0.64560965734224873</v>
          </cell>
          <cell r="L62">
            <v>1.5860620513537502</v>
          </cell>
          <cell r="M62">
            <v>366.32922830000001</v>
          </cell>
          <cell r="N62">
            <v>582.55307310000001</v>
          </cell>
          <cell r="O62">
            <v>2.2316717086959992</v>
          </cell>
        </row>
        <row r="63">
          <cell r="A63">
            <v>39</v>
          </cell>
          <cell r="B63" t="str">
            <v>VSTP III</v>
          </cell>
          <cell r="C63" t="str">
            <v>Thermal</v>
          </cell>
          <cell r="D63" t="str">
            <v>Subcritical</v>
          </cell>
          <cell r="E63">
            <v>1000</v>
          </cell>
          <cell r="F63">
            <v>0.29649900000000001</v>
          </cell>
          <cell r="G63">
            <v>296.49900000000002</v>
          </cell>
          <cell r="H63">
            <v>2236.5305450000001</v>
          </cell>
          <cell r="J63">
            <v>216.02424450000001</v>
          </cell>
          <cell r="K63">
            <v>0.96588998072458687</v>
          </cell>
          <cell r="L63">
            <v>1.5922931801497033</v>
          </cell>
          <cell r="M63">
            <v>314.72873289999995</v>
          </cell>
          <cell r="N63">
            <v>572.14547789999995</v>
          </cell>
          <cell r="O63">
            <v>2.5581831608742904</v>
          </cell>
        </row>
        <row r="64">
          <cell r="A64">
            <v>40</v>
          </cell>
          <cell r="B64" t="str">
            <v>VSTP IV</v>
          </cell>
          <cell r="C64" t="str">
            <v>Thermal</v>
          </cell>
          <cell r="D64" t="str">
            <v>Subcritical</v>
          </cell>
          <cell r="E64">
            <v>1000</v>
          </cell>
          <cell r="F64">
            <v>0.351576</v>
          </cell>
          <cell r="G64">
            <v>351.57600000000002</v>
          </cell>
          <cell r="H64">
            <v>2316.9703560000003</v>
          </cell>
          <cell r="J64">
            <v>352.89603039999997</v>
          </cell>
          <cell r="K64">
            <v>1.5230925569942853</v>
          </cell>
          <cell r="L64">
            <v>1.6013515595449417</v>
          </cell>
          <cell r="M64">
            <v>325.93564269999996</v>
          </cell>
          <cell r="N64">
            <v>723.92443969999999</v>
          </cell>
          <cell r="O64">
            <v>3.1244441165392272</v>
          </cell>
        </row>
        <row r="65">
          <cell r="A65">
            <v>41</v>
          </cell>
          <cell r="B65" t="str">
            <v>VSTP V</v>
          </cell>
          <cell r="C65" t="str">
            <v>Thermal</v>
          </cell>
          <cell r="D65" t="str">
            <v>Subcritical</v>
          </cell>
          <cell r="E65">
            <v>500</v>
          </cell>
          <cell r="F65">
            <v>0.351576</v>
          </cell>
          <cell r="G65">
            <v>175.78800000000001</v>
          </cell>
          <cell r="H65">
            <v>1356.4647089999999</v>
          </cell>
          <cell r="J65">
            <v>195.5327561</v>
          </cell>
          <cell r="K65">
            <v>1.4414879709192643</v>
          </cell>
          <cell r="L65">
            <v>1.6166579376891113</v>
          </cell>
          <cell r="M65">
            <v>192.36126300000001</v>
          </cell>
          <cell r="N65">
            <v>414.82670000000002</v>
          </cell>
          <cell r="O65">
            <v>3.0581459086083758</v>
          </cell>
        </row>
        <row r="66">
          <cell r="A66">
            <v>45</v>
          </cell>
          <cell r="B66" t="str">
            <v>SIPAT TPS 2</v>
          </cell>
          <cell r="C66" t="str">
            <v>Thermal</v>
          </cell>
          <cell r="D66" t="str">
            <v>Subcritical</v>
          </cell>
          <cell r="E66">
            <v>1000</v>
          </cell>
          <cell r="F66">
            <v>0.29466599999999998</v>
          </cell>
          <cell r="G66">
            <v>294.666</v>
          </cell>
          <cell r="H66">
            <v>2126.7797860000001</v>
          </cell>
          <cell r="J66">
            <v>256.25870674992922</v>
          </cell>
          <cell r="K66">
            <v>1.2049141544263728</v>
          </cell>
          <cell r="L66">
            <v>1.3971625565374826</v>
          </cell>
          <cell r="M66">
            <v>263.53024670000002</v>
          </cell>
          <cell r="N66">
            <v>553.40441504992918</v>
          </cell>
          <cell r="O66">
            <v>2.6020767109638552</v>
          </cell>
        </row>
        <row r="67">
          <cell r="A67">
            <v>46</v>
          </cell>
          <cell r="B67" t="str">
            <v>SIPAT TPS 1</v>
          </cell>
          <cell r="C67" t="str">
            <v>Thermal</v>
          </cell>
          <cell r="D67" t="str">
            <v>Subcritical</v>
          </cell>
          <cell r="E67">
            <v>1980</v>
          </cell>
          <cell r="F67">
            <v>0.31136999999999998</v>
          </cell>
          <cell r="G67">
            <v>616.51259999999991</v>
          </cell>
          <cell r="H67">
            <v>4363.0168629999998</v>
          </cell>
          <cell r="J67">
            <v>560.6116614</v>
          </cell>
          <cell r="K67">
            <v>1.2849174756902608</v>
          </cell>
          <cell r="L67">
            <v>1.3480749127693663</v>
          </cell>
          <cell r="M67">
            <v>526.15069299999993</v>
          </cell>
          <cell r="N67">
            <v>1148.7790190999999</v>
          </cell>
          <cell r="O67">
            <v>2.6329923884596274</v>
          </cell>
        </row>
        <row r="68">
          <cell r="A68">
            <v>44</v>
          </cell>
          <cell r="B68" t="str">
            <v>KhSTPS-II</v>
          </cell>
          <cell r="C68" t="str">
            <v>Thermal</v>
          </cell>
          <cell r="D68" t="str">
            <v>Subcritical</v>
          </cell>
          <cell r="E68">
            <v>1500</v>
          </cell>
          <cell r="F68">
            <v>9.8699999999999996E-2</v>
          </cell>
          <cell r="G68">
            <v>148.04999999999998</v>
          </cell>
          <cell r="H68">
            <v>855.29772300000013</v>
          </cell>
          <cell r="J68">
            <v>114.6862613</v>
          </cell>
          <cell r="K68">
            <v>1.3408928635719048</v>
          </cell>
          <cell r="L68">
            <v>2.3117401646584295</v>
          </cell>
          <cell r="M68">
            <v>202.69027110000002</v>
          </cell>
          <cell r="N68">
            <v>312.40887120000002</v>
          </cell>
          <cell r="O68">
            <v>3.6526330282303343</v>
          </cell>
        </row>
        <row r="69">
          <cell r="E69">
            <v>20538</v>
          </cell>
          <cell r="G69">
            <v>12101.400859999998</v>
          </cell>
          <cell r="H69">
            <v>60729.417311000005</v>
          </cell>
          <cell r="J69">
            <v>7328.2547424819313</v>
          </cell>
          <cell r="M69">
            <v>13179.374845816399</v>
          </cell>
          <cell r="N69">
            <v>20374.665829198333</v>
          </cell>
        </row>
        <row r="72">
          <cell r="A72">
            <v>70</v>
          </cell>
          <cell r="B72" t="str">
            <v>Adani power  440mw</v>
          </cell>
          <cell r="C72" t="str">
            <v>Thermal</v>
          </cell>
          <cell r="D72" t="str">
            <v>Supercritical</v>
          </cell>
          <cell r="E72">
            <v>440</v>
          </cell>
          <cell r="F72">
            <v>1</v>
          </cell>
          <cell r="G72">
            <v>440</v>
          </cell>
          <cell r="H72">
            <v>2160.1511529999998</v>
          </cell>
          <cell r="J72">
            <v>425.96079929999996</v>
          </cell>
          <cell r="K72">
            <v>1.971902747214838</v>
          </cell>
          <cell r="L72">
            <v>2.4479551315916641</v>
          </cell>
          <cell r="M72">
            <v>531.13933299999997</v>
          </cell>
          <cell r="N72">
            <v>954.75610929999993</v>
          </cell>
          <cell r="O72">
            <v>4.4198578788065026</v>
          </cell>
        </row>
        <row r="73">
          <cell r="A73">
            <v>67</v>
          </cell>
          <cell r="B73" t="str">
            <v>Adani power  125 MW</v>
          </cell>
          <cell r="C73" t="str">
            <v>Thermal</v>
          </cell>
          <cell r="D73" t="str">
            <v>Supercritical</v>
          </cell>
          <cell r="E73">
            <v>125</v>
          </cell>
          <cell r="F73">
            <v>1</v>
          </cell>
          <cell r="G73">
            <v>125</v>
          </cell>
          <cell r="H73">
            <v>830.4229170000001</v>
          </cell>
          <cell r="J73">
            <v>116.29495200000001</v>
          </cell>
          <cell r="K73">
            <v>1.4004304267050953</v>
          </cell>
          <cell r="L73">
            <v>2.4376350123295065</v>
          </cell>
          <cell r="M73">
            <v>202.426797752</v>
          </cell>
          <cell r="N73">
            <v>318.72174975199999</v>
          </cell>
          <cell r="O73">
            <v>3.8380654390346014</v>
          </cell>
        </row>
        <row r="74">
          <cell r="A74">
            <v>29</v>
          </cell>
          <cell r="B74" t="str">
            <v xml:space="preserve">Chandrapur 8 </v>
          </cell>
          <cell r="C74" t="str">
            <v>Thermal</v>
          </cell>
          <cell r="D74" t="str">
            <v>Supercritical</v>
          </cell>
          <cell r="E74">
            <v>500</v>
          </cell>
          <cell r="F74">
            <v>1</v>
          </cell>
          <cell r="G74">
            <v>500</v>
          </cell>
          <cell r="H74">
            <v>2620.596661</v>
          </cell>
          <cell r="J74">
            <v>466.56320931099992</v>
          </cell>
          <cell r="K74">
            <v>1.7803701586529646</v>
          </cell>
          <cell r="L74">
            <v>2.2972207135465013</v>
          </cell>
          <cell r="M74">
            <v>549.66847854999992</v>
          </cell>
          <cell r="N74">
            <v>1068.5721024609998</v>
          </cell>
          <cell r="O74">
            <v>4.0775908721994654</v>
          </cell>
        </row>
        <row r="75">
          <cell r="A75">
            <v>30</v>
          </cell>
          <cell r="B75" t="str">
            <v xml:space="preserve">Chandrapur 9 </v>
          </cell>
          <cell r="C75" t="str">
            <v>Thermal</v>
          </cell>
          <cell r="D75" t="str">
            <v>Supercritical</v>
          </cell>
          <cell r="E75">
            <v>500</v>
          </cell>
          <cell r="F75">
            <v>1</v>
          </cell>
          <cell r="G75">
            <v>500</v>
          </cell>
          <cell r="H75">
            <v>3088.2406639999999</v>
          </cell>
          <cell r="J75">
            <v>466.17049719299996</v>
          </cell>
          <cell r="K75">
            <v>1.5095018423505868</v>
          </cell>
          <cell r="L75">
            <v>2.1406403904537146</v>
          </cell>
          <cell r="M75">
            <v>650.04077767999991</v>
          </cell>
          <cell r="N75">
            <v>1127.2517672729998</v>
          </cell>
          <cell r="O75">
            <v>3.6501422328043014</v>
          </cell>
        </row>
        <row r="76">
          <cell r="A76">
            <v>31</v>
          </cell>
          <cell r="B76" t="str">
            <v xml:space="preserve">Koradi R U-8 </v>
          </cell>
          <cell r="C76" t="str">
            <v>Thermal</v>
          </cell>
          <cell r="D76" t="str">
            <v>Supercritical</v>
          </cell>
          <cell r="E76">
            <v>660</v>
          </cell>
          <cell r="F76">
            <v>1</v>
          </cell>
          <cell r="G76">
            <v>660</v>
          </cell>
          <cell r="H76">
            <v>2877.2579999999998</v>
          </cell>
          <cell r="J76">
            <v>443.99669168800006</v>
          </cell>
          <cell r="K76">
            <v>1.5431243624589805</v>
          </cell>
          <cell r="L76">
            <v>2.5241955997689471</v>
          </cell>
          <cell r="M76">
            <v>669.51704070000005</v>
          </cell>
          <cell r="N76">
            <v>1170.2728899880001</v>
          </cell>
          <cell r="O76">
            <v>4.067319962227927</v>
          </cell>
        </row>
        <row r="77">
          <cell r="A77">
            <v>32</v>
          </cell>
          <cell r="B77" t="str">
            <v xml:space="preserve">Koradi 9                       </v>
          </cell>
          <cell r="C77" t="str">
            <v>Thermal</v>
          </cell>
          <cell r="D77" t="str">
            <v>Supercritical</v>
          </cell>
          <cell r="E77">
            <v>660</v>
          </cell>
          <cell r="F77">
            <v>1</v>
          </cell>
          <cell r="G77">
            <v>660</v>
          </cell>
          <cell r="H77">
            <v>2445.9629999999997</v>
          </cell>
          <cell r="J77">
            <v>445.26228388800001</v>
          </cell>
          <cell r="K77">
            <v>1.8203966449533375</v>
          </cell>
          <cell r="L77">
            <v>2.4077074886251344</v>
          </cell>
          <cell r="M77">
            <v>569.28762129999996</v>
          </cell>
          <cell r="N77">
            <v>1034.178627088</v>
          </cell>
          <cell r="O77">
            <v>4.2281041335784728</v>
          </cell>
        </row>
        <row r="78">
          <cell r="A78">
            <v>33</v>
          </cell>
          <cell r="B78" t="str">
            <v xml:space="preserve">Koradi10                  </v>
          </cell>
          <cell r="C78" t="str">
            <v>Thermal</v>
          </cell>
          <cell r="D78" t="str">
            <v>Supercritical</v>
          </cell>
          <cell r="E78">
            <v>660</v>
          </cell>
          <cell r="F78">
            <v>1</v>
          </cell>
          <cell r="G78">
            <v>660</v>
          </cell>
          <cell r="H78">
            <v>2931.2149999999997</v>
          </cell>
          <cell r="J78">
            <v>443.76519458800004</v>
          </cell>
          <cell r="K78">
            <v>1.5139291883672814</v>
          </cell>
          <cell r="L78">
            <v>2.3212435665756348</v>
          </cell>
          <cell r="M78">
            <v>682.07180019999987</v>
          </cell>
          <cell r="N78">
            <v>1124.1715906879999</v>
          </cell>
          <cell r="O78">
            <v>3.8351727549429167</v>
          </cell>
        </row>
        <row r="79">
          <cell r="A79">
            <v>47</v>
          </cell>
          <cell r="B79" t="str">
            <v>Mauda I</v>
          </cell>
          <cell r="C79" t="str">
            <v>Thermal</v>
          </cell>
          <cell r="D79" t="str">
            <v>Supercritical</v>
          </cell>
          <cell r="E79">
            <v>920</v>
          </cell>
          <cell r="F79">
            <v>0.42401</v>
          </cell>
          <cell r="G79">
            <v>390.08920000000001</v>
          </cell>
          <cell r="H79">
            <v>1949.7559980000001</v>
          </cell>
          <cell r="J79">
            <v>504.47608609999997</v>
          </cell>
          <cell r="K79">
            <v>2.5873806087401503</v>
          </cell>
          <cell r="L79">
            <v>2.8896515870597672</v>
          </cell>
          <cell r="M79">
            <v>538.12349500000005</v>
          </cell>
          <cell r="N79">
            <v>1067.8876375</v>
          </cell>
          <cell r="O79">
            <v>5.4770321957999171</v>
          </cell>
        </row>
        <row r="80">
          <cell r="A80">
            <v>48</v>
          </cell>
          <cell r="B80" t="str">
            <v>Mauda II</v>
          </cell>
          <cell r="C80" t="str">
            <v>Thermal</v>
          </cell>
          <cell r="D80" t="str">
            <v>Supercritical</v>
          </cell>
          <cell r="E80">
            <v>660</v>
          </cell>
          <cell r="F80">
            <v>0.43401000000000001</v>
          </cell>
          <cell r="G80">
            <v>286.44659999999999</v>
          </cell>
          <cell r="H80">
            <v>1094.344963</v>
          </cell>
          <cell r="J80">
            <v>217.6963188</v>
          </cell>
          <cell r="K80">
            <v>1.9892842399823794</v>
          </cell>
          <cell r="L80">
            <v>2.5531498160694688</v>
          </cell>
          <cell r="M80">
            <v>284.6171822</v>
          </cell>
          <cell r="N80">
            <v>497.09898290000001</v>
          </cell>
          <cell r="O80">
            <v>4.5424340560518486</v>
          </cell>
        </row>
        <row r="81">
          <cell r="A81">
            <v>50</v>
          </cell>
          <cell r="B81" t="str">
            <v>NTPC solapur</v>
          </cell>
          <cell r="C81" t="str">
            <v>Thermal</v>
          </cell>
          <cell r="D81" t="str">
            <v>Supercritical</v>
          </cell>
          <cell r="E81">
            <v>660</v>
          </cell>
          <cell r="F81">
            <v>0.51889393939393946</v>
          </cell>
          <cell r="G81">
            <v>342.47</v>
          </cell>
          <cell r="H81">
            <v>597.50990300000001</v>
          </cell>
          <cell r="J81">
            <v>152.40738569999999</v>
          </cell>
          <cell r="K81">
            <v>2.5507089495050592</v>
          </cell>
          <cell r="L81">
            <v>3.2744330541882256</v>
          </cell>
          <cell r="M81">
            <v>193.81203055880002</v>
          </cell>
          <cell r="N81">
            <v>348.05800335880002</v>
          </cell>
          <cell r="O81">
            <v>5.8251420036932844</v>
          </cell>
        </row>
        <row r="82">
          <cell r="A82">
            <v>66</v>
          </cell>
          <cell r="B82" t="str">
            <v>Mundra UMPP</v>
          </cell>
          <cell r="C82" t="str">
            <v>Thermal</v>
          </cell>
          <cell r="D82" t="str">
            <v>Supercritical</v>
          </cell>
          <cell r="E82">
            <v>4000</v>
          </cell>
          <cell r="F82">
            <v>0.2</v>
          </cell>
          <cell r="G82">
            <v>800</v>
          </cell>
          <cell r="H82">
            <v>4990.0399660000003</v>
          </cell>
          <cell r="J82">
            <v>476.46818149999996</v>
          </cell>
          <cell r="K82">
            <v>0.95483840760084193</v>
          </cell>
          <cell r="L82">
            <v>1.6002655835241857</v>
          </cell>
          <cell r="M82">
            <v>798.63090529999988</v>
          </cell>
          <cell r="N82">
            <v>1275.0071032999999</v>
          </cell>
          <cell r="O82">
            <v>2.5551039911250277</v>
          </cell>
        </row>
        <row r="83">
          <cell r="A83">
            <v>68</v>
          </cell>
          <cell r="B83" t="str">
            <v>Adani power  1320 MW</v>
          </cell>
          <cell r="C83" t="str">
            <v>Thermal</v>
          </cell>
          <cell r="D83" t="str">
            <v>Supercritical</v>
          </cell>
          <cell r="E83">
            <v>1320</v>
          </cell>
          <cell r="F83">
            <v>1</v>
          </cell>
          <cell r="G83">
            <v>1320</v>
          </cell>
          <cell r="H83">
            <v>6293.8948349999991</v>
          </cell>
          <cell r="J83">
            <v>734.49368029999994</v>
          </cell>
          <cell r="K83">
            <v>1.1669938878157313</v>
          </cell>
          <cell r="L83">
            <v>1.7334420737854614</v>
          </cell>
          <cell r="M83">
            <v>1026.9932114970002</v>
          </cell>
          <cell r="N83">
            <v>1825.5038917970001</v>
          </cell>
          <cell r="O83">
            <v>2.9004359616011923</v>
          </cell>
        </row>
        <row r="84">
          <cell r="A84">
            <v>69</v>
          </cell>
          <cell r="B84" t="str">
            <v>Adani power  1200 MW</v>
          </cell>
          <cell r="C84" t="str">
            <v>Thermal</v>
          </cell>
          <cell r="D84" t="str">
            <v>Supercritical</v>
          </cell>
          <cell r="E84">
            <v>1200</v>
          </cell>
          <cell r="F84">
            <v>1</v>
          </cell>
          <cell r="G84">
            <v>1200</v>
          </cell>
          <cell r="H84">
            <v>7972.059994000002</v>
          </cell>
          <cell r="J84">
            <v>1116.4315431</v>
          </cell>
          <cell r="K84">
            <v>1.4004304332133199</v>
          </cell>
          <cell r="L84">
            <v>2.4376352615880723</v>
          </cell>
          <cell r="M84">
            <v>1943.297454687</v>
          </cell>
          <cell r="N84">
            <v>3059.7289979870002</v>
          </cell>
          <cell r="O84">
            <v>3.8380656948013927</v>
          </cell>
        </row>
        <row r="85">
          <cell r="E85">
            <v>12305</v>
          </cell>
          <cell r="G85">
            <v>7884.0057999999999</v>
          </cell>
          <cell r="H85">
            <v>39851.453053999998</v>
          </cell>
          <cell r="J85">
            <v>6009.9868234679998</v>
          </cell>
          <cell r="K85">
            <v>1.5080972870234555</v>
          </cell>
          <cell r="M85">
            <v>8639.6261284247994</v>
          </cell>
          <cell r="N85">
            <v>14871.209453392799</v>
          </cell>
        </row>
        <row r="86">
          <cell r="B86" t="str">
            <v>Total</v>
          </cell>
          <cell r="C86" t="str">
            <v>Thermal</v>
          </cell>
          <cell r="D86" t="str">
            <v>Coal</v>
          </cell>
          <cell r="E86">
            <v>32843</v>
          </cell>
          <cell r="G86">
            <v>19985.406659999997</v>
          </cell>
          <cell r="H86">
            <v>100580.87036500001</v>
          </cell>
          <cell r="J86">
            <v>13338.241565949931</v>
          </cell>
          <cell r="M86">
            <v>21819.0009742412</v>
          </cell>
          <cell r="N86">
            <v>35245.875282591136</v>
          </cell>
        </row>
        <row r="88">
          <cell r="A88">
            <v>42</v>
          </cell>
          <cell r="B88" t="str">
            <v xml:space="preserve">KAWAS </v>
          </cell>
          <cell r="C88" t="str">
            <v>Gas</v>
          </cell>
          <cell r="D88" t="str">
            <v>Gas</v>
          </cell>
          <cell r="E88">
            <v>656.2</v>
          </cell>
          <cell r="F88">
            <v>0.31136999999999998</v>
          </cell>
          <cell r="G88">
            <v>204.32099400000001</v>
          </cell>
          <cell r="H88">
            <v>650.40348100000006</v>
          </cell>
          <cell r="J88">
            <v>125.15899979999999</v>
          </cell>
          <cell r="K88">
            <v>1.9243285661320129</v>
          </cell>
          <cell r="L88">
            <v>-8.385815796241064E-2</v>
          </cell>
          <cell r="M88">
            <v>148.32837501509999</v>
          </cell>
          <cell r="N88">
            <v>119.70483601510001</v>
          </cell>
          <cell r="O88">
            <v>1.8404704081696022</v>
          </cell>
        </row>
        <row r="89">
          <cell r="A89">
            <v>43</v>
          </cell>
          <cell r="B89" t="str">
            <v>GANDHAR</v>
          </cell>
          <cell r="C89" t="str">
            <v>Gas</v>
          </cell>
          <cell r="D89" t="str">
            <v>Gas</v>
          </cell>
          <cell r="E89">
            <v>657.39</v>
          </cell>
          <cell r="F89">
            <v>0.30480299999999999</v>
          </cell>
          <cell r="G89">
            <v>200.37444417</v>
          </cell>
          <cell r="H89">
            <v>852.14262799999995</v>
          </cell>
          <cell r="J89">
            <v>152.49621210000001</v>
          </cell>
          <cell r="K89">
            <v>1.789562064955164</v>
          </cell>
          <cell r="L89">
            <v>1.9660371490768798</v>
          </cell>
          <cell r="M89">
            <v>182.914968096</v>
          </cell>
          <cell r="N89">
            <v>320.03061839600002</v>
          </cell>
          <cell r="O89">
            <v>3.7555992140320438</v>
          </cell>
        </row>
        <row r="90">
          <cell r="A90">
            <v>25</v>
          </cell>
          <cell r="B90" t="str">
            <v xml:space="preserve">GTPS URAN </v>
          </cell>
          <cell r="C90" t="str">
            <v>Gas</v>
          </cell>
          <cell r="D90" t="str">
            <v>Gas</v>
          </cell>
          <cell r="E90">
            <v>672</v>
          </cell>
          <cell r="F90">
            <v>1</v>
          </cell>
          <cell r="G90">
            <v>672</v>
          </cell>
          <cell r="H90">
            <v>3119.8625700000002</v>
          </cell>
          <cell r="J90">
            <v>124.72605958599999</v>
          </cell>
          <cell r="K90">
            <v>0.39978062106113854</v>
          </cell>
          <cell r="L90">
            <v>1.7186590239133512</v>
          </cell>
          <cell r="M90">
            <v>813.66015822999987</v>
          </cell>
          <cell r="N90">
            <v>660.92405551599995</v>
          </cell>
          <cell r="O90">
            <v>2.1184396449744898</v>
          </cell>
        </row>
        <row r="91">
          <cell r="G91">
            <v>1076.69543817</v>
          </cell>
        </row>
        <row r="94">
          <cell r="A94">
            <v>57</v>
          </cell>
          <cell r="B94" t="str">
            <v xml:space="preserve">KAPP </v>
          </cell>
          <cell r="C94" t="str">
            <v>Nuclear</v>
          </cell>
          <cell r="D94" t="str">
            <v>Nuclear</v>
          </cell>
          <cell r="E94">
            <v>440</v>
          </cell>
          <cell r="F94">
            <v>0.34813</v>
          </cell>
          <cell r="G94">
            <v>153.1772</v>
          </cell>
          <cell r="H94">
            <v>-15.625371999999999</v>
          </cell>
          <cell r="J94">
            <v>0</v>
          </cell>
          <cell r="K94">
            <v>0</v>
          </cell>
          <cell r="L94">
            <v>0</v>
          </cell>
          <cell r="M94">
            <v>0</v>
          </cell>
          <cell r="N94">
            <v>0</v>
          </cell>
          <cell r="O94">
            <v>0</v>
          </cell>
        </row>
        <row r="95">
          <cell r="A95">
            <v>58</v>
          </cell>
          <cell r="B95" t="str">
            <v>TAPP 1&amp;2</v>
          </cell>
          <cell r="C95" t="str">
            <v>Nuclear</v>
          </cell>
          <cell r="D95" t="str">
            <v>Nuclear</v>
          </cell>
          <cell r="E95">
            <v>320</v>
          </cell>
          <cell r="F95">
            <v>0.5</v>
          </cell>
          <cell r="G95">
            <v>160</v>
          </cell>
          <cell r="H95">
            <v>539.1585</v>
          </cell>
          <cell r="J95">
            <v>0</v>
          </cell>
          <cell r="K95">
            <v>0</v>
          </cell>
          <cell r="L95">
            <v>2.1025479353473981</v>
          </cell>
          <cell r="M95">
            <v>58.128689600000008</v>
          </cell>
          <cell r="N95">
            <v>113.36065910000001</v>
          </cell>
          <cell r="O95">
            <v>2.1025479353473981</v>
          </cell>
        </row>
        <row r="96">
          <cell r="A96">
            <v>59</v>
          </cell>
          <cell r="B96" t="str">
            <v>TAPP 3&amp;4</v>
          </cell>
          <cell r="C96" t="str">
            <v>Nuclear</v>
          </cell>
          <cell r="D96" t="str">
            <v>Nuclear</v>
          </cell>
          <cell r="E96">
            <v>1080</v>
          </cell>
          <cell r="F96">
            <v>0.41860000000000003</v>
          </cell>
          <cell r="G96">
            <v>452.08800000000002</v>
          </cell>
          <cell r="H96">
            <v>2065.0178519999999</v>
          </cell>
          <cell r="J96">
            <v>0</v>
          </cell>
          <cell r="K96">
            <v>0</v>
          </cell>
          <cell r="L96">
            <v>3.1205805537026423</v>
          </cell>
          <cell r="M96">
            <v>612.63655319999998</v>
          </cell>
          <cell r="N96">
            <v>644.40545520000001</v>
          </cell>
          <cell r="O96">
            <v>3.1205805537026423</v>
          </cell>
        </row>
        <row r="97">
          <cell r="G97">
            <v>765.26520000000005</v>
          </cell>
        </row>
        <row r="102">
          <cell r="A102">
            <v>61</v>
          </cell>
          <cell r="B102" t="str">
            <v>SSP</v>
          </cell>
          <cell r="C102" t="str">
            <v>Hydro</v>
          </cell>
          <cell r="D102" t="str">
            <v>Large</v>
          </cell>
          <cell r="E102">
            <v>1450</v>
          </cell>
          <cell r="F102">
            <v>0.27</v>
          </cell>
          <cell r="G102">
            <v>391.5</v>
          </cell>
          <cell r="H102">
            <v>245.60109399999999</v>
          </cell>
          <cell r="J102">
            <v>0</v>
          </cell>
          <cell r="K102">
            <v>0</v>
          </cell>
          <cell r="L102">
            <v>2.0500000002035823</v>
          </cell>
          <cell r="M102">
            <v>50.348224275</v>
          </cell>
          <cell r="N102">
            <v>50.348224275</v>
          </cell>
          <cell r="O102">
            <v>2.0500000002035823</v>
          </cell>
        </row>
        <row r="103">
          <cell r="A103">
            <v>64</v>
          </cell>
          <cell r="B103" t="str">
            <v>Dodson II</v>
          </cell>
          <cell r="C103" t="str">
            <v>Hydro</v>
          </cell>
          <cell r="D103" t="str">
            <v>Large</v>
          </cell>
          <cell r="E103">
            <v>34</v>
          </cell>
          <cell r="F103">
            <v>1</v>
          </cell>
          <cell r="G103">
            <v>34</v>
          </cell>
          <cell r="H103">
            <v>29.4192</v>
          </cell>
          <cell r="J103">
            <v>13.100000299999998</v>
          </cell>
          <cell r="K103">
            <v>4.4528744153478002</v>
          </cell>
          <cell r="L103">
            <v>7.214336215804645E-3</v>
          </cell>
          <cell r="M103">
            <v>0</v>
          </cell>
          <cell r="N103">
            <v>13.121224299999998</v>
          </cell>
          <cell r="O103">
            <v>4.4600887515636041</v>
          </cell>
        </row>
        <row r="104">
          <cell r="A104">
            <v>63</v>
          </cell>
          <cell r="B104" t="str">
            <v xml:space="preserve">Dodson I </v>
          </cell>
          <cell r="C104" t="str">
            <v>Hydro</v>
          </cell>
          <cell r="D104" t="str">
            <v>Large</v>
          </cell>
          <cell r="E104">
            <v>12</v>
          </cell>
          <cell r="F104">
            <v>1</v>
          </cell>
          <cell r="G104">
            <v>12</v>
          </cell>
          <cell r="H104">
            <v>53.108400000000003</v>
          </cell>
          <cell r="J104">
            <v>0.75140680000000004</v>
          </cell>
          <cell r="K104">
            <v>0.14148549005430403</v>
          </cell>
          <cell r="L104">
            <v>1.5118302978436553</v>
          </cell>
          <cell r="M104">
            <v>7.219458919</v>
          </cell>
          <cell r="N104">
            <v>8.7804956189999999</v>
          </cell>
          <cell r="O104">
            <v>1.6533157878979596</v>
          </cell>
        </row>
        <row r="105">
          <cell r="A105">
            <v>26</v>
          </cell>
          <cell r="B105" t="str">
            <v>Hydro (including Ghatghar)</v>
          </cell>
          <cell r="C105" t="str">
            <v>Hydro</v>
          </cell>
          <cell r="D105" t="str">
            <v>Large</v>
          </cell>
          <cell r="E105">
            <v>2335</v>
          </cell>
          <cell r="F105">
            <v>1</v>
          </cell>
          <cell r="G105">
            <v>2335</v>
          </cell>
          <cell r="H105">
            <v>3414.8794000000007</v>
          </cell>
          <cell r="J105">
            <v>582.21753699099997</v>
          </cell>
          <cell r="K105">
            <v>1.7049431877184298</v>
          </cell>
          <cell r="L105">
            <v>0.32541163084705121</v>
          </cell>
          <cell r="M105">
            <v>111.12414747000001</v>
          </cell>
          <cell r="N105">
            <v>693.341684461</v>
          </cell>
          <cell r="O105">
            <v>2.0303548185654812</v>
          </cell>
        </row>
        <row r="106">
          <cell r="G106">
            <v>2772.5</v>
          </cell>
        </row>
        <row r="116">
          <cell r="A116">
            <v>73</v>
          </cell>
          <cell r="B116" t="str">
            <v>Renewable - Non- Solar</v>
          </cell>
          <cell r="C116" t="str">
            <v>RE</v>
          </cell>
          <cell r="D116" t="e">
            <v>#N/A</v>
          </cell>
          <cell r="E116">
            <v>6340</v>
          </cell>
          <cell r="F116">
            <v>1</v>
          </cell>
          <cell r="G116">
            <v>6340</v>
          </cell>
          <cell r="H116">
            <v>10238.646965025062</v>
          </cell>
          <cell r="J116">
            <v>0</v>
          </cell>
          <cell r="K116">
            <v>0</v>
          </cell>
          <cell r="L116">
            <v>5.4761744946346038</v>
          </cell>
          <cell r="M116">
            <v>5606.8617369438234</v>
          </cell>
          <cell r="N116">
            <v>5606.8617369438234</v>
          </cell>
          <cell r="O116">
            <v>5.4761744946346038</v>
          </cell>
        </row>
        <row r="118">
          <cell r="A118">
            <v>74</v>
          </cell>
          <cell r="B118" t="str">
            <v>Renewable - Solar</v>
          </cell>
          <cell r="C118" t="str">
            <v>RE</v>
          </cell>
          <cell r="D118" t="e">
            <v>#N/A</v>
          </cell>
          <cell r="E118">
            <v>2395</v>
          </cell>
          <cell r="F118">
            <v>1</v>
          </cell>
          <cell r="G118">
            <v>2395</v>
          </cell>
          <cell r="H118">
            <v>807.62596076299997</v>
          </cell>
          <cell r="J118">
            <v>0</v>
          </cell>
          <cell r="K118">
            <v>0</v>
          </cell>
          <cell r="L118">
            <v>7.9036478151213583</v>
          </cell>
          <cell r="M118">
            <v>638.31911602197727</v>
          </cell>
          <cell r="N118">
            <v>638.31911602197727</v>
          </cell>
          <cell r="O118">
            <v>7.9036478151213583</v>
          </cell>
        </row>
      </sheetData>
      <sheetData sheetId="8"/>
      <sheetData sheetId="9">
        <row r="35">
          <cell r="A35" t="str">
            <v>Id</v>
          </cell>
          <cell r="B35" t="str">
            <v>Generating Station</v>
          </cell>
          <cell r="C35" t="str">
            <v>Share Allocation</v>
          </cell>
          <cell r="D35" t="str">
            <v>Benificiaries</v>
          </cell>
          <cell r="E35" t="str">
            <v>Region</v>
          </cell>
        </row>
        <row r="36">
          <cell r="A36">
            <v>3105</v>
          </cell>
          <cell r="B36" t="str">
            <v>TEESTA HPS</v>
          </cell>
          <cell r="C36">
            <v>21.26</v>
          </cell>
          <cell r="D36" t="str">
            <v>BIHAR #</v>
          </cell>
          <cell r="E36" t="str">
            <v>ER</v>
          </cell>
        </row>
        <row r="37">
          <cell r="A37">
            <v>3106</v>
          </cell>
          <cell r="B37" t="str">
            <v>TEESTA HPS</v>
          </cell>
          <cell r="C37">
            <v>12.34</v>
          </cell>
          <cell r="D37" t="str">
            <v>JHARKHAND</v>
          </cell>
          <cell r="E37" t="str">
            <v>ER</v>
          </cell>
        </row>
        <row r="38">
          <cell r="A38">
            <v>3107</v>
          </cell>
          <cell r="B38" t="str">
            <v>TEESTA HPS</v>
          </cell>
          <cell r="C38">
            <v>8.64</v>
          </cell>
          <cell r="D38" t="str">
            <v>DVC</v>
          </cell>
          <cell r="E38" t="str">
            <v>ER</v>
          </cell>
        </row>
        <row r="39">
          <cell r="A39">
            <v>3108</v>
          </cell>
          <cell r="B39" t="str">
            <v>TEESTA HPS</v>
          </cell>
          <cell r="C39">
            <v>20.59</v>
          </cell>
          <cell r="D39" t="str">
            <v>ODISHA</v>
          </cell>
          <cell r="E39" t="str">
            <v>ER</v>
          </cell>
        </row>
        <row r="40">
          <cell r="A40">
            <v>3109</v>
          </cell>
          <cell r="B40" t="str">
            <v>TEESTA HPS</v>
          </cell>
          <cell r="C40">
            <v>23.98</v>
          </cell>
          <cell r="D40" t="str">
            <v>WEST BENGAL</v>
          </cell>
          <cell r="E40" t="str">
            <v>ER</v>
          </cell>
        </row>
        <row r="41">
          <cell r="A41">
            <v>3110</v>
          </cell>
          <cell r="B41" t="str">
            <v>TEESTA HPS</v>
          </cell>
          <cell r="C41">
            <v>13.19</v>
          </cell>
          <cell r="D41" t="str">
            <v>SIKKIM</v>
          </cell>
          <cell r="E41" t="str">
            <v>ER</v>
          </cell>
        </row>
        <row r="42">
          <cell r="A42">
            <v>3099</v>
          </cell>
          <cell r="B42" t="str">
            <v>Rangit</v>
          </cell>
          <cell r="C42">
            <v>35</v>
          </cell>
          <cell r="D42" t="str">
            <v>BIHAR #</v>
          </cell>
          <cell r="E42" t="str">
            <v>ER</v>
          </cell>
        </row>
        <row r="43">
          <cell r="A43">
            <v>3100</v>
          </cell>
          <cell r="B43" t="str">
            <v>Rangit</v>
          </cell>
          <cell r="C43">
            <v>13.33</v>
          </cell>
          <cell r="D43" t="str">
            <v>JHARKHAND</v>
          </cell>
          <cell r="E43" t="str">
            <v>ER</v>
          </cell>
        </row>
        <row r="44">
          <cell r="A44">
            <v>3101</v>
          </cell>
          <cell r="B44" t="str">
            <v>Rangit</v>
          </cell>
          <cell r="C44">
            <v>10</v>
          </cell>
          <cell r="D44" t="str">
            <v>DVC</v>
          </cell>
          <cell r="E44" t="str">
            <v>ER</v>
          </cell>
        </row>
        <row r="45">
          <cell r="A45">
            <v>3102</v>
          </cell>
          <cell r="B45" t="str">
            <v>Rangit</v>
          </cell>
          <cell r="C45">
            <v>0</v>
          </cell>
          <cell r="D45" t="str">
            <v>ODISHA</v>
          </cell>
          <cell r="E45" t="str">
            <v>ER</v>
          </cell>
        </row>
        <row r="46">
          <cell r="A46">
            <v>3103</v>
          </cell>
          <cell r="B46" t="str">
            <v>Rangit</v>
          </cell>
          <cell r="C46">
            <v>28.34</v>
          </cell>
          <cell r="D46" t="str">
            <v>WEST BENGAL</v>
          </cell>
          <cell r="E46" t="str">
            <v>ER</v>
          </cell>
        </row>
        <row r="47">
          <cell r="A47">
            <v>3104</v>
          </cell>
          <cell r="B47" t="str">
            <v>Rangit</v>
          </cell>
          <cell r="C47">
            <v>13.33</v>
          </cell>
          <cell r="D47" t="str">
            <v>SIKKIM</v>
          </cell>
          <cell r="E47" t="str">
            <v>ER</v>
          </cell>
        </row>
        <row r="48">
          <cell r="A48">
            <v>3111</v>
          </cell>
          <cell r="B48" t="str">
            <v>FSTPS STAGE - I &amp; II</v>
          </cell>
          <cell r="C48">
            <v>31.397866</v>
          </cell>
          <cell r="D48" t="str">
            <v>BIHAR #</v>
          </cell>
          <cell r="E48" t="str">
            <v>ER</v>
          </cell>
        </row>
        <row r="49">
          <cell r="A49">
            <v>3112</v>
          </cell>
          <cell r="B49" t="str">
            <v>FSTPS STAGE - I &amp; II</v>
          </cell>
          <cell r="C49">
            <v>8.5742919999999998</v>
          </cell>
          <cell r="D49" t="str">
            <v>JHARKHAND</v>
          </cell>
          <cell r="E49" t="str">
            <v>ER</v>
          </cell>
        </row>
        <row r="50">
          <cell r="A50">
            <v>3113</v>
          </cell>
          <cell r="B50" t="str">
            <v>FSTPS STAGE - I &amp; II</v>
          </cell>
          <cell r="C50">
            <v>0</v>
          </cell>
          <cell r="D50" t="str">
            <v>DVC</v>
          </cell>
          <cell r="E50" t="str">
            <v>ER</v>
          </cell>
        </row>
        <row r="51">
          <cell r="A51">
            <v>3114</v>
          </cell>
          <cell r="B51" t="str">
            <v>FSTPS STAGE - I &amp; II</v>
          </cell>
          <cell r="C51">
            <v>13.63</v>
          </cell>
          <cell r="D51" t="str">
            <v>ODISHA</v>
          </cell>
          <cell r="E51" t="str">
            <v>ER</v>
          </cell>
        </row>
        <row r="52">
          <cell r="A52">
            <v>3115</v>
          </cell>
          <cell r="B52" t="str">
            <v>FSTPS STAGE - I &amp; II</v>
          </cell>
          <cell r="C52">
            <v>9.9048999999999998E-2</v>
          </cell>
          <cell r="D52" t="str">
            <v>ODISHA (COAL POWER - AFTAB)</v>
          </cell>
          <cell r="E52" t="str">
            <v>ER</v>
          </cell>
        </row>
        <row r="53">
          <cell r="A53">
            <v>3116</v>
          </cell>
          <cell r="B53" t="str">
            <v>FSTPS STAGE - I &amp; II</v>
          </cell>
          <cell r="C53">
            <v>8.2936999999999997E-2</v>
          </cell>
          <cell r="D53" t="str">
            <v>ODISHA (COAL POWER - DADRI)</v>
          </cell>
          <cell r="E53" t="str">
            <v>ER</v>
          </cell>
        </row>
        <row r="54">
          <cell r="A54">
            <v>3117</v>
          </cell>
          <cell r="B54" t="str">
            <v>FSTPS STAGE - I &amp; II</v>
          </cell>
          <cell r="C54">
            <v>0.27573599999999998</v>
          </cell>
          <cell r="D54" t="str">
            <v>ODISHA (COAL POWER - Rajasthan)</v>
          </cell>
          <cell r="E54" t="str">
            <v>ER</v>
          </cell>
        </row>
        <row r="55">
          <cell r="A55">
            <v>3118</v>
          </cell>
          <cell r="B55" t="str">
            <v>FSTPS STAGE - I &amp; II</v>
          </cell>
          <cell r="C55">
            <v>9.5839999999999995E-2</v>
          </cell>
          <cell r="D55" t="str">
            <v>ODISHA (COAL POWER - Faridabad)</v>
          </cell>
          <cell r="E55" t="str">
            <v>ER</v>
          </cell>
        </row>
        <row r="56">
          <cell r="A56">
            <v>3119</v>
          </cell>
          <cell r="B56" t="str">
            <v>FSTPS STAGE - I &amp; II</v>
          </cell>
          <cell r="C56">
            <v>31.93</v>
          </cell>
          <cell r="D56" t="str">
            <v>WEST BENGAL</v>
          </cell>
          <cell r="E56" t="str">
            <v>ER</v>
          </cell>
        </row>
        <row r="57">
          <cell r="A57">
            <v>3120</v>
          </cell>
          <cell r="B57" t="str">
            <v>FSTPS STAGE - I &amp; II</v>
          </cell>
          <cell r="C57">
            <v>0.91911699999999996</v>
          </cell>
          <cell r="D57" t="str">
            <v>West Bengal (COAL POWER - Rajasthan)</v>
          </cell>
          <cell r="E57" t="str">
            <v>ER</v>
          </cell>
        </row>
        <row r="58">
          <cell r="A58">
            <v>3121</v>
          </cell>
          <cell r="B58" t="str">
            <v>FSTPS STAGE - I &amp; II</v>
          </cell>
          <cell r="C58">
            <v>1.63</v>
          </cell>
          <cell r="D58" t="str">
            <v>SIKKIM</v>
          </cell>
          <cell r="E58" t="str">
            <v>ER</v>
          </cell>
        </row>
        <row r="59">
          <cell r="A59">
            <v>3122</v>
          </cell>
          <cell r="B59" t="str">
            <v>FSTPS STAGE - I &amp; II</v>
          </cell>
          <cell r="C59">
            <v>0</v>
          </cell>
          <cell r="D59" t="str">
            <v>ANDHRA PRADESH</v>
          </cell>
          <cell r="E59" t="str">
            <v>SR</v>
          </cell>
        </row>
        <row r="60">
          <cell r="A60">
            <v>3123</v>
          </cell>
          <cell r="B60" t="str">
            <v>FSTPS STAGE - I &amp; II</v>
          </cell>
          <cell r="C60">
            <v>0.75155799999999995</v>
          </cell>
          <cell r="D60" t="str">
            <v>TELANGANA (NSM-II)</v>
          </cell>
          <cell r="E60" t="str">
            <v>SR</v>
          </cell>
        </row>
        <row r="61">
          <cell r="A61">
            <v>3124</v>
          </cell>
          <cell r="B61" t="str">
            <v>FSTPS STAGE - I &amp; II</v>
          </cell>
          <cell r="C61">
            <v>0</v>
          </cell>
          <cell r="D61" t="str">
            <v>KARNATAKA</v>
          </cell>
          <cell r="E61" t="str">
            <v>SR</v>
          </cell>
        </row>
        <row r="62">
          <cell r="A62">
            <v>3125</v>
          </cell>
          <cell r="B62" t="str">
            <v>FSTPS STAGE - I &amp; II</v>
          </cell>
          <cell r="C62">
            <v>1.29</v>
          </cell>
          <cell r="D62" t="str">
            <v>TAMILNADU</v>
          </cell>
          <cell r="E62" t="str">
            <v>SR</v>
          </cell>
        </row>
        <row r="63">
          <cell r="A63">
            <v>3126</v>
          </cell>
          <cell r="B63" t="str">
            <v>FSTPS STAGE - I &amp; II</v>
          </cell>
          <cell r="C63">
            <v>0</v>
          </cell>
          <cell r="D63" t="str">
            <v>KERALA</v>
          </cell>
          <cell r="E63" t="str">
            <v>SR</v>
          </cell>
        </row>
        <row r="64">
          <cell r="A64">
            <v>3127</v>
          </cell>
          <cell r="B64" t="str">
            <v>FSTPS STAGE - I &amp; II</v>
          </cell>
          <cell r="C64">
            <v>0</v>
          </cell>
          <cell r="D64" t="str">
            <v>PONDICHERRY</v>
          </cell>
          <cell r="E64" t="str">
            <v>SR</v>
          </cell>
        </row>
        <row r="65">
          <cell r="A65">
            <v>3128</v>
          </cell>
          <cell r="B65" t="str">
            <v>FSTPS STAGE - I &amp; II</v>
          </cell>
          <cell r="C65">
            <v>0</v>
          </cell>
          <cell r="D65" t="str">
            <v>CHHATTISGARH</v>
          </cell>
          <cell r="E65" t="str">
            <v>WR</v>
          </cell>
        </row>
        <row r="66">
          <cell r="A66">
            <v>3129</v>
          </cell>
          <cell r="B66" t="str">
            <v>FSTPS STAGE - I &amp; II</v>
          </cell>
          <cell r="C66">
            <v>0</v>
          </cell>
          <cell r="D66" t="str">
            <v>GUJARAT</v>
          </cell>
          <cell r="E66" t="str">
            <v>WR</v>
          </cell>
        </row>
        <row r="67">
          <cell r="A67">
            <v>3130</v>
          </cell>
          <cell r="B67" t="str">
            <v>FSTPS STAGE - I &amp; II</v>
          </cell>
          <cell r="C67">
            <v>0</v>
          </cell>
          <cell r="D67" t="str">
            <v>MADHYA PRADESH</v>
          </cell>
          <cell r="E67" t="str">
            <v>WR</v>
          </cell>
        </row>
        <row r="68">
          <cell r="A68">
            <v>3131</v>
          </cell>
          <cell r="B68" t="str">
            <v>FSTPS STAGE - I &amp; II</v>
          </cell>
          <cell r="C68">
            <v>0</v>
          </cell>
          <cell r="D68" t="str">
            <v>MAHARASTRA</v>
          </cell>
          <cell r="E68" t="str">
            <v>WR</v>
          </cell>
        </row>
        <row r="69">
          <cell r="A69">
            <v>3132</v>
          </cell>
          <cell r="B69" t="str">
            <v>FSTPS STAGE - I &amp; II</v>
          </cell>
          <cell r="C69">
            <v>0</v>
          </cell>
          <cell r="D69" t="str">
            <v>DADRA &amp; NAGAR HAVELI</v>
          </cell>
          <cell r="E69" t="str">
            <v>WR</v>
          </cell>
        </row>
        <row r="70">
          <cell r="A70">
            <v>3133</v>
          </cell>
          <cell r="B70" t="str">
            <v>FSTPS STAGE - I &amp; II</v>
          </cell>
          <cell r="C70">
            <v>0</v>
          </cell>
          <cell r="D70" t="str">
            <v>DAMAN &amp; DIU</v>
          </cell>
          <cell r="E70" t="str">
            <v>WR</v>
          </cell>
        </row>
        <row r="71">
          <cell r="A71">
            <v>3134</v>
          </cell>
          <cell r="B71" t="str">
            <v>FSTPS STAGE - I &amp; II</v>
          </cell>
          <cell r="C71">
            <v>0</v>
          </cell>
          <cell r="D71" t="str">
            <v>GOA</v>
          </cell>
          <cell r="E71" t="str">
            <v>WR</v>
          </cell>
        </row>
        <row r="72">
          <cell r="A72">
            <v>3135</v>
          </cell>
          <cell r="B72" t="str">
            <v>FSTPS STAGE - I &amp; II</v>
          </cell>
          <cell r="C72">
            <v>2.08</v>
          </cell>
          <cell r="D72" t="str">
            <v>UTTAR PRADESH</v>
          </cell>
          <cell r="E72" t="str">
            <v>NR</v>
          </cell>
        </row>
        <row r="73">
          <cell r="A73">
            <v>3136</v>
          </cell>
          <cell r="B73" t="str">
            <v>FSTPS STAGE - I &amp; II</v>
          </cell>
          <cell r="C73">
            <v>0.69</v>
          </cell>
          <cell r="D73" t="str">
            <v>HARYANA</v>
          </cell>
          <cell r="E73" t="str">
            <v>NR</v>
          </cell>
        </row>
        <row r="74">
          <cell r="A74">
            <v>3137</v>
          </cell>
          <cell r="B74" t="str">
            <v>FSTPS STAGE - I &amp; II</v>
          </cell>
          <cell r="C74">
            <v>0.69</v>
          </cell>
          <cell r="D74" t="str">
            <v>RAJASTHAN</v>
          </cell>
          <cell r="E74" t="str">
            <v>NR</v>
          </cell>
        </row>
        <row r="75">
          <cell r="A75">
            <v>3138</v>
          </cell>
          <cell r="B75" t="str">
            <v>FSTPS STAGE - I &amp; II</v>
          </cell>
          <cell r="C75">
            <v>0.85</v>
          </cell>
          <cell r="D75" t="str">
            <v>J &amp; K</v>
          </cell>
          <cell r="E75" t="str">
            <v>NR</v>
          </cell>
        </row>
        <row r="76">
          <cell r="A76">
            <v>3139</v>
          </cell>
          <cell r="B76" t="str">
            <v>FSTPS STAGE - I &amp; II</v>
          </cell>
          <cell r="C76">
            <v>0</v>
          </cell>
          <cell r="D76" t="str">
            <v>HIMACHAL PRADESH</v>
          </cell>
          <cell r="E76" t="str">
            <v>NR</v>
          </cell>
        </row>
        <row r="77">
          <cell r="A77">
            <v>3140</v>
          </cell>
          <cell r="B77" t="str">
            <v>FSTPS STAGE - I &amp; II</v>
          </cell>
          <cell r="C77">
            <v>1.39</v>
          </cell>
          <cell r="D77" t="str">
            <v>DELHI</v>
          </cell>
          <cell r="E77" t="str">
            <v>NR</v>
          </cell>
        </row>
        <row r="78">
          <cell r="A78">
            <v>3141</v>
          </cell>
          <cell r="B78" t="str">
            <v>FSTPS STAGE - I &amp; II</v>
          </cell>
          <cell r="C78">
            <v>0</v>
          </cell>
          <cell r="D78" t="str">
            <v>PUNJAB</v>
          </cell>
          <cell r="E78" t="str">
            <v>NR</v>
          </cell>
        </row>
        <row r="79">
          <cell r="A79">
            <v>3142</v>
          </cell>
          <cell r="B79" t="str">
            <v>FSTPS STAGE - I &amp; II</v>
          </cell>
          <cell r="C79">
            <v>0</v>
          </cell>
          <cell r="D79" t="str">
            <v>UTTARAKHAND</v>
          </cell>
          <cell r="E79" t="str">
            <v>NR</v>
          </cell>
        </row>
        <row r="80">
          <cell r="A80">
            <v>3143</v>
          </cell>
          <cell r="B80" t="str">
            <v>FSTPS STAGE - I &amp; II</v>
          </cell>
          <cell r="C80">
            <v>0</v>
          </cell>
          <cell r="D80" t="str">
            <v>CHANDIGARH</v>
          </cell>
          <cell r="E80" t="str">
            <v>NR</v>
          </cell>
        </row>
        <row r="81">
          <cell r="A81">
            <v>3144</v>
          </cell>
          <cell r="B81" t="str">
            <v>FSTPS STAGE - I &amp; II</v>
          </cell>
          <cell r="C81">
            <v>2.4557370000000001</v>
          </cell>
          <cell r="D81" t="str">
            <v>ASSAM</v>
          </cell>
          <cell r="E81" t="str">
            <v>NER</v>
          </cell>
        </row>
        <row r="82">
          <cell r="A82">
            <v>3145</v>
          </cell>
          <cell r="B82" t="str">
            <v>FSTPS STAGE - I &amp; II</v>
          </cell>
          <cell r="C82">
            <v>9.1911999999999994E-2</v>
          </cell>
          <cell r="D82" t="str">
            <v>ASSAM (COAL POWER - Rajasthan)</v>
          </cell>
          <cell r="E82" t="str">
            <v>NER</v>
          </cell>
        </row>
        <row r="83">
          <cell r="A83">
            <v>3146</v>
          </cell>
          <cell r="B83" t="str">
            <v>FSTPS STAGE - I &amp; II</v>
          </cell>
          <cell r="C83">
            <v>0</v>
          </cell>
          <cell r="D83" t="str">
            <v>MEGHALAYA</v>
          </cell>
          <cell r="E83" t="str">
            <v>NER</v>
          </cell>
        </row>
        <row r="84">
          <cell r="A84">
            <v>3147</v>
          </cell>
          <cell r="B84" t="str">
            <v>FSTPS STAGE - I &amp; II</v>
          </cell>
          <cell r="C84">
            <v>0.42980299999999999</v>
          </cell>
          <cell r="D84" t="str">
            <v>NAGALAND</v>
          </cell>
          <cell r="E84" t="str">
            <v>NER</v>
          </cell>
        </row>
        <row r="85">
          <cell r="A85">
            <v>3148</v>
          </cell>
          <cell r="B85" t="str">
            <v>FSTPS STAGE - I &amp; II</v>
          </cell>
          <cell r="C85">
            <v>0.191917</v>
          </cell>
          <cell r="D85" t="str">
            <v>ARUNACHAL PRADESH</v>
          </cell>
          <cell r="E85" t="str">
            <v>NER</v>
          </cell>
        </row>
        <row r="86">
          <cell r="A86">
            <v>3149</v>
          </cell>
          <cell r="B86" t="str">
            <v>FSTPS STAGE - I &amp; II</v>
          </cell>
          <cell r="C86">
            <v>0.141736</v>
          </cell>
          <cell r="D86" t="str">
            <v>MIZORAM</v>
          </cell>
          <cell r="E86" t="str">
            <v>NER</v>
          </cell>
        </row>
        <row r="87">
          <cell r="A87">
            <v>3307</v>
          </cell>
          <cell r="B87" t="str">
            <v>BARH STPS STAGE - II</v>
          </cell>
          <cell r="C87">
            <v>7.0812879999999998</v>
          </cell>
          <cell r="D87" t="str">
            <v>BIHAR #</v>
          </cell>
          <cell r="E87" t="str">
            <v>ER</v>
          </cell>
        </row>
        <row r="88">
          <cell r="A88">
            <v>3308</v>
          </cell>
          <cell r="B88" t="str">
            <v>BARH STPS STAGE - II</v>
          </cell>
          <cell r="C88">
            <v>0</v>
          </cell>
          <cell r="D88" t="str">
            <v>JHARKHAND</v>
          </cell>
          <cell r="E88" t="str">
            <v>ER</v>
          </cell>
        </row>
        <row r="89">
          <cell r="A89">
            <v>3309</v>
          </cell>
          <cell r="B89" t="str">
            <v>BARH STPS STAGE - II</v>
          </cell>
          <cell r="C89">
            <v>0</v>
          </cell>
          <cell r="D89" t="str">
            <v>ODISHA</v>
          </cell>
          <cell r="E89" t="str">
            <v>ER</v>
          </cell>
        </row>
        <row r="90">
          <cell r="A90">
            <v>3310</v>
          </cell>
          <cell r="B90" t="str">
            <v>BARH STPS STAGE - II</v>
          </cell>
          <cell r="C90">
            <v>0</v>
          </cell>
          <cell r="D90" t="str">
            <v>WEST BENGAL</v>
          </cell>
          <cell r="E90" t="str">
            <v>ER</v>
          </cell>
        </row>
        <row r="91">
          <cell r="A91">
            <v>3311</v>
          </cell>
          <cell r="B91" t="str">
            <v>BARH STPS STAGE - II</v>
          </cell>
          <cell r="C91">
            <v>1.318009</v>
          </cell>
          <cell r="D91" t="str">
            <v>SIKKIM</v>
          </cell>
          <cell r="E91" t="str">
            <v>ER</v>
          </cell>
        </row>
        <row r="92">
          <cell r="A92">
            <v>3150</v>
          </cell>
          <cell r="B92" t="str">
            <v>FSTPS STAGE - III (Unit #6)</v>
          </cell>
          <cell r="C92">
            <v>26.517873999999999</v>
          </cell>
          <cell r="D92" t="str">
            <v>BIHAR #</v>
          </cell>
          <cell r="E92" t="str">
            <v>ER</v>
          </cell>
        </row>
        <row r="93">
          <cell r="A93">
            <v>3151</v>
          </cell>
          <cell r="B93" t="str">
            <v>FSTPS STAGE - III (Unit #6)</v>
          </cell>
          <cell r="C93">
            <v>16.948474000000001</v>
          </cell>
          <cell r="D93" t="str">
            <v>JHARKHAND</v>
          </cell>
          <cell r="E93" t="str">
            <v>ER</v>
          </cell>
        </row>
        <row r="94">
          <cell r="A94">
            <v>3152</v>
          </cell>
          <cell r="B94" t="str">
            <v>FSTPS STAGE - III (Unit #6)</v>
          </cell>
          <cell r="C94">
            <v>0</v>
          </cell>
          <cell r="D94" t="str">
            <v>DVC</v>
          </cell>
          <cell r="E94" t="str">
            <v>ER</v>
          </cell>
        </row>
        <row r="95">
          <cell r="A95">
            <v>3153</v>
          </cell>
          <cell r="B95" t="str">
            <v>FSTPS STAGE - III (Unit #6)</v>
          </cell>
          <cell r="C95">
            <v>16.62</v>
          </cell>
          <cell r="D95" t="str">
            <v>ODISHA</v>
          </cell>
          <cell r="E95" t="str">
            <v>ER</v>
          </cell>
        </row>
        <row r="96">
          <cell r="A96">
            <v>3154</v>
          </cell>
          <cell r="B96" t="str">
            <v>FSTPS STAGE - III (Unit #6)</v>
          </cell>
          <cell r="C96">
            <v>0.162663</v>
          </cell>
          <cell r="D96" t="str">
            <v>ODISHA (COAL POWER - DADRI)</v>
          </cell>
          <cell r="E96" t="str">
            <v>ER</v>
          </cell>
        </row>
        <row r="97">
          <cell r="A97">
            <v>3155</v>
          </cell>
          <cell r="B97" t="str">
            <v>FSTPS STAGE - III (Unit #6)</v>
          </cell>
          <cell r="C97">
            <v>0.18382399999999999</v>
          </cell>
          <cell r="D97" t="str">
            <v>ODISHA (COAL POWER - Rajasthan)</v>
          </cell>
          <cell r="E97" t="str">
            <v>ER</v>
          </cell>
        </row>
        <row r="98">
          <cell r="A98">
            <v>3156</v>
          </cell>
          <cell r="B98" t="str">
            <v>FSTPS STAGE - III (Unit #6)</v>
          </cell>
          <cell r="C98">
            <v>9.1911999999999994E-2</v>
          </cell>
          <cell r="D98" t="str">
            <v>ODISHA (COAL POWER - Raj-II SunTech)</v>
          </cell>
          <cell r="E98" t="str">
            <v>ER</v>
          </cell>
        </row>
        <row r="99">
          <cell r="A99">
            <v>3157</v>
          </cell>
          <cell r="B99" t="str">
            <v>FSTPS STAGE - III (Unit #6)</v>
          </cell>
          <cell r="C99">
            <v>9.1354000000000005E-2</v>
          </cell>
          <cell r="D99" t="str">
            <v>ODISHA (COAL POWER - Faridabad)</v>
          </cell>
          <cell r="E99" t="str">
            <v>ER</v>
          </cell>
        </row>
        <row r="100">
          <cell r="A100">
            <v>3158</v>
          </cell>
          <cell r="B100" t="str">
            <v>FSTPS STAGE - III (Unit #6)</v>
          </cell>
          <cell r="C100">
            <v>37.638939999999998</v>
          </cell>
          <cell r="D100" t="str">
            <v>WEST BENGAL</v>
          </cell>
          <cell r="E100" t="str">
            <v>ER</v>
          </cell>
        </row>
        <row r="101">
          <cell r="A101">
            <v>3159</v>
          </cell>
          <cell r="B101" t="str">
            <v>FSTPS STAGE - III (Unit #6)</v>
          </cell>
          <cell r="C101">
            <v>0.64338200000000001</v>
          </cell>
          <cell r="D101" t="str">
            <v>West Bengal (COAL POWER - Rajasthan)</v>
          </cell>
          <cell r="E101" t="str">
            <v>ER</v>
          </cell>
        </row>
        <row r="102">
          <cell r="A102">
            <v>3160</v>
          </cell>
          <cell r="B102" t="str">
            <v>FSTPS STAGE - III (Unit #6)</v>
          </cell>
          <cell r="C102">
            <v>0.27573500000000001</v>
          </cell>
          <cell r="D102" t="str">
            <v>West Bengal (COAL POWER- Raj-II SunTech)</v>
          </cell>
          <cell r="E102" t="str">
            <v>ER</v>
          </cell>
        </row>
        <row r="103">
          <cell r="A103">
            <v>3161</v>
          </cell>
          <cell r="B103" t="str">
            <v>FSTPS STAGE - III (Unit #6)</v>
          </cell>
          <cell r="C103">
            <v>0</v>
          </cell>
          <cell r="D103" t="str">
            <v>SIKKIM</v>
          </cell>
          <cell r="E103" t="str">
            <v>ER</v>
          </cell>
        </row>
        <row r="104">
          <cell r="A104">
            <v>3162</v>
          </cell>
          <cell r="B104" t="str">
            <v>FSTPS STAGE - III (Unit #6)</v>
          </cell>
          <cell r="C104">
            <v>0</v>
          </cell>
          <cell r="D104" t="str">
            <v>ANDHRA PRADESH</v>
          </cell>
          <cell r="E104" t="str">
            <v>SR</v>
          </cell>
        </row>
        <row r="105">
          <cell r="A105">
            <v>3163</v>
          </cell>
          <cell r="B105" t="str">
            <v>FSTPS STAGE - III (Unit #6)</v>
          </cell>
          <cell r="C105">
            <v>0.73392999999999997</v>
          </cell>
          <cell r="D105" t="str">
            <v>TELANGANA (NSM-II)</v>
          </cell>
          <cell r="E105" t="str">
            <v>SR</v>
          </cell>
        </row>
        <row r="106">
          <cell r="A106">
            <v>3164</v>
          </cell>
          <cell r="B106" t="str">
            <v>FSTPS STAGE - III (Unit #6)</v>
          </cell>
          <cell r="C106">
            <v>0</v>
          </cell>
          <cell r="D106" t="str">
            <v>KARNATAKA</v>
          </cell>
          <cell r="E106" t="str">
            <v>SR</v>
          </cell>
        </row>
        <row r="107">
          <cell r="A107">
            <v>3165</v>
          </cell>
          <cell r="B107" t="str">
            <v>FSTPS STAGE - III (Unit #6)</v>
          </cell>
          <cell r="C107">
            <v>0</v>
          </cell>
          <cell r="D107" t="str">
            <v>TAMILNADU</v>
          </cell>
          <cell r="E107" t="str">
            <v>SR</v>
          </cell>
        </row>
        <row r="108">
          <cell r="A108">
            <v>3166</v>
          </cell>
          <cell r="B108" t="str">
            <v>FSTPS STAGE - III (Unit #6)</v>
          </cell>
          <cell r="C108">
            <v>0</v>
          </cell>
          <cell r="D108" t="str">
            <v>KERALA</v>
          </cell>
          <cell r="E108" t="str">
            <v>SR</v>
          </cell>
        </row>
        <row r="109">
          <cell r="A109">
            <v>3167</v>
          </cell>
          <cell r="B109" t="str">
            <v>FSTPS STAGE - III (Unit #6)</v>
          </cell>
          <cell r="C109">
            <v>0</v>
          </cell>
          <cell r="D109" t="str">
            <v>PONDICHERRY</v>
          </cell>
          <cell r="E109" t="str">
            <v>SR</v>
          </cell>
        </row>
        <row r="110">
          <cell r="A110">
            <v>3168</v>
          </cell>
          <cell r="B110" t="str">
            <v>FSTPS STAGE - III (Unit #6)</v>
          </cell>
          <cell r="C110">
            <v>0</v>
          </cell>
          <cell r="D110" t="str">
            <v>CHHATTISGARH</v>
          </cell>
          <cell r="E110" t="str">
            <v>WR</v>
          </cell>
        </row>
        <row r="111">
          <cell r="A111">
            <v>3169</v>
          </cell>
          <cell r="B111" t="str">
            <v>FSTPS STAGE - III (Unit #6)</v>
          </cell>
          <cell r="C111">
            <v>0</v>
          </cell>
          <cell r="D111" t="str">
            <v>GUJARAT</v>
          </cell>
          <cell r="E111" t="str">
            <v>WR</v>
          </cell>
        </row>
        <row r="112">
          <cell r="A112">
            <v>3170</v>
          </cell>
          <cell r="B112" t="str">
            <v>FSTPS STAGE - III (Unit #6)</v>
          </cell>
          <cell r="C112">
            <v>0</v>
          </cell>
          <cell r="D112" t="str">
            <v>MADHYA PRADESH</v>
          </cell>
          <cell r="E112" t="str">
            <v>WR</v>
          </cell>
        </row>
        <row r="113">
          <cell r="A113">
            <v>3171</v>
          </cell>
          <cell r="B113" t="str">
            <v>FSTPS STAGE - III (Unit #6)</v>
          </cell>
          <cell r="C113">
            <v>0</v>
          </cell>
          <cell r="D113" t="str">
            <v>MAHARASTRA</v>
          </cell>
          <cell r="E113" t="str">
            <v>WR</v>
          </cell>
        </row>
        <row r="114">
          <cell r="A114">
            <v>3172</v>
          </cell>
          <cell r="B114" t="str">
            <v>FSTPS STAGE - III (Unit #6)</v>
          </cell>
          <cell r="C114">
            <v>0</v>
          </cell>
          <cell r="D114" t="str">
            <v>DADRA &amp; NAGAR HAVELI</v>
          </cell>
          <cell r="E114" t="str">
            <v>WR</v>
          </cell>
        </row>
        <row r="115">
          <cell r="A115">
            <v>3173</v>
          </cell>
          <cell r="B115" t="str">
            <v>FSTPS STAGE - III (Unit #6)</v>
          </cell>
          <cell r="C115">
            <v>0</v>
          </cell>
          <cell r="D115" t="str">
            <v>DAMAN &amp; DIU</v>
          </cell>
          <cell r="E115" t="str">
            <v>WR</v>
          </cell>
        </row>
        <row r="116">
          <cell r="A116">
            <v>3174</v>
          </cell>
          <cell r="B116" t="str">
            <v>FSTPS STAGE - III (Unit #6)</v>
          </cell>
          <cell r="C116">
            <v>0</v>
          </cell>
          <cell r="D116" t="str">
            <v>GOA</v>
          </cell>
          <cell r="E116" t="str">
            <v>WR</v>
          </cell>
        </row>
        <row r="117">
          <cell r="A117">
            <v>3175</v>
          </cell>
          <cell r="B117" t="str">
            <v>FSTPS STAGE - III (Unit #6)</v>
          </cell>
          <cell r="C117">
            <v>0</v>
          </cell>
          <cell r="D117" t="str">
            <v>UTTAR PRADESH</v>
          </cell>
          <cell r="E117" t="str">
            <v>NR</v>
          </cell>
        </row>
        <row r="118">
          <cell r="A118">
            <v>3176</v>
          </cell>
          <cell r="B118" t="str">
            <v>FSTPS STAGE - III (Unit #6)</v>
          </cell>
          <cell r="C118">
            <v>0</v>
          </cell>
          <cell r="D118" t="str">
            <v>HARYANA</v>
          </cell>
          <cell r="E118" t="str">
            <v>NR</v>
          </cell>
        </row>
        <row r="119">
          <cell r="A119">
            <v>3177</v>
          </cell>
          <cell r="B119" t="str">
            <v>FSTPS STAGE - III (Unit #6)</v>
          </cell>
          <cell r="C119">
            <v>0</v>
          </cell>
          <cell r="D119" t="str">
            <v>RAJASTHAN</v>
          </cell>
          <cell r="E119" t="str">
            <v>NR</v>
          </cell>
        </row>
        <row r="120">
          <cell r="A120">
            <v>3178</v>
          </cell>
          <cell r="B120" t="str">
            <v>FSTPS STAGE - III (Unit #6)</v>
          </cell>
          <cell r="C120">
            <v>0</v>
          </cell>
          <cell r="D120" t="str">
            <v>J &amp; K</v>
          </cell>
          <cell r="E120" t="str">
            <v>NR</v>
          </cell>
        </row>
        <row r="121">
          <cell r="A121">
            <v>3179</v>
          </cell>
          <cell r="B121" t="str">
            <v>FSTPS STAGE - III (Unit #6)</v>
          </cell>
          <cell r="C121">
            <v>0</v>
          </cell>
          <cell r="D121" t="str">
            <v>HIMACHAL PRADESH</v>
          </cell>
          <cell r="E121" t="str">
            <v>NR</v>
          </cell>
        </row>
        <row r="122">
          <cell r="A122">
            <v>3180</v>
          </cell>
          <cell r="B122" t="str">
            <v>FSTPS STAGE - III (Unit #6)</v>
          </cell>
          <cell r="C122">
            <v>0</v>
          </cell>
          <cell r="D122" t="str">
            <v>DELHI</v>
          </cell>
          <cell r="E122" t="str">
            <v>NR</v>
          </cell>
        </row>
        <row r="123">
          <cell r="A123">
            <v>3181</v>
          </cell>
          <cell r="B123" t="str">
            <v>FSTPS STAGE - III (Unit #6)</v>
          </cell>
          <cell r="C123">
            <v>0</v>
          </cell>
          <cell r="D123" t="str">
            <v>PUNJAB</v>
          </cell>
          <cell r="E123" t="str">
            <v>NR</v>
          </cell>
        </row>
        <row r="124">
          <cell r="A124">
            <v>3182</v>
          </cell>
          <cell r="B124" t="str">
            <v>FSTPS STAGE - III (Unit #6)</v>
          </cell>
          <cell r="C124">
            <v>0</v>
          </cell>
          <cell r="D124" t="str">
            <v>UTTARAKHAND</v>
          </cell>
          <cell r="E124" t="str">
            <v>NR</v>
          </cell>
        </row>
        <row r="125">
          <cell r="A125">
            <v>3183</v>
          </cell>
          <cell r="B125" t="str">
            <v>FSTPS STAGE - III (Unit #6)</v>
          </cell>
          <cell r="C125">
            <v>0</v>
          </cell>
          <cell r="D125" t="str">
            <v>CHANDIGARH</v>
          </cell>
          <cell r="E125" t="str">
            <v>NR</v>
          </cell>
        </row>
        <row r="126">
          <cell r="A126">
            <v>3184</v>
          </cell>
          <cell r="B126" t="str">
            <v>FSTPS STAGE - III (Unit #6)</v>
          </cell>
          <cell r="C126">
            <v>0</v>
          </cell>
          <cell r="D126" t="str">
            <v>ASSAM</v>
          </cell>
          <cell r="E126" t="str">
            <v>NER</v>
          </cell>
        </row>
        <row r="127">
          <cell r="A127">
            <v>3185</v>
          </cell>
          <cell r="B127" t="str">
            <v>FSTPS STAGE - III (Unit #6)</v>
          </cell>
          <cell r="C127">
            <v>9.1911999999999994E-2</v>
          </cell>
          <cell r="D127" t="str">
            <v>ASSAM (COAL POWER - Rajasthan)</v>
          </cell>
          <cell r="E127" t="str">
            <v>NER</v>
          </cell>
        </row>
        <row r="128">
          <cell r="A128">
            <v>3186</v>
          </cell>
          <cell r="B128" t="str">
            <v>FSTPS STAGE - III (Unit #6)</v>
          </cell>
          <cell r="C128">
            <v>0</v>
          </cell>
          <cell r="D128" t="str">
            <v>MEGHALAYA</v>
          </cell>
          <cell r="E128" t="str">
            <v>NER</v>
          </cell>
        </row>
        <row r="129">
          <cell r="A129">
            <v>3187</v>
          </cell>
          <cell r="B129" t="str">
            <v>FSTPS STAGE - III (Unit #6)</v>
          </cell>
          <cell r="C129">
            <v>0</v>
          </cell>
          <cell r="D129" t="str">
            <v>NAGALAND</v>
          </cell>
          <cell r="E129" t="str">
            <v>NER</v>
          </cell>
        </row>
        <row r="130">
          <cell r="A130">
            <v>3188</v>
          </cell>
          <cell r="B130" t="str">
            <v>FSTPS STAGE - III (Unit #6)</v>
          </cell>
          <cell r="C130">
            <v>0</v>
          </cell>
          <cell r="D130" t="str">
            <v>ARUNACHAL PRADESH</v>
          </cell>
          <cell r="E130" t="str">
            <v>NER</v>
          </cell>
        </row>
        <row r="131">
          <cell r="A131">
            <v>3189</v>
          </cell>
          <cell r="B131" t="str">
            <v>FSTPS STAGE - III (Unit #6)</v>
          </cell>
          <cell r="C131">
            <v>0</v>
          </cell>
          <cell r="D131" t="str">
            <v>MIZORAM</v>
          </cell>
          <cell r="E131" t="str">
            <v>NER</v>
          </cell>
        </row>
        <row r="132">
          <cell r="A132">
            <v>3190</v>
          </cell>
          <cell r="B132" t="str">
            <v>KhSTPS STAGE - I</v>
          </cell>
          <cell r="C132">
            <v>41.858038000000001</v>
          </cell>
          <cell r="D132" t="str">
            <v>BIHAR #</v>
          </cell>
          <cell r="E132" t="str">
            <v>ER</v>
          </cell>
        </row>
        <row r="133">
          <cell r="A133">
            <v>3191</v>
          </cell>
          <cell r="B133" t="str">
            <v>KhSTPS STAGE - I</v>
          </cell>
          <cell r="C133">
            <v>3.2007509999999999</v>
          </cell>
          <cell r="D133" t="str">
            <v>JHARKHAND</v>
          </cell>
          <cell r="E133" t="str">
            <v>ER</v>
          </cell>
        </row>
        <row r="134">
          <cell r="A134">
            <v>3192</v>
          </cell>
          <cell r="B134" t="str">
            <v>KhSTPS STAGE - I</v>
          </cell>
          <cell r="C134">
            <v>0</v>
          </cell>
          <cell r="D134" t="str">
            <v>DVC</v>
          </cell>
          <cell r="E134" t="str">
            <v>ER</v>
          </cell>
        </row>
        <row r="135">
          <cell r="A135">
            <v>3193</v>
          </cell>
          <cell r="B135" t="str">
            <v>KhSTPS STAGE - I</v>
          </cell>
          <cell r="C135">
            <v>15.24</v>
          </cell>
          <cell r="D135" t="str">
            <v>ODISHA</v>
          </cell>
          <cell r="E135" t="str">
            <v>ER</v>
          </cell>
        </row>
        <row r="136">
          <cell r="A136">
            <v>3194</v>
          </cell>
          <cell r="B136" t="str">
            <v>KhSTPS STAGE - I</v>
          </cell>
          <cell r="C136">
            <v>8.2267999999999994E-2</v>
          </cell>
          <cell r="D136" t="str">
            <v>ODISHA (COAL POWER - DADRI)</v>
          </cell>
          <cell r="E136" t="str">
            <v>ER</v>
          </cell>
        </row>
        <row r="137">
          <cell r="A137">
            <v>3195</v>
          </cell>
          <cell r="B137" t="str">
            <v>KhSTPS STAGE - I</v>
          </cell>
          <cell r="C137">
            <v>9.8249000000000003E-2</v>
          </cell>
          <cell r="D137" t="str">
            <v>ODISHA (COAL POWER - AFTAB)</v>
          </cell>
          <cell r="E137" t="str">
            <v>ER</v>
          </cell>
        </row>
        <row r="138">
          <cell r="A138">
            <v>3196</v>
          </cell>
          <cell r="B138" t="str">
            <v>KhSTPS STAGE - I</v>
          </cell>
          <cell r="C138">
            <v>0.27573599999999998</v>
          </cell>
          <cell r="D138" t="str">
            <v>ODISHA (COAL POWER - Rajasthan)</v>
          </cell>
          <cell r="E138" t="str">
            <v>ER</v>
          </cell>
        </row>
        <row r="139">
          <cell r="A139">
            <v>3197</v>
          </cell>
          <cell r="B139" t="str">
            <v>KhSTPS STAGE - I</v>
          </cell>
          <cell r="C139">
            <v>7.8653000000000001E-2</v>
          </cell>
          <cell r="D139" t="str">
            <v>ODISHA (COAL POWER - Faridabad)</v>
          </cell>
          <cell r="E139" t="str">
            <v>ER</v>
          </cell>
        </row>
        <row r="140">
          <cell r="A140">
            <v>3198</v>
          </cell>
          <cell r="B140" t="str">
            <v>KhSTPS STAGE - I</v>
          </cell>
          <cell r="C140">
            <v>6.07</v>
          </cell>
          <cell r="D140" t="str">
            <v>WEST BENGAL</v>
          </cell>
          <cell r="E140" t="str">
            <v>ER</v>
          </cell>
        </row>
        <row r="141">
          <cell r="A141">
            <v>3199</v>
          </cell>
          <cell r="B141" t="str">
            <v>KhSTPS STAGE - I</v>
          </cell>
          <cell r="C141">
            <v>0.91911699999999996</v>
          </cell>
          <cell r="D141" t="str">
            <v>West Bengal (COAL POWER - Rajasthan)</v>
          </cell>
          <cell r="E141" t="str">
            <v>ER</v>
          </cell>
        </row>
        <row r="142">
          <cell r="A142">
            <v>3200</v>
          </cell>
          <cell r="B142" t="str">
            <v>KhSTPS STAGE - I</v>
          </cell>
          <cell r="C142">
            <v>1.55</v>
          </cell>
          <cell r="D142" t="str">
            <v>SIKKIM</v>
          </cell>
          <cell r="E142" t="str">
            <v>ER</v>
          </cell>
        </row>
        <row r="143">
          <cell r="A143">
            <v>3201</v>
          </cell>
          <cell r="B143" t="str">
            <v>KhSTPS STAGE - I</v>
          </cell>
          <cell r="C143">
            <v>0</v>
          </cell>
          <cell r="D143" t="str">
            <v>ANDHRA PRADESH</v>
          </cell>
          <cell r="E143" t="str">
            <v>SR</v>
          </cell>
        </row>
        <row r="144">
          <cell r="A144">
            <v>3202</v>
          </cell>
          <cell r="B144" t="str">
            <v>KhSTPS STAGE - I</v>
          </cell>
          <cell r="C144">
            <v>0.68215000000000003</v>
          </cell>
          <cell r="D144" t="str">
            <v>TELANGANA (NSM-II)</v>
          </cell>
          <cell r="E144" t="str">
            <v>SR</v>
          </cell>
        </row>
        <row r="145">
          <cell r="A145">
            <v>3203</v>
          </cell>
          <cell r="B145" t="str">
            <v>KhSTPS STAGE - I</v>
          </cell>
          <cell r="C145">
            <v>0</v>
          </cell>
          <cell r="D145" t="str">
            <v>KARNATAKA</v>
          </cell>
          <cell r="E145" t="str">
            <v>SR</v>
          </cell>
        </row>
        <row r="146">
          <cell r="A146">
            <v>3204</v>
          </cell>
          <cell r="B146" t="str">
            <v>KhSTPS STAGE - I</v>
          </cell>
          <cell r="C146">
            <v>0.7</v>
          </cell>
          <cell r="D146" t="str">
            <v>TAMILNADU</v>
          </cell>
          <cell r="E146" t="str">
            <v>SR</v>
          </cell>
        </row>
        <row r="147">
          <cell r="A147">
            <v>3205</v>
          </cell>
          <cell r="B147" t="str">
            <v>KhSTPS STAGE - I</v>
          </cell>
          <cell r="C147">
            <v>0</v>
          </cell>
          <cell r="D147" t="str">
            <v>KERALA</v>
          </cell>
          <cell r="E147" t="str">
            <v>SR</v>
          </cell>
        </row>
        <row r="148">
          <cell r="A148">
            <v>3206</v>
          </cell>
          <cell r="B148" t="str">
            <v>KhSTPS STAGE - I</v>
          </cell>
          <cell r="C148">
            <v>0</v>
          </cell>
          <cell r="D148" t="str">
            <v>PONDICHERRY</v>
          </cell>
          <cell r="E148" t="str">
            <v>SR</v>
          </cell>
        </row>
        <row r="149">
          <cell r="A149">
            <v>3207</v>
          </cell>
          <cell r="B149" t="str">
            <v>KhSTPS STAGE - I</v>
          </cell>
          <cell r="C149">
            <v>0</v>
          </cell>
          <cell r="D149" t="str">
            <v>CHHATTISGARH</v>
          </cell>
          <cell r="E149" t="str">
            <v>WR</v>
          </cell>
        </row>
        <row r="150">
          <cell r="A150">
            <v>3208</v>
          </cell>
          <cell r="B150" t="str">
            <v>KhSTPS STAGE - I</v>
          </cell>
          <cell r="C150">
            <v>0</v>
          </cell>
          <cell r="D150" t="str">
            <v>GUJARAT</v>
          </cell>
          <cell r="E150" t="str">
            <v>WR</v>
          </cell>
        </row>
        <row r="151">
          <cell r="A151">
            <v>3209</v>
          </cell>
          <cell r="B151" t="str">
            <v>KhSTPS STAGE - I</v>
          </cell>
          <cell r="C151">
            <v>0</v>
          </cell>
          <cell r="D151" t="str">
            <v>MADHYA PRADESH</v>
          </cell>
          <cell r="E151" t="str">
            <v>WR</v>
          </cell>
        </row>
        <row r="152">
          <cell r="A152">
            <v>3210</v>
          </cell>
          <cell r="B152" t="str">
            <v>KhSTPS STAGE - I</v>
          </cell>
          <cell r="C152">
            <v>0</v>
          </cell>
          <cell r="D152" t="str">
            <v>MAHARASTRA</v>
          </cell>
          <cell r="E152" t="str">
            <v>WR</v>
          </cell>
        </row>
        <row r="153">
          <cell r="A153">
            <v>3211</v>
          </cell>
          <cell r="B153" t="str">
            <v>KhSTPS STAGE - I</v>
          </cell>
          <cell r="C153">
            <v>0</v>
          </cell>
          <cell r="D153" t="str">
            <v>DADRA &amp; NAGAR HAVELI</v>
          </cell>
          <cell r="E153" t="str">
            <v>WR</v>
          </cell>
        </row>
        <row r="154">
          <cell r="A154">
            <v>3212</v>
          </cell>
          <cell r="B154" t="str">
            <v>KhSTPS STAGE - I</v>
          </cell>
          <cell r="C154">
            <v>0</v>
          </cell>
          <cell r="D154" t="str">
            <v>DAMAN &amp; DIU</v>
          </cell>
          <cell r="E154" t="str">
            <v>WR</v>
          </cell>
        </row>
        <row r="155">
          <cell r="A155">
            <v>3213</v>
          </cell>
          <cell r="B155" t="str">
            <v>KhSTPS STAGE - I</v>
          </cell>
          <cell r="C155">
            <v>0</v>
          </cell>
          <cell r="D155" t="str">
            <v>GOA</v>
          </cell>
          <cell r="E155" t="str">
            <v>WR</v>
          </cell>
        </row>
        <row r="156">
          <cell r="A156">
            <v>3214</v>
          </cell>
          <cell r="B156" t="str">
            <v>KhSTPS STAGE - I</v>
          </cell>
          <cell r="C156">
            <v>9.1199999999999992</v>
          </cell>
          <cell r="D156" t="str">
            <v>UTTAR PRADESH</v>
          </cell>
          <cell r="E156" t="str">
            <v>NR</v>
          </cell>
        </row>
        <row r="157">
          <cell r="A157">
            <v>3215</v>
          </cell>
          <cell r="B157" t="str">
            <v>KhSTPS STAGE - I</v>
          </cell>
          <cell r="C157">
            <v>3.04</v>
          </cell>
          <cell r="D157" t="str">
            <v>HARYANA</v>
          </cell>
          <cell r="E157" t="str">
            <v>NR</v>
          </cell>
        </row>
        <row r="158">
          <cell r="A158">
            <v>3216</v>
          </cell>
          <cell r="B158" t="str">
            <v>KhSTPS STAGE - I</v>
          </cell>
          <cell r="C158">
            <v>3.04</v>
          </cell>
          <cell r="D158" t="str">
            <v>RAJASTHAN</v>
          </cell>
          <cell r="E158" t="str">
            <v>NR</v>
          </cell>
        </row>
        <row r="159">
          <cell r="A159">
            <v>3217</v>
          </cell>
          <cell r="B159" t="str">
            <v>KhSTPS STAGE - I</v>
          </cell>
          <cell r="C159">
            <v>3.68</v>
          </cell>
          <cell r="D159" t="str">
            <v>J &amp; K</v>
          </cell>
          <cell r="E159" t="str">
            <v>NR</v>
          </cell>
        </row>
        <row r="160">
          <cell r="A160">
            <v>3218</v>
          </cell>
          <cell r="B160" t="str">
            <v>KhSTPS STAGE - I</v>
          </cell>
          <cell r="C160">
            <v>0</v>
          </cell>
          <cell r="D160" t="str">
            <v>HIMACHAL PRADESH</v>
          </cell>
          <cell r="E160" t="str">
            <v>NR</v>
          </cell>
        </row>
        <row r="161">
          <cell r="A161">
            <v>3219</v>
          </cell>
          <cell r="B161" t="str">
            <v>KhSTPS STAGE - I</v>
          </cell>
          <cell r="C161">
            <v>6.07</v>
          </cell>
          <cell r="D161" t="str">
            <v>DELHI</v>
          </cell>
          <cell r="E161" t="str">
            <v>NR</v>
          </cell>
        </row>
        <row r="162">
          <cell r="A162">
            <v>3220</v>
          </cell>
          <cell r="B162" t="str">
            <v>KhSTPS STAGE - I</v>
          </cell>
          <cell r="C162">
            <v>0</v>
          </cell>
          <cell r="D162" t="str">
            <v>PUNJAB</v>
          </cell>
          <cell r="E162" t="str">
            <v>NR</v>
          </cell>
        </row>
        <row r="163">
          <cell r="A163">
            <v>3221</v>
          </cell>
          <cell r="B163" t="str">
            <v>KhSTPS STAGE - I</v>
          </cell>
          <cell r="C163">
            <v>0</v>
          </cell>
          <cell r="D163" t="str">
            <v>UTTARAKHAND</v>
          </cell>
          <cell r="E163" t="str">
            <v>NR</v>
          </cell>
        </row>
        <row r="164">
          <cell r="A164">
            <v>3222</v>
          </cell>
          <cell r="B164" t="str">
            <v>KhSTPS STAGE - I</v>
          </cell>
          <cell r="C164">
            <v>0</v>
          </cell>
          <cell r="D164" t="str">
            <v>CHANDIGARH</v>
          </cell>
          <cell r="E164" t="str">
            <v>NR</v>
          </cell>
        </row>
        <row r="165">
          <cell r="A165">
            <v>3223</v>
          </cell>
          <cell r="B165" t="str">
            <v>KhSTPS STAGE - I</v>
          </cell>
          <cell r="C165">
            <v>2.1048469999999999</v>
          </cell>
          <cell r="D165" t="str">
            <v>ASSAM</v>
          </cell>
          <cell r="E165" t="str">
            <v>NER</v>
          </cell>
        </row>
        <row r="166">
          <cell r="A166">
            <v>3224</v>
          </cell>
          <cell r="B166" t="str">
            <v>KhSTPS STAGE - I</v>
          </cell>
          <cell r="C166">
            <v>9.1911999999999994E-2</v>
          </cell>
          <cell r="D166" t="str">
            <v>ASSAM (COAL POWER - Rajasthan)</v>
          </cell>
          <cell r="E166" t="str">
            <v>NER</v>
          </cell>
        </row>
        <row r="167">
          <cell r="A167">
            <v>3225</v>
          </cell>
          <cell r="B167" t="str">
            <v>KhSTPS STAGE - I</v>
          </cell>
          <cell r="C167">
            <v>0</v>
          </cell>
          <cell r="D167" t="str">
            <v>MEGHALAYA</v>
          </cell>
          <cell r="E167" t="str">
            <v>NER</v>
          </cell>
        </row>
        <row r="168">
          <cell r="A168">
            <v>3226</v>
          </cell>
          <cell r="B168" t="str">
            <v>KhSTPS STAGE - I</v>
          </cell>
          <cell r="C168">
            <v>0.42444599999999999</v>
          </cell>
          <cell r="D168" t="str">
            <v>NAGALAND</v>
          </cell>
          <cell r="E168" t="str">
            <v>NER</v>
          </cell>
        </row>
        <row r="169">
          <cell r="A169">
            <v>3227</v>
          </cell>
          <cell r="B169" t="str">
            <v>KhSTPS STAGE - I</v>
          </cell>
          <cell r="C169">
            <v>0.191747</v>
          </cell>
          <cell r="D169" t="str">
            <v>ARUNACHAL PRADESH</v>
          </cell>
          <cell r="E169" t="str">
            <v>NER</v>
          </cell>
        </row>
        <row r="170">
          <cell r="A170">
            <v>3228</v>
          </cell>
          <cell r="B170" t="str">
            <v>KhSTPS STAGE - I</v>
          </cell>
          <cell r="C170">
            <v>0.14161000000000001</v>
          </cell>
          <cell r="D170" t="str">
            <v>MIZORAM</v>
          </cell>
          <cell r="E170" t="str">
            <v>NER</v>
          </cell>
        </row>
        <row r="171">
          <cell r="A171">
            <v>3229</v>
          </cell>
          <cell r="B171" t="str">
            <v>KhSTPS STAGE - II</v>
          </cell>
          <cell r="C171">
            <v>4.9798650000000002</v>
          </cell>
          <cell r="D171" t="str">
            <v>BIHAR #</v>
          </cell>
          <cell r="E171" t="str">
            <v>ER</v>
          </cell>
        </row>
        <row r="172">
          <cell r="A172">
            <v>3230</v>
          </cell>
          <cell r="B172" t="str">
            <v>KhSTPS STAGE - II</v>
          </cell>
          <cell r="C172">
            <v>1.2485649999999999</v>
          </cell>
          <cell r="D172" t="str">
            <v>JHARKHAND</v>
          </cell>
          <cell r="E172" t="str">
            <v>ER</v>
          </cell>
        </row>
        <row r="173">
          <cell r="A173">
            <v>3231</v>
          </cell>
          <cell r="B173" t="str">
            <v>KhSTPS STAGE - II</v>
          </cell>
          <cell r="C173">
            <v>2.0499999999999998</v>
          </cell>
          <cell r="D173" t="str">
            <v>ODISHA</v>
          </cell>
          <cell r="E173" t="str">
            <v>ER</v>
          </cell>
        </row>
        <row r="174">
          <cell r="A174">
            <v>3232</v>
          </cell>
          <cell r="B174" t="str">
            <v>KhSTPS STAGE - II</v>
          </cell>
          <cell r="C174">
            <v>0.106629</v>
          </cell>
          <cell r="D174" t="str">
            <v>ODISHA (COAL POWER - AFTAB)</v>
          </cell>
          <cell r="E174" t="str">
            <v>ER</v>
          </cell>
        </row>
        <row r="175">
          <cell r="A175">
            <v>3233</v>
          </cell>
          <cell r="B175" t="str">
            <v>KhSTPS STAGE - II</v>
          </cell>
          <cell r="C175">
            <v>8.9285000000000003E-2</v>
          </cell>
          <cell r="D175" t="str">
            <v>ODISHA (COAL POWER - DADRI)</v>
          </cell>
          <cell r="E175" t="str">
            <v>ER</v>
          </cell>
        </row>
        <row r="176">
          <cell r="A176">
            <v>3234</v>
          </cell>
          <cell r="B176" t="str">
            <v>KhSTPS STAGE - II</v>
          </cell>
          <cell r="C176">
            <v>0.27573599999999998</v>
          </cell>
          <cell r="D176" t="str">
            <v>ODISHA (COAL POWER - Rajasthan)</v>
          </cell>
          <cell r="E176" t="str">
            <v>ER</v>
          </cell>
        </row>
        <row r="177">
          <cell r="A177">
            <v>3235</v>
          </cell>
          <cell r="B177" t="str">
            <v>KhSTPS STAGE - II</v>
          </cell>
          <cell r="C177">
            <v>9.8966999999999999E-2</v>
          </cell>
          <cell r="D177" t="str">
            <v>ODISHA (COAL POWER - Faridabad)</v>
          </cell>
          <cell r="E177" t="str">
            <v>ER</v>
          </cell>
        </row>
        <row r="178">
          <cell r="A178">
            <v>3236</v>
          </cell>
          <cell r="B178" t="str">
            <v>KhSTPS STAGE - II</v>
          </cell>
          <cell r="C178">
            <v>0</v>
          </cell>
          <cell r="D178" t="str">
            <v>WEST BENGAL</v>
          </cell>
          <cell r="E178" t="str">
            <v>ER</v>
          </cell>
        </row>
        <row r="179">
          <cell r="A179">
            <v>3237</v>
          </cell>
          <cell r="B179" t="str">
            <v>KhSTPS STAGE - II</v>
          </cell>
          <cell r="C179">
            <v>0.91911699999999996</v>
          </cell>
          <cell r="D179" t="str">
            <v>West Bengal (COAL POWER - Rajasthan)</v>
          </cell>
          <cell r="E179" t="str">
            <v>ER</v>
          </cell>
        </row>
        <row r="180">
          <cell r="A180">
            <v>3238</v>
          </cell>
          <cell r="B180" t="str">
            <v>KhSTPS STAGE - II</v>
          </cell>
          <cell r="C180">
            <v>0.33</v>
          </cell>
          <cell r="D180" t="str">
            <v>SIKKIM</v>
          </cell>
          <cell r="E180" t="str">
            <v>ER</v>
          </cell>
        </row>
        <row r="181">
          <cell r="A181">
            <v>3239</v>
          </cell>
          <cell r="B181" t="str">
            <v>KhSTPS STAGE - II</v>
          </cell>
          <cell r="C181">
            <v>0</v>
          </cell>
          <cell r="D181" t="str">
            <v>ANDHRA PRADESH</v>
          </cell>
          <cell r="E181" t="str">
            <v>SR</v>
          </cell>
        </row>
        <row r="182">
          <cell r="A182">
            <v>3240</v>
          </cell>
          <cell r="B182" t="str">
            <v>KhSTPS STAGE - II</v>
          </cell>
          <cell r="C182">
            <v>0.76311200000000001</v>
          </cell>
          <cell r="D182" t="str">
            <v>TELANGANA (NSM-II)</v>
          </cell>
          <cell r="E182" t="str">
            <v>SR</v>
          </cell>
        </row>
        <row r="183">
          <cell r="A183">
            <v>3241</v>
          </cell>
          <cell r="B183" t="str">
            <v>KhSTPS STAGE - II</v>
          </cell>
          <cell r="C183">
            <v>0</v>
          </cell>
          <cell r="D183" t="str">
            <v>KARNATAKA</v>
          </cell>
          <cell r="E183" t="str">
            <v>SR</v>
          </cell>
        </row>
        <row r="184">
          <cell r="A184">
            <v>3242</v>
          </cell>
          <cell r="B184" t="str">
            <v>KhSTPS STAGE - II</v>
          </cell>
          <cell r="C184">
            <v>0</v>
          </cell>
          <cell r="D184" t="str">
            <v>TAMILNADU</v>
          </cell>
          <cell r="E184" t="str">
            <v>SR</v>
          </cell>
        </row>
        <row r="185">
          <cell r="A185">
            <v>3243</v>
          </cell>
          <cell r="B185" t="str">
            <v>KhSTPS STAGE - II</v>
          </cell>
          <cell r="C185">
            <v>0</v>
          </cell>
          <cell r="D185" t="str">
            <v>KERALA</v>
          </cell>
          <cell r="E185" t="str">
            <v>SR</v>
          </cell>
        </row>
        <row r="186">
          <cell r="A186">
            <v>3244</v>
          </cell>
          <cell r="B186" t="str">
            <v>KhSTPS STAGE - II</v>
          </cell>
          <cell r="C186">
            <v>0</v>
          </cell>
          <cell r="D186" t="str">
            <v>PONDICHERRY</v>
          </cell>
          <cell r="E186" t="str">
            <v>SR</v>
          </cell>
        </row>
        <row r="187">
          <cell r="A187">
            <v>3245</v>
          </cell>
          <cell r="B187" t="str">
            <v>KhSTPS STAGE - II</v>
          </cell>
          <cell r="C187">
            <v>2</v>
          </cell>
          <cell r="D187" t="str">
            <v>CHHATTISGARH</v>
          </cell>
          <cell r="E187" t="str">
            <v>WR</v>
          </cell>
        </row>
        <row r="188">
          <cell r="A188">
            <v>3246</v>
          </cell>
          <cell r="B188" t="str">
            <v>KhSTPS STAGE - II</v>
          </cell>
          <cell r="C188">
            <v>9.4</v>
          </cell>
          <cell r="D188" t="str">
            <v>GUJARAT</v>
          </cell>
          <cell r="E188" t="str">
            <v>WR</v>
          </cell>
        </row>
        <row r="189">
          <cell r="A189">
            <v>3247</v>
          </cell>
          <cell r="B189" t="str">
            <v>KhSTPS STAGE - II</v>
          </cell>
          <cell r="C189">
            <v>4.93</v>
          </cell>
          <cell r="D189" t="str">
            <v>MADHYA PRADESH</v>
          </cell>
          <cell r="E189" t="str">
            <v>WR</v>
          </cell>
        </row>
        <row r="190">
          <cell r="A190">
            <v>3248</v>
          </cell>
          <cell r="B190" t="str">
            <v>KhSTPS STAGE - II</v>
          </cell>
          <cell r="C190">
            <v>9.8699999999999992</v>
          </cell>
          <cell r="D190" t="str">
            <v>MAHARASTRA</v>
          </cell>
          <cell r="E190" t="str">
            <v>WR</v>
          </cell>
        </row>
        <row r="191">
          <cell r="A191">
            <v>3249</v>
          </cell>
          <cell r="B191" t="str">
            <v>KhSTPS STAGE - II</v>
          </cell>
          <cell r="C191">
            <v>0.2</v>
          </cell>
          <cell r="D191" t="str">
            <v>DADRA &amp; NAGAR HAVELI</v>
          </cell>
          <cell r="E191" t="str">
            <v>WR</v>
          </cell>
        </row>
        <row r="192">
          <cell r="A192">
            <v>3250</v>
          </cell>
          <cell r="B192" t="str">
            <v>KhSTPS STAGE - II</v>
          </cell>
          <cell r="C192">
            <v>0.13</v>
          </cell>
          <cell r="D192" t="str">
            <v>DAMAN &amp; DIU</v>
          </cell>
          <cell r="E192" t="str">
            <v>WR</v>
          </cell>
        </row>
        <row r="193">
          <cell r="A193">
            <v>3251</v>
          </cell>
          <cell r="B193" t="str">
            <v>KhSTPS STAGE - II</v>
          </cell>
          <cell r="C193">
            <v>0</v>
          </cell>
          <cell r="D193" t="str">
            <v>GOA</v>
          </cell>
          <cell r="E193" t="str">
            <v>WR</v>
          </cell>
        </row>
        <row r="194">
          <cell r="A194">
            <v>3252</v>
          </cell>
          <cell r="B194" t="str">
            <v>KhSTPS STAGE - II</v>
          </cell>
          <cell r="C194">
            <v>16.73</v>
          </cell>
          <cell r="D194" t="str">
            <v>UTTAR PRADESH</v>
          </cell>
          <cell r="E194" t="str">
            <v>NR</v>
          </cell>
        </row>
        <row r="195">
          <cell r="A195">
            <v>3253</v>
          </cell>
          <cell r="B195" t="str">
            <v>KhSTPS STAGE - II</v>
          </cell>
          <cell r="C195">
            <v>4.58</v>
          </cell>
          <cell r="D195" t="str">
            <v>HARYANA</v>
          </cell>
          <cell r="E195" t="str">
            <v>NR</v>
          </cell>
        </row>
        <row r="196">
          <cell r="A196">
            <v>3254</v>
          </cell>
          <cell r="B196" t="str">
            <v>KhSTPS STAGE - II</v>
          </cell>
          <cell r="C196">
            <v>7.11</v>
          </cell>
          <cell r="D196" t="str">
            <v>RAJASTHAN</v>
          </cell>
          <cell r="E196" t="str">
            <v>NR</v>
          </cell>
        </row>
        <row r="197">
          <cell r="A197">
            <v>3255</v>
          </cell>
          <cell r="B197" t="str">
            <v>KhSTPS STAGE - II</v>
          </cell>
          <cell r="C197">
            <v>5.56</v>
          </cell>
          <cell r="D197" t="str">
            <v>J &amp; K</v>
          </cell>
          <cell r="E197" t="str">
            <v>NR</v>
          </cell>
        </row>
        <row r="198">
          <cell r="A198">
            <v>3256</v>
          </cell>
          <cell r="B198" t="str">
            <v>KhSTPS STAGE - II</v>
          </cell>
          <cell r="C198">
            <v>1.53</v>
          </cell>
          <cell r="D198" t="str">
            <v>HIMACHAL PRADESH</v>
          </cell>
          <cell r="E198" t="str">
            <v>NR</v>
          </cell>
        </row>
        <row r="199">
          <cell r="A199">
            <v>3257</v>
          </cell>
          <cell r="B199" t="str">
            <v>KhSTPS STAGE - II</v>
          </cell>
          <cell r="C199">
            <v>10.49</v>
          </cell>
          <cell r="D199" t="str">
            <v>DELHI</v>
          </cell>
          <cell r="E199" t="str">
            <v>NR</v>
          </cell>
        </row>
        <row r="200">
          <cell r="A200">
            <v>3258</v>
          </cell>
          <cell r="B200" t="str">
            <v>KhSTPS STAGE - II</v>
          </cell>
          <cell r="C200">
            <v>8.02</v>
          </cell>
          <cell r="D200" t="str">
            <v>PUNJAB</v>
          </cell>
          <cell r="E200" t="str">
            <v>NR</v>
          </cell>
        </row>
        <row r="201">
          <cell r="A201">
            <v>3259</v>
          </cell>
          <cell r="B201" t="str">
            <v>KhSTPS STAGE - II</v>
          </cell>
          <cell r="C201">
            <v>1.87</v>
          </cell>
          <cell r="D201" t="str">
            <v>UTTARAKHAND</v>
          </cell>
          <cell r="E201" t="str">
            <v>NR</v>
          </cell>
        </row>
        <row r="202">
          <cell r="A202">
            <v>3260</v>
          </cell>
          <cell r="B202" t="str">
            <v>KhSTPS STAGE - II</v>
          </cell>
          <cell r="C202">
            <v>0.2</v>
          </cell>
          <cell r="D202" t="str">
            <v>CHANDIGARH</v>
          </cell>
          <cell r="E202" t="str">
            <v>NR</v>
          </cell>
        </row>
        <row r="203">
          <cell r="A203">
            <v>3261</v>
          </cell>
          <cell r="B203" t="str">
            <v>KhSTPS STAGE - II</v>
          </cell>
          <cell r="C203">
            <v>5.0934790000000003</v>
          </cell>
          <cell r="D203" t="str">
            <v>ASSAM</v>
          </cell>
          <cell r="E203" t="str">
            <v>NER</v>
          </cell>
        </row>
        <row r="204">
          <cell r="A204">
            <v>3262</v>
          </cell>
          <cell r="B204" t="str">
            <v>KhSTPS STAGE - II</v>
          </cell>
          <cell r="C204">
            <v>9.1911999999999994E-2</v>
          </cell>
          <cell r="D204" t="str">
            <v>ASSAM (COAL POWER - Rajasthan)</v>
          </cell>
          <cell r="E204" t="str">
            <v>NER</v>
          </cell>
        </row>
        <row r="205">
          <cell r="A205">
            <v>3263</v>
          </cell>
          <cell r="B205" t="str">
            <v>KhSTPS STAGE - II</v>
          </cell>
          <cell r="C205">
            <v>0</v>
          </cell>
          <cell r="D205" t="str">
            <v>MEGHALAYA</v>
          </cell>
          <cell r="E205" t="str">
            <v>NER</v>
          </cell>
        </row>
        <row r="206">
          <cell r="A206">
            <v>3264</v>
          </cell>
          <cell r="B206" t="str">
            <v>KhSTPS STAGE - II</v>
          </cell>
          <cell r="C206">
            <v>0</v>
          </cell>
          <cell r="D206" t="str">
            <v>NAGALAND</v>
          </cell>
          <cell r="E206" t="str">
            <v>NER</v>
          </cell>
        </row>
        <row r="207">
          <cell r="A207">
            <v>3265</v>
          </cell>
          <cell r="B207" t="str">
            <v>KhSTPS STAGE - II</v>
          </cell>
          <cell r="C207">
            <v>0</v>
          </cell>
          <cell r="D207" t="str">
            <v>ARUNACHAL PRADESH</v>
          </cell>
          <cell r="E207" t="str">
            <v>NER</v>
          </cell>
        </row>
        <row r="208">
          <cell r="A208">
            <v>3266</v>
          </cell>
          <cell r="B208" t="str">
            <v>KhSTPS STAGE - II</v>
          </cell>
          <cell r="C208">
            <v>0</v>
          </cell>
          <cell r="D208" t="str">
            <v>MIZORAM</v>
          </cell>
          <cell r="E208" t="str">
            <v>NER</v>
          </cell>
        </row>
        <row r="209">
          <cell r="A209">
            <v>3317</v>
          </cell>
          <cell r="B209" t="str">
            <v>MTPS STAGE-II</v>
          </cell>
          <cell r="C209">
            <v>74.971999999999994</v>
          </cell>
          <cell r="D209" t="str">
            <v>BIHAR #</v>
          </cell>
          <cell r="E209" t="str">
            <v>ER</v>
          </cell>
        </row>
        <row r="210">
          <cell r="A210">
            <v>3318</v>
          </cell>
          <cell r="B210" t="str">
            <v>MTPS STAGE-II</v>
          </cell>
          <cell r="C210">
            <v>3.4329999999999998</v>
          </cell>
          <cell r="D210" t="str">
            <v>JHARKHAND</v>
          </cell>
          <cell r="E210" t="str">
            <v>ER</v>
          </cell>
        </row>
        <row r="211">
          <cell r="A211">
            <v>3319</v>
          </cell>
          <cell r="B211" t="str">
            <v>MTPS STAGE-II</v>
          </cell>
          <cell r="C211">
            <v>2.6</v>
          </cell>
          <cell r="D211" t="str">
            <v>DVC</v>
          </cell>
          <cell r="E211" t="str">
            <v>ER</v>
          </cell>
        </row>
        <row r="212">
          <cell r="A212">
            <v>3320</v>
          </cell>
          <cell r="B212" t="str">
            <v>MTPS STAGE-II</v>
          </cell>
          <cell r="C212">
            <v>8.5269999999999992</v>
          </cell>
          <cell r="D212" t="str">
            <v>ODISHA</v>
          </cell>
          <cell r="E212" t="str">
            <v>ER</v>
          </cell>
        </row>
        <row r="213">
          <cell r="A213">
            <v>3321</v>
          </cell>
          <cell r="B213" t="str">
            <v>MTPS STAGE-II</v>
          </cell>
          <cell r="C213">
            <v>9.6349999999999998</v>
          </cell>
          <cell r="D213" t="str">
            <v>WEST BENGAL</v>
          </cell>
          <cell r="E213" t="str">
            <v>ER</v>
          </cell>
        </row>
        <row r="214">
          <cell r="A214">
            <v>3322</v>
          </cell>
          <cell r="B214" t="str">
            <v>MTPS STAGE-II</v>
          </cell>
          <cell r="C214">
            <v>0.55400000000000005</v>
          </cell>
          <cell r="D214" t="str">
            <v>SIKKIM</v>
          </cell>
          <cell r="E214" t="str">
            <v>ER</v>
          </cell>
        </row>
        <row r="215">
          <cell r="A215">
            <v>3323</v>
          </cell>
          <cell r="B215" t="str">
            <v>MTPS STAGE-II</v>
          </cell>
          <cell r="C215">
            <v>0.27900000000000003</v>
          </cell>
          <cell r="D215" t="str">
            <v>TELANGANA (NSM-II)</v>
          </cell>
          <cell r="E215" t="str">
            <v>SR</v>
          </cell>
        </row>
        <row r="216">
          <cell r="A216">
            <v>3312</v>
          </cell>
          <cell r="B216" t="str">
            <v>NABINAGAR-BRBCL</v>
          </cell>
          <cell r="C216">
            <v>15.698</v>
          </cell>
          <cell r="D216" t="str">
            <v>DVC</v>
          </cell>
          <cell r="E216" t="str">
            <v>ER</v>
          </cell>
        </row>
        <row r="217">
          <cell r="A217">
            <v>3313</v>
          </cell>
          <cell r="B217" t="str">
            <v>NABINAGAR-BRBCL</v>
          </cell>
          <cell r="C217">
            <v>10.465</v>
          </cell>
          <cell r="D217" t="str">
            <v>BIHAR</v>
          </cell>
          <cell r="E217" t="str">
            <v>ER</v>
          </cell>
        </row>
        <row r="218">
          <cell r="A218">
            <v>3314</v>
          </cell>
          <cell r="B218" t="str">
            <v>NABINAGAR-BRBCL</v>
          </cell>
          <cell r="C218">
            <v>10.465</v>
          </cell>
          <cell r="D218" t="str">
            <v>MADHYA PRADESH</v>
          </cell>
          <cell r="E218" t="str">
            <v>WR</v>
          </cell>
        </row>
        <row r="219">
          <cell r="A219">
            <v>3315</v>
          </cell>
          <cell r="B219" t="str">
            <v>NABINAGAR-BRBCL</v>
          </cell>
          <cell r="C219">
            <v>25.116</v>
          </cell>
          <cell r="D219" t="str">
            <v>MAHARASTRA</v>
          </cell>
          <cell r="E219" t="str">
            <v>WR</v>
          </cell>
        </row>
        <row r="220">
          <cell r="A220">
            <v>3316</v>
          </cell>
          <cell r="B220" t="str">
            <v>NABINAGAR-BRBCL</v>
          </cell>
          <cell r="C220">
            <v>20.93</v>
          </cell>
          <cell r="D220" t="str">
            <v>UTTAR PRADESH</v>
          </cell>
          <cell r="E220" t="str">
            <v>NR</v>
          </cell>
        </row>
        <row r="221">
          <cell r="A221">
            <v>3267</v>
          </cell>
          <cell r="B221" t="str">
            <v>TSTPS STAGE - I</v>
          </cell>
          <cell r="C221">
            <v>41.245379</v>
          </cell>
          <cell r="D221" t="str">
            <v>BIHAR #</v>
          </cell>
          <cell r="E221" t="str">
            <v>ER</v>
          </cell>
        </row>
        <row r="222">
          <cell r="A222">
            <v>3268</v>
          </cell>
          <cell r="B222" t="str">
            <v>TSTPS STAGE - I</v>
          </cell>
          <cell r="C222">
            <v>7.6676640000000003</v>
          </cell>
          <cell r="D222" t="str">
            <v>JHARKHAND</v>
          </cell>
          <cell r="E222" t="str">
            <v>ER</v>
          </cell>
        </row>
        <row r="223">
          <cell r="A223">
            <v>3269</v>
          </cell>
          <cell r="B223" t="str">
            <v>TSTPS STAGE - I</v>
          </cell>
          <cell r="C223">
            <v>0.2</v>
          </cell>
          <cell r="D223" t="str">
            <v>DVC</v>
          </cell>
          <cell r="E223" t="str">
            <v>ER</v>
          </cell>
        </row>
        <row r="224">
          <cell r="A224">
            <v>3270</v>
          </cell>
          <cell r="B224" t="str">
            <v>TSTPS STAGE - I</v>
          </cell>
          <cell r="C224">
            <v>31.8</v>
          </cell>
          <cell r="D224" t="str">
            <v>ODISHA</v>
          </cell>
          <cell r="E224" t="str">
            <v>ER</v>
          </cell>
        </row>
        <row r="225">
          <cell r="A225">
            <v>3271</v>
          </cell>
          <cell r="B225" t="str">
            <v>TSTPS STAGE - I</v>
          </cell>
          <cell r="C225">
            <v>9.9048999999999998E-2</v>
          </cell>
          <cell r="D225" t="str">
            <v>ODISHA (COAL POWER - AFTAB)</v>
          </cell>
          <cell r="E225" t="str">
            <v>ER</v>
          </cell>
        </row>
        <row r="226">
          <cell r="A226">
            <v>3272</v>
          </cell>
          <cell r="B226" t="str">
            <v>TSTPS STAGE - I</v>
          </cell>
          <cell r="C226">
            <v>8.2936999999999997E-2</v>
          </cell>
          <cell r="D226" t="str">
            <v>ODISHA (COAL POWER - DADRI)</v>
          </cell>
          <cell r="E226" t="str">
            <v>ER</v>
          </cell>
        </row>
        <row r="227">
          <cell r="A227">
            <v>3273</v>
          </cell>
          <cell r="B227" t="str">
            <v>TSTPS STAGE - I</v>
          </cell>
          <cell r="C227">
            <v>0.27573599999999998</v>
          </cell>
          <cell r="D227" t="str">
            <v>ODISHA (COAL POWER - Rajasthan)</v>
          </cell>
          <cell r="E227" t="str">
            <v>ER</v>
          </cell>
        </row>
        <row r="228">
          <cell r="A228">
            <v>3274</v>
          </cell>
          <cell r="B228" t="str">
            <v>TSTPS STAGE - I</v>
          </cell>
          <cell r="C228">
            <v>8.6459999999999995E-2</v>
          </cell>
          <cell r="D228" t="str">
            <v>ODISHA (COAL POWER - Faridabad)</v>
          </cell>
          <cell r="E228" t="str">
            <v>ER</v>
          </cell>
        </row>
        <row r="229">
          <cell r="A229">
            <v>3275</v>
          </cell>
          <cell r="B229" t="str">
            <v>TSTPS STAGE - I</v>
          </cell>
          <cell r="C229">
            <v>9.2100000000000009</v>
          </cell>
          <cell r="D229" t="str">
            <v>WEST BENGAL</v>
          </cell>
          <cell r="E229" t="str">
            <v>ER</v>
          </cell>
        </row>
        <row r="230">
          <cell r="A230">
            <v>3276</v>
          </cell>
          <cell r="B230" t="str">
            <v>TSTPS STAGE - I</v>
          </cell>
          <cell r="C230">
            <v>0.91911699999999996</v>
          </cell>
          <cell r="D230" t="str">
            <v>West Bengal (COAL POWER - Rajasthan)</v>
          </cell>
          <cell r="E230" t="str">
            <v>ER</v>
          </cell>
        </row>
        <row r="231">
          <cell r="A231">
            <v>3277</v>
          </cell>
          <cell r="B231" t="str">
            <v>TSTPS STAGE - I</v>
          </cell>
          <cell r="C231">
            <v>2.4</v>
          </cell>
          <cell r="D231" t="str">
            <v>SIKKIM</v>
          </cell>
          <cell r="E231" t="str">
            <v>ER</v>
          </cell>
        </row>
        <row r="232">
          <cell r="A232">
            <v>3278</v>
          </cell>
          <cell r="B232" t="str">
            <v>TSTPS STAGE - I</v>
          </cell>
          <cell r="C232">
            <v>0</v>
          </cell>
          <cell r="D232" t="str">
            <v>ANDHRA PRADESH</v>
          </cell>
          <cell r="E232" t="str">
            <v>SR</v>
          </cell>
        </row>
        <row r="233">
          <cell r="A233">
            <v>3279</v>
          </cell>
          <cell r="B233" t="str">
            <v>TSTPS STAGE - I</v>
          </cell>
          <cell r="C233">
            <v>0.71287</v>
          </cell>
          <cell r="D233" t="str">
            <v>TELANGANA (NSM-II)</v>
          </cell>
          <cell r="E233" t="str">
            <v>SR</v>
          </cell>
        </row>
        <row r="234">
          <cell r="A234">
            <v>3280</v>
          </cell>
          <cell r="B234" t="str">
            <v>TSTPS STAGE - I</v>
          </cell>
          <cell r="C234">
            <v>0</v>
          </cell>
          <cell r="D234" t="str">
            <v>KARNATAKA</v>
          </cell>
          <cell r="E234" t="str">
            <v>SR</v>
          </cell>
        </row>
        <row r="235">
          <cell r="A235">
            <v>3281</v>
          </cell>
          <cell r="B235" t="str">
            <v>TSTPS STAGE - I</v>
          </cell>
          <cell r="C235">
            <v>0.85</v>
          </cell>
          <cell r="D235" t="str">
            <v>TAMILNADU</v>
          </cell>
          <cell r="E235" t="str">
            <v>SR</v>
          </cell>
        </row>
        <row r="236">
          <cell r="A236">
            <v>3282</v>
          </cell>
          <cell r="B236" t="str">
            <v>TSTPS STAGE - I</v>
          </cell>
          <cell r="C236">
            <v>0</v>
          </cell>
          <cell r="D236" t="str">
            <v>KERALA</v>
          </cell>
          <cell r="E236" t="str">
            <v>SR</v>
          </cell>
        </row>
        <row r="237">
          <cell r="A237">
            <v>3283</v>
          </cell>
          <cell r="B237" t="str">
            <v>TSTPS STAGE - I</v>
          </cell>
          <cell r="C237">
            <v>0</v>
          </cell>
          <cell r="D237" t="str">
            <v>PONDICHERRY</v>
          </cell>
          <cell r="E237" t="str">
            <v>SR</v>
          </cell>
        </row>
        <row r="238">
          <cell r="A238">
            <v>3284</v>
          </cell>
          <cell r="B238" t="str">
            <v>TSTPS STAGE - I</v>
          </cell>
          <cell r="C238">
            <v>0</v>
          </cell>
          <cell r="D238" t="str">
            <v>CHHATTISGARH</v>
          </cell>
          <cell r="E238" t="str">
            <v>WR</v>
          </cell>
        </row>
        <row r="239">
          <cell r="A239">
            <v>3285</v>
          </cell>
          <cell r="B239" t="str">
            <v>TSTPS STAGE - I</v>
          </cell>
          <cell r="C239">
            <v>0</v>
          </cell>
          <cell r="D239" t="str">
            <v>GUJARAT</v>
          </cell>
          <cell r="E239" t="str">
            <v>WR</v>
          </cell>
        </row>
        <row r="240">
          <cell r="A240">
            <v>3286</v>
          </cell>
          <cell r="B240" t="str">
            <v>TSTPS STAGE - I</v>
          </cell>
          <cell r="C240">
            <v>0</v>
          </cell>
          <cell r="D240" t="str">
            <v>MADHYA PRADESH</v>
          </cell>
          <cell r="E240" t="str">
            <v>WR</v>
          </cell>
        </row>
        <row r="241">
          <cell r="A241">
            <v>3287</v>
          </cell>
          <cell r="B241" t="str">
            <v>TSTPS STAGE - I</v>
          </cell>
          <cell r="C241">
            <v>0</v>
          </cell>
          <cell r="D241" t="str">
            <v>MAHARASTRA</v>
          </cell>
          <cell r="E241" t="str">
            <v>WR</v>
          </cell>
        </row>
        <row r="242">
          <cell r="A242">
            <v>3288</v>
          </cell>
          <cell r="B242" t="str">
            <v>TSTPS STAGE - I</v>
          </cell>
          <cell r="C242">
            <v>0</v>
          </cell>
          <cell r="D242" t="str">
            <v>DADRA &amp; NAGAR HAVELI</v>
          </cell>
          <cell r="E242" t="str">
            <v>WR</v>
          </cell>
        </row>
        <row r="243">
          <cell r="A243">
            <v>3289</v>
          </cell>
          <cell r="B243" t="str">
            <v>TSTPS STAGE - I</v>
          </cell>
          <cell r="C243">
            <v>0</v>
          </cell>
          <cell r="D243" t="str">
            <v>DAMAN &amp; DIU</v>
          </cell>
          <cell r="E243" t="str">
            <v>WR</v>
          </cell>
        </row>
        <row r="244">
          <cell r="A244">
            <v>3290</v>
          </cell>
          <cell r="B244" t="str">
            <v>TSTPS STAGE - I</v>
          </cell>
          <cell r="C244">
            <v>0</v>
          </cell>
          <cell r="D244" t="str">
            <v>GOA</v>
          </cell>
          <cell r="E244" t="str">
            <v>WR</v>
          </cell>
        </row>
        <row r="245">
          <cell r="A245">
            <v>3291</v>
          </cell>
          <cell r="B245" t="str">
            <v>TSTPS STAGE - I</v>
          </cell>
          <cell r="C245">
            <v>0</v>
          </cell>
          <cell r="D245" t="str">
            <v>UTTAR PRADESH</v>
          </cell>
          <cell r="E245" t="str">
            <v>NR</v>
          </cell>
        </row>
        <row r="246">
          <cell r="A246">
            <v>3292</v>
          </cell>
          <cell r="B246" t="str">
            <v>TSTPS STAGE - I</v>
          </cell>
          <cell r="C246">
            <v>0</v>
          </cell>
          <cell r="D246" t="str">
            <v>HARYANA</v>
          </cell>
          <cell r="E246" t="str">
            <v>NR</v>
          </cell>
        </row>
        <row r="247">
          <cell r="A247">
            <v>3293</v>
          </cell>
          <cell r="B247" t="str">
            <v>TSTPS STAGE - I</v>
          </cell>
          <cell r="C247">
            <v>0</v>
          </cell>
          <cell r="D247" t="str">
            <v>RAJASTHAN</v>
          </cell>
          <cell r="E247" t="str">
            <v>NR</v>
          </cell>
        </row>
        <row r="248">
          <cell r="A248">
            <v>3294</v>
          </cell>
          <cell r="B248" t="str">
            <v>TSTPS STAGE - I</v>
          </cell>
          <cell r="C248">
            <v>0</v>
          </cell>
          <cell r="D248" t="str">
            <v>J &amp; K</v>
          </cell>
          <cell r="E248" t="str">
            <v>NR</v>
          </cell>
        </row>
        <row r="249">
          <cell r="A249">
            <v>3295</v>
          </cell>
          <cell r="B249" t="str">
            <v>TSTPS STAGE - I</v>
          </cell>
          <cell r="C249">
            <v>0</v>
          </cell>
          <cell r="D249" t="str">
            <v>HIMACHAL PRADESH</v>
          </cell>
          <cell r="E249" t="str">
            <v>NR</v>
          </cell>
        </row>
        <row r="250">
          <cell r="A250">
            <v>3296</v>
          </cell>
          <cell r="B250" t="str">
            <v>TSTPS STAGE - I</v>
          </cell>
          <cell r="C250">
            <v>0</v>
          </cell>
          <cell r="D250" t="str">
            <v>DELHI</v>
          </cell>
          <cell r="E250" t="str">
            <v>NR</v>
          </cell>
        </row>
        <row r="251">
          <cell r="A251">
            <v>3297</v>
          </cell>
          <cell r="B251" t="str">
            <v>TSTPS STAGE - I</v>
          </cell>
          <cell r="C251">
            <v>0</v>
          </cell>
          <cell r="D251" t="str">
            <v>PUNJAB</v>
          </cell>
          <cell r="E251" t="str">
            <v>NR</v>
          </cell>
        </row>
        <row r="252">
          <cell r="A252">
            <v>3298</v>
          </cell>
          <cell r="B252" t="str">
            <v>TSTPS STAGE - I</v>
          </cell>
          <cell r="C252">
            <v>0</v>
          </cell>
          <cell r="D252" t="str">
            <v>UTTARAKHAND</v>
          </cell>
          <cell r="E252" t="str">
            <v>NR</v>
          </cell>
        </row>
        <row r="253">
          <cell r="A253">
            <v>3299</v>
          </cell>
          <cell r="B253" t="str">
            <v>TSTPS STAGE - I</v>
          </cell>
          <cell r="C253">
            <v>0</v>
          </cell>
          <cell r="D253" t="str">
            <v>CHANDIGARH</v>
          </cell>
          <cell r="E253" t="str">
            <v>NR</v>
          </cell>
        </row>
        <row r="254">
          <cell r="A254">
            <v>3300</v>
          </cell>
          <cell r="B254" t="str">
            <v>TSTPS STAGE - I</v>
          </cell>
          <cell r="C254">
            <v>2.0954190000000001</v>
          </cell>
          <cell r="D254" t="str">
            <v>ASSAM</v>
          </cell>
          <cell r="E254" t="str">
            <v>NER</v>
          </cell>
        </row>
        <row r="255">
          <cell r="A255">
            <v>3301</v>
          </cell>
          <cell r="B255" t="str">
            <v>TSTPS STAGE - I</v>
          </cell>
          <cell r="C255">
            <v>9.1911999999999994E-2</v>
          </cell>
          <cell r="D255" t="str">
            <v>ASSAM (COAL POWER - Rajasthan)</v>
          </cell>
          <cell r="E255" t="str">
            <v>NER</v>
          </cell>
        </row>
        <row r="256">
          <cell r="A256">
            <v>3302</v>
          </cell>
          <cell r="B256" t="str">
            <v>TSTPS STAGE - I</v>
          </cell>
          <cell r="C256">
            <v>0</v>
          </cell>
          <cell r="D256" t="str">
            <v>MEGHALAYA</v>
          </cell>
          <cell r="E256" t="str">
            <v>NER</v>
          </cell>
        </row>
        <row r="257">
          <cell r="A257">
            <v>3303</v>
          </cell>
          <cell r="B257" t="str">
            <v>TSTPS STAGE - I</v>
          </cell>
          <cell r="C257">
            <v>0.42482300000000001</v>
          </cell>
          <cell r="D257" t="str">
            <v>NAGALAND</v>
          </cell>
          <cell r="E257" t="str">
            <v>NER</v>
          </cell>
        </row>
        <row r="258">
          <cell r="A258">
            <v>3304</v>
          </cell>
          <cell r="B258" t="str">
            <v>TSTPS STAGE - I</v>
          </cell>
          <cell r="C258">
            <v>0.19689799999999999</v>
          </cell>
          <cell r="D258" t="str">
            <v>ARUNACHAL PRADESH</v>
          </cell>
          <cell r="E258" t="str">
            <v>NER</v>
          </cell>
        </row>
        <row r="259">
          <cell r="A259">
            <v>3305</v>
          </cell>
          <cell r="B259" t="str">
            <v>TSTPS STAGE - I</v>
          </cell>
          <cell r="C259">
            <v>0.141736</v>
          </cell>
          <cell r="D259" t="str">
            <v>MIZORAM</v>
          </cell>
          <cell r="E259" t="str">
            <v>NER</v>
          </cell>
        </row>
        <row r="260">
          <cell r="A260">
            <v>3306</v>
          </cell>
          <cell r="B260" t="str">
            <v>TSTPS STAGE - I</v>
          </cell>
          <cell r="C260">
            <v>90.736309000000006</v>
          </cell>
          <cell r="D260" t="str">
            <v>NVVN POWER - A/C BPDB</v>
          </cell>
          <cell r="E260" t="str">
            <v>ER</v>
          </cell>
        </row>
      </sheetData>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input"/>
      <sheetName val="Daily report"/>
      <sheetName val="OCM2"/>
      <sheetName val="OCM4"/>
      <sheetName val="OCM1"/>
      <sheetName val="OCM3"/>
      <sheetName val="OCM5"/>
      <sheetName val="OCM7"/>
      <sheetName val="INDEX"/>
      <sheetName val="OCM6"/>
      <sheetName val="highlight"/>
      <sheetName val="water"/>
      <sheetName val="AWARD"/>
      <sheetName val="CE"/>
      <sheetName val="hrawd"/>
      <sheetName val="Assumptions"/>
      <sheetName val="A 3.7"/>
      <sheetName val="water_bal"/>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input"/>
      <sheetName val="Daily report"/>
      <sheetName val="OCM2"/>
      <sheetName val="OCM4"/>
      <sheetName val="OCM1"/>
      <sheetName val="OCM3"/>
      <sheetName val="OCM5"/>
      <sheetName val="OCM7"/>
      <sheetName val="INDEX"/>
      <sheetName val="OCM6"/>
      <sheetName val="highlight"/>
      <sheetName val="water"/>
      <sheetName val="AWARD"/>
      <sheetName val="CE"/>
      <sheetName val="hrawd"/>
      <sheetName val="04REL"/>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0">
    <queryTableFields count="9">
      <queryTableField id="1" name="EnergyConvTech" tableColumnId="10"/>
      <queryTableField id="2" name="ModelGeography" tableColumnId="11"/>
      <queryTableField id="3" name="SubGeography1" tableColumnId="12"/>
      <queryTableField id="4" name="InstYear" tableColumnId="13"/>
      <queryTableField id="5" name="Year" tableColumnId="14"/>
      <queryTableField id="6" name="ConvEff" tableColumnId="15"/>
      <queryTableField id="7" name="FixedCost" tableColumnId="16"/>
      <queryTableField id="8" name="VarCost" tableColumnId="17"/>
      <queryTableField id="9" name="MaxAnnualUF" tableColumnId="18"/>
    </queryTableFields>
  </queryTableRefresh>
</queryTable>
</file>

<file path=xl/queryTables/queryTable2.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0">
    <queryTableFields count="9">
      <queryTableField id="1" name="EnergyConvTech" tableColumnId="1"/>
      <queryTableField id="2" name="ModelGeography" tableColumnId="2"/>
      <queryTableField id="3" name="SubGeography1" tableColumnId="3"/>
      <queryTableField id="4" name="InstYear" tableColumnId="4"/>
      <queryTableField id="5" name="Year" tableColumnId="5"/>
      <queryTableField id="6" name="ConvEff" tableColumnId="6"/>
      <queryTableField id="7" name="FixedCost" tableColumnId="7"/>
      <queryTableField id="8" name="VarCost" tableColumnId="8"/>
      <queryTableField id="9" name="MaxAnnualUF" tableColumnId="9"/>
    </queryTableFields>
  </queryTableRefresh>
</queryTable>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6" name="EC_Info_Granularity" displayName="EC_Info_Granularity" ref="A1:C13" totalsRowShown="0" headerRowDxfId="129">
  <autoFilter ref="A1:C13"/>
  <sortState ref="A2:C13">
    <sortCondition ref="B1:B13"/>
  </sortState>
  <tableColumns count="3">
    <tableColumn id="1" name="EnergyCarrier"/>
    <tableColumn id="2" name="GeographicGranularity"/>
    <tableColumn id="3" name="TimeGranularity"/>
  </tableColumns>
  <tableStyleInfo name="TableStyleMedium2" showFirstColumn="0" showLastColumn="0" showRowStripes="1" showColumnStripes="0"/>
</table>
</file>

<file path=xl/tables/table2.xml><?xml version="1.0" encoding="utf-8"?>
<table xmlns="http://schemas.openxmlformats.org/spreadsheetml/2006/main" id="11" name="SG1_map" displayName="SG1_map" ref="E1:F6" totalsRowShown="0" headerRowDxfId="128" headerRowBorderDxfId="127" tableBorderDxfId="126">
  <autoFilter ref="E1:F6"/>
  <tableColumns count="2">
    <tableColumn id="1" name="GeographicGranularity" dataDxfId="125"/>
    <tableColumn id="2" name="SubGeography1"/>
  </tableColumns>
  <tableStyleInfo name="TableStyleMedium2" showFirstColumn="0" showLastColumn="0" showRowStripes="1" showColumnStripes="0"/>
</table>
</file>

<file path=xl/tables/table3.xml><?xml version="1.0" encoding="utf-8"?>
<table xmlns="http://schemas.openxmlformats.org/spreadsheetml/2006/main" id="10" name="ModelYears" displayName="ModelYears" ref="J1:J12" totalsRowShown="0">
  <autoFilter ref="J1:J12"/>
  <tableColumns count="1">
    <tableColumn id="1" name="ModelYears"/>
  </tableColumns>
  <tableStyleInfo name="TableStyleMedium2" showFirstColumn="0" showLastColumn="0" showRowStripes="1" showColumnStripes="0"/>
</table>
</file>

<file path=xl/tables/table4.xml><?xml version="1.0" encoding="utf-8"?>
<table xmlns="http://schemas.openxmlformats.org/spreadsheetml/2006/main" id="9" name="Regions" displayName="Regions" ref="H1:H6" totalsRowShown="0">
  <autoFilter ref="H1:H6"/>
  <tableColumns count="1">
    <tableColumn id="1" name="SubGeography1"/>
  </tableColumns>
  <tableStyleInfo name="TableStyleMedium2" showFirstColumn="0" showLastColumn="0" showRowStripes="1" showColumnStripes="0"/>
</table>
</file>

<file path=xl/tables/table5.xml><?xml version="1.0" encoding="utf-8"?>
<table xmlns="http://schemas.openxmlformats.org/spreadsheetml/2006/main" id="12" name="ECT_EfficiencyCost_RF" displayName="ECT_EfficiencyCost_RF" ref="A2:H387" totalsRowShown="0">
  <autoFilter ref="A2:H387"/>
  <tableColumns count="8">
    <tableColumn id="1" name="EnergyConvTech"/>
    <tableColumn id="2" name="ModelGeography"/>
    <tableColumn id="3" name="SubGeography1"/>
    <tableColumn id="6" name="InstYear" dataDxfId="124"/>
    <tableColumn id="7" name="Year" dataDxfId="123"/>
    <tableColumn id="8" name="ConvEff" dataDxfId="122">
      <calculatedColumnFormula>$N$12</calculatedColumnFormula>
    </tableColumn>
    <tableColumn id="9" name="FixedCost" dataDxfId="121">
      <calculatedColumnFormula>RF_Capex_Opex!$D$16</calculatedColumnFormula>
    </tableColumn>
    <tableColumn id="10" name="VarCost" dataDxfId="120">
      <calculatedColumnFormula>INDEX($O$10:$S$10,1,MATCH(ECT_EfficiencyCost_RF[[#This Row],[EnergyConvTech]],$O$8:$S$8,0))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3" name="RegionalFCsRef" displayName="RegionalFCsRef" ref="B9:G18" totalsRowShown="0" headerRowDxfId="119" dataDxfId="118" tableBorderDxfId="117">
  <autoFilter ref="B9:G18"/>
  <tableColumns count="6">
    <tableColumn id="1" name="EnergyConvTech" dataDxfId="116"/>
    <tableColumn id="2" name="NR" dataDxfId="115">
      <calculatedColumnFormula>C35+C23</calculatedColumnFormula>
    </tableColumn>
    <tableColumn id="3" name="ER" dataDxfId="114">
      <calculatedColumnFormula>D35+D23</calculatedColumnFormula>
    </tableColumn>
    <tableColumn id="4" name="WR" dataDxfId="113">
      <calculatedColumnFormula>E35+E23</calculatedColumnFormula>
    </tableColumn>
    <tableColumn id="5" name="SR" dataDxfId="112">
      <calculatedColumnFormula>F35+F23</calculatedColumnFormula>
    </tableColumn>
    <tableColumn id="6" name="NER" dataDxfId="111">
      <calculatedColumnFormula>G35+G23</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14" name="RegionalFCsRegulatory" displayName="RegionalFCsRegulatory" ref="B34:G43" totalsRowShown="0" headerRowDxfId="110" dataDxfId="109" tableBorderDxfId="108">
  <autoFilter ref="B34:G43"/>
  <tableColumns count="6">
    <tableColumn id="1" name="EnergyConvTech" dataDxfId="107"/>
    <tableColumn id="2" name="NR" dataDxfId="106">
      <calculatedColumnFormula>SUMPRODUCT(--($O$66:$O$290=C$9&amp;$B35), $F$66:$F$290,$M$66:$M$290)/SUMIF($O$66:$O$290,C$9&amp;$B35,$F$66:$F$290)*(1+Assumptions_EG!$C14)</calculatedColumnFormula>
    </tableColumn>
    <tableColumn id="3" name="ER" dataDxfId="105">
      <calculatedColumnFormula>SUMPRODUCT(--($O$66:$O$290=D$9&amp;$B35), $F$66:$F$290,$M$66:$M$290)/SUMIF($O$66:$O$290,D$9&amp;$B35,$F$66:$F$290)*(1+Assumptions_EG!$C14)</calculatedColumnFormula>
    </tableColumn>
    <tableColumn id="4" name="WR" dataDxfId="104">
      <calculatedColumnFormula>SUMPRODUCT(--($O$66:$O$290=E$9&amp;$B35), $F$66:$F$290,$M$66:$M$290)/SUMIF($O$66:$O$290,E$9&amp;$B35,$F$66:$F$290)*(1+Assumptions_EG!$C14)</calculatedColumnFormula>
    </tableColumn>
    <tableColumn id="5" name="SR" dataDxfId="103">
      <calculatedColumnFormula>SUMPRODUCT(--($O$66:$O$290=F$9&amp;$B35), $F$66:$F$290,$M$66:$M$290)/SUMIF($O$66:$O$290,F$9&amp;$B35,$F$66:$F$290)*(1+Assumptions_EG!$C14)</calculatedColumnFormula>
    </tableColumn>
    <tableColumn id="6" name="NER" dataDxfId="102">
      <calculatedColumnFormula>SUMPRODUCT(--($O$66:$O$290=G$9&amp;$B35), $F$66:$F$290,$M$66:$M$290)/SUMIF($O$66:$O$290,G$9&amp;$B35,$F$66:$F$290)*(1+Assumptions_EG!$C14)</calculatedColumnFormula>
    </tableColumn>
  </tableColumns>
  <tableStyleInfo name="TableStyleMedium2" showFirstColumn="0" showLastColumn="0" showRowStripes="1" showColumnStripes="0"/>
</table>
</file>

<file path=xl/tables/table8.xml><?xml version="1.0" encoding="utf-8"?>
<table xmlns="http://schemas.openxmlformats.org/spreadsheetml/2006/main" id="15" name="AdditionalFCs" displayName="AdditionalFCs" ref="B22:G31" totalsRowShown="0" headerRowDxfId="101" dataDxfId="100" tableBorderDxfId="99">
  <autoFilter ref="B22:G31"/>
  <tableColumns count="6">
    <tableColumn id="1" name="EnergyConvTech" dataDxfId="98"/>
    <tableColumn id="2" name="NR" dataDxfId="97">
      <calculatedColumnFormula>-PMT($R$25/12,$R$26*12,$R$24)*12</calculatedColumnFormula>
    </tableColumn>
    <tableColumn id="3" name="ER" dataDxfId="96">
      <calculatedColumnFormula>SUMPRODUCT(--($O$66:$O$290=K$34&amp;$B35), $F$66:$F$290,$M$66:$M$290)/SUMIF($O$66:$O$290,K$34&amp;$B35,$F$66:$F$290)*(1+Assumptions_EG!$C14)</calculatedColumnFormula>
    </tableColumn>
    <tableColumn id="4" name="WR" dataDxfId="95">
      <calculatedColumnFormula>SUMPRODUCT(--($O$66:$O$290=L$34&amp;$B35), $F$66:$F$290,$M$66:$M$290)/SUMIF($O$66:$O$290,L$34&amp;$B35,$F$66:$F$290)*(1+Assumptions_EG!$C14)</calculatedColumnFormula>
    </tableColumn>
    <tableColumn id="5" name="SR" dataDxfId="94">
      <calculatedColumnFormula>SUMPRODUCT(--($O$66:$O$290=M$34&amp;$B35), $F$66:$F$290,$M$66:$M$290)/SUMIF($O$66:$O$290,M$34&amp;$B35,$F$66:$F$290)*(1+Assumptions_EG!$C14)</calculatedColumnFormula>
    </tableColumn>
    <tableColumn id="6" name="NER" dataDxfId="93">
      <calculatedColumnFormula>SUMPRODUCT(--($O$66:$O$290=N$34&amp;$B35), $F$66:$F$290,$M$66:$M$290)/SUMIF($O$66:$O$290,N$34&amp;$B35,$F$66:$F$290)*(1+Assumptions_EG!$C14)</calculatedColumnFormula>
    </tableColumn>
  </tableColumns>
  <tableStyleInfo name="TableStyleMedium2" showFirstColumn="0" showLastColumn="0" showRowStripes="1" showColumnStripes="0"/>
</table>
</file>

<file path=xl/tables/table9.xml><?xml version="1.0" encoding="utf-8"?>
<table xmlns="http://schemas.openxmlformats.org/spreadsheetml/2006/main" id="16" name="AdditionalFCs17" displayName="AdditionalFCs17" ref="I22:N31" totalsRowShown="0" headerRowDxfId="92" dataDxfId="91" tableBorderDxfId="90">
  <autoFilter ref="I22:N31"/>
  <tableColumns count="6">
    <tableColumn id="1" name="EnergyConvTech" dataDxfId="89"/>
    <tableColumn id="2" name="NR" dataDxfId="88">
      <calculatedColumnFormula>-PMT($S$25/12,$S$26*12,$S$24)*12</calculatedColumnFormula>
    </tableColumn>
    <tableColumn id="3" name="ER" dataDxfId="87">
      <calculatedColumnFormula>SUMPRODUCT(--($O$66:$O$290=R$34&amp;$B35), $F$66:$F$290,$M$66:$M$290)/SUMIF($O$66:$O$290,R$34&amp;$B35,$F$66:$F$290)*(1+Assumptions_EG!$C14)</calculatedColumnFormula>
    </tableColumn>
    <tableColumn id="4" name="WR" dataDxfId="86">
      <calculatedColumnFormula>SUMPRODUCT(--($O$66:$O$290=S$34&amp;$B35), $F$66:$F$290,$M$66:$M$290)/SUMIF($O$66:$O$290,S$34&amp;$B35,$F$66:$F$290)*(1+Assumptions_EG!$C14)</calculatedColumnFormula>
    </tableColumn>
    <tableColumn id="5" name="SR" dataDxfId="85">
      <calculatedColumnFormula>SUMPRODUCT(--($O$66:$O$290=T$34&amp;$B35), $F$66:$F$290,$M$66:$M$290)/SUMIF($O$66:$O$290,T$34&amp;$B35,$F$66:$F$290)*(1+Assumptions_EG!$C14)</calculatedColumnFormula>
    </tableColumn>
    <tableColumn id="6" name="NER" dataDxfId="84">
      <calculatedColumnFormula>SUMPRODUCT(--($O$66:$O$290=U$34&amp;$B35), $F$66:$F$290,$M$66:$M$290)/SUMIF($O$66:$O$290,U$34&amp;$B35,$F$66:$F$290)*(1+Assumptions_EG!$C14)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7" name="RegionalFCsPRS" displayName="RegionalFCsPRS" ref="I9:N18" totalsRowShown="0" headerRowDxfId="83" dataDxfId="82" tableBorderDxfId="81">
  <autoFilter ref="I9:N18"/>
  <tableColumns count="6">
    <tableColumn id="1" name="EnergyConvTech" dataDxfId="80"/>
    <tableColumn id="2" name="NR" dataDxfId="79">
      <calculatedColumnFormula>C35+J23</calculatedColumnFormula>
    </tableColumn>
    <tableColumn id="3" name="ER" dataDxfId="78">
      <calculatedColumnFormula>D35+K23</calculatedColumnFormula>
    </tableColumn>
    <tableColumn id="4" name="WR" dataDxfId="77">
      <calculatedColumnFormula>E35+L23</calculatedColumnFormula>
    </tableColumn>
    <tableColumn id="5" name="SR" dataDxfId="76">
      <calculatedColumnFormula>F35+M23</calculatedColumnFormula>
    </tableColumn>
    <tableColumn id="6" name="NER" dataDxfId="75">
      <calculatedColumnFormula>G35+N23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4" name="LegacyFC_Ref" displayName="LegacyFC_Ref" ref="A1:N41" totalsRowShown="0" headerRowDxfId="74" dataDxfId="72" headerRowBorderDxfId="73" tableBorderDxfId="71" totalsRowBorderDxfId="70">
  <autoFilter ref="A1:N41"/>
  <tableColumns count="14">
    <tableColumn id="1" name="InstYear" dataDxfId="69"/>
    <tableColumn id="2" name="EnergyConvTech" dataDxfId="68"/>
    <tableColumn id="14" name="SubGeography1" dataDxfId="67"/>
    <tableColumn id="3" name="2021" dataDxfId="66">
      <calculatedColumnFormula>INDEX(RegionalFCsRef[],MATCH(LegacyFC_Ref[[#This Row],[EnergyConvTech]],RegionalFCsRef[EnergyConvTech],0),MATCH(LegacyFC_Ref[[#This Row],[SubGeography1]],RegionalFCsRef[#Headers],0))</calculatedColumnFormula>
    </tableColumn>
    <tableColumn id="4" name="2022" dataDxfId="65">
      <calculatedColumnFormula>D2*(1+INDEX(Assumptions_EG!$C$14:$C$22,MATCH(LegacyFC_Ref[[#This Row],[EnergyConvTech]],Assumptions_EG!$B$14:$B$22,0)))</calculatedColumnFormula>
    </tableColumn>
    <tableColumn id="5" name="2023" dataDxfId="64">
      <calculatedColumnFormula>E2*(1+INDEX(Assumptions_EG!$C$14:$C$22,MATCH(LegacyFC_Ref[[#This Row],[EnergyConvTech]],Assumptions_EG!$B$14:$B$22,0)))</calculatedColumnFormula>
    </tableColumn>
    <tableColumn id="6" name="2024" dataDxfId="63">
      <calculatedColumnFormula>F2*(1+INDEX(Assumptions_EG!$C$14:$C$22,MATCH(LegacyFC_Ref[[#This Row],[EnergyConvTech]],Assumptions_EG!$B$14:$B$22,0)))</calculatedColumnFormula>
    </tableColumn>
    <tableColumn id="7" name="2025" dataDxfId="62">
      <calculatedColumnFormula>G2*(1+INDEX(Assumptions_EG!$C$14:$C$22,MATCH(LegacyFC_Ref[[#This Row],[EnergyConvTech]],Assumptions_EG!$B$14:$B$22,0)))</calculatedColumnFormula>
    </tableColumn>
    <tableColumn id="8" name="2026" dataDxfId="61">
      <calculatedColumnFormula>H2*(1+INDEX(Assumptions_EG!$C$14:$C$22,MATCH(LegacyFC_Ref[[#This Row],[EnergyConvTech]],Assumptions_EG!$B$14:$B$22,0)))</calculatedColumnFormula>
    </tableColumn>
    <tableColumn id="9" name="2027" dataDxfId="60">
      <calculatedColumnFormula>I2*(1+INDEX(Assumptions_EG!$C$14:$C$22,MATCH(LegacyFC_Ref[[#This Row],[EnergyConvTech]],Assumptions_EG!$B$14:$B$22,0)))</calculatedColumnFormula>
    </tableColumn>
    <tableColumn id="10" name="2028" dataDxfId="59">
      <calculatedColumnFormula>J2*(1+INDEX(Assumptions_EG!$C$14:$C$22,MATCH(LegacyFC_Ref[[#This Row],[EnergyConvTech]],Assumptions_EG!$B$14:$B$22,0)))</calculatedColumnFormula>
    </tableColumn>
    <tableColumn id="11" name="2029" dataDxfId="58">
      <calculatedColumnFormula>K2*(1+INDEX(Assumptions_EG!$C$14:$C$22,MATCH(LegacyFC_Ref[[#This Row],[EnergyConvTech]],Assumptions_EG!$B$14:$B$22,0)))</calculatedColumnFormula>
    </tableColumn>
    <tableColumn id="12" name="2030" dataDxfId="57">
      <calculatedColumnFormula>L2*(1+INDEX(Assumptions_EG!$C$14:$C$22,MATCH(LegacyFC_Ref[[#This Row],[EnergyConvTech]],Assumptions_EG!$B$14:$B$22,0)))</calculatedColumnFormula>
    </tableColumn>
    <tableColumn id="13" name="2031" dataDxfId="56">
      <calculatedColumnFormula>M2*(1+INDEX(Assumptions_EG!$C$14:$C$22,MATCH(LegacyFC_Ref[[#This Row],[EnergyConvTech]],Assumptions_EG!$B$14:$B$22,0)))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id="18" name="LegacyFC_PRS" displayName="LegacyFC_PRS" ref="A1:N41" totalsRowShown="0" headerRowDxfId="55" dataDxfId="53" headerRowBorderDxfId="54" tableBorderDxfId="52" totalsRowBorderDxfId="51">
  <autoFilter ref="A1:N41"/>
  <tableColumns count="14">
    <tableColumn id="1" name="InstYear" dataDxfId="50"/>
    <tableColumn id="2" name="EnergyConvTech" dataDxfId="49"/>
    <tableColumn id="14" name="SubGeography1" dataDxfId="48"/>
    <tableColumn id="3" name="2021" dataDxfId="47">
      <calculatedColumnFormula>INDEX(RegionalFCsPRS[],MATCH(LegacyFC_PRS[[#This Row],[EnergyConvTech]],RegionalFCsPRS[EnergyConvTech],0),MATCH(LegacyFC_PRS[[#This Row],[SubGeography1]],RegionalFCsPRS[#Headers],0))</calculatedColumnFormula>
    </tableColumn>
    <tableColumn id="4" name="2022" dataDxfId="46">
      <calculatedColumnFormula>D2*(1+INDEX(Assumptions_EG!$C$14:$C$22,MATCH(LegacyFC_PRS[[#This Row],[EnergyConvTech]],Assumptions_EG!$B$14:$B$22,0)))</calculatedColumnFormula>
    </tableColumn>
    <tableColumn id="5" name="2023" dataDxfId="45">
      <calculatedColumnFormula>E2*(1+INDEX(Assumptions_EG!$C$14:$C$22,MATCH(LegacyFC_PRS[[#This Row],[EnergyConvTech]],Assumptions_EG!$B$14:$B$22,0)))</calculatedColumnFormula>
    </tableColumn>
    <tableColumn id="6" name="2024" dataDxfId="44">
      <calculatedColumnFormula>F2*(1+INDEX(Assumptions_EG!$C$14:$C$22,MATCH(LegacyFC_PRS[[#This Row],[EnergyConvTech]],Assumptions_EG!$B$14:$B$22,0)))</calculatedColumnFormula>
    </tableColumn>
    <tableColumn id="7" name="2025" dataDxfId="43">
      <calculatedColumnFormula>G2*(1+INDEX(Assumptions_EG!$C$14:$C$22,MATCH(LegacyFC_PRS[[#This Row],[EnergyConvTech]],Assumptions_EG!$B$14:$B$22,0)))</calculatedColumnFormula>
    </tableColumn>
    <tableColumn id="8" name="2026" dataDxfId="42">
      <calculatedColumnFormula>H2*(1+INDEX(Assumptions_EG!$C$14:$C$22,MATCH(LegacyFC_PRS[[#This Row],[EnergyConvTech]],Assumptions_EG!$B$14:$B$22,0)))</calculatedColumnFormula>
    </tableColumn>
    <tableColumn id="9" name="2027" dataDxfId="41">
      <calculatedColumnFormula>I2*(1+INDEX(Assumptions_EG!$C$14:$C$22,MATCH(LegacyFC_PRS[[#This Row],[EnergyConvTech]],Assumptions_EG!$B$14:$B$22,0)))</calculatedColumnFormula>
    </tableColumn>
    <tableColumn id="10" name="2028" dataDxfId="40">
      <calculatedColumnFormula>J2*(1+INDEX(Assumptions_EG!$C$14:$C$22,MATCH(LegacyFC_PRS[[#This Row],[EnergyConvTech]],Assumptions_EG!$B$14:$B$22,0)))</calculatedColumnFormula>
    </tableColumn>
    <tableColumn id="11" name="2029" dataDxfId="39">
      <calculatedColumnFormula>K2*(1+INDEX(Assumptions_EG!$C$14:$C$22,MATCH(LegacyFC_PRS[[#This Row],[EnergyConvTech]],Assumptions_EG!$B$14:$B$22,0)))</calculatedColumnFormula>
    </tableColumn>
    <tableColumn id="12" name="2030" dataDxfId="38">
      <calculatedColumnFormula>L2*(1+INDEX(Assumptions_EG!$C$14:$C$22,MATCH(LegacyFC_PRS[[#This Row],[EnergyConvTech]],Assumptions_EG!$B$14:$B$22,0)))</calculatedColumnFormula>
    </tableColumn>
    <tableColumn id="13" name="2031" dataDxfId="37">
      <calculatedColumnFormula>M2*(1+INDEX(Assumptions_EG!$C$14:$C$22,MATCH(LegacyFC_PRS[[#This Row],[EnergyConvTech]],Assumptions_EG!$B$14:$B$22,0)))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5" name="NewFC" displayName="NewFC" ref="A1:M100" totalsRowShown="0" headerRowDxfId="36">
  <autoFilter ref="A1:M100"/>
  <tableColumns count="13">
    <tableColumn id="15" name="InstYear" dataDxfId="35"/>
    <tableColumn id="1" name="EnergyConvTech"/>
    <tableColumn id="3" name="2021" dataDxfId="34"/>
    <tableColumn id="4" name="2022" dataDxfId="33">
      <calculatedColumnFormula>SUMIF(Assumptions_EG!$C$61:$C$65,NewFC[[#This Row],[EnergyConvTech]],Assumptions_EG!$G$43:$G$48)</calculatedColumnFormula>
    </tableColumn>
    <tableColumn id="5" name="2023" dataDxfId="32">
      <calculatedColumnFormula>SUMIF(Assumptions_EG!$C$61:$C$65,NewFC[[#This Row],[EnergyConvTech]],Assumptions_EG!$G$43:$G$48)</calculatedColumnFormula>
    </tableColumn>
    <tableColumn id="6" name="2024" dataDxfId="31">
      <calculatedColumnFormula>SUMIF(Assumptions_EG!$C$61:$C$65,NewFC[[#This Row],[EnergyConvTech]],Assumptions_EG!$G$43:$G$48)</calculatedColumnFormula>
    </tableColumn>
    <tableColumn id="7" name="2025" dataDxfId="30">
      <calculatedColumnFormula>SUMIF(Assumptions_EG!$C$61:$C$65,NewFC[[#This Row],[EnergyConvTech]],Assumptions_EG!$G$43:$G$48)</calculatedColumnFormula>
    </tableColumn>
    <tableColumn id="8" name="2026" dataDxfId="29">
      <calculatedColumnFormula>SUMIF(Assumptions_EG!$C$61:$C$65,NewFC[[#This Row],[EnergyConvTech]],Assumptions_EG!$G$43:$G$48)</calculatedColumnFormula>
    </tableColumn>
    <tableColumn id="9" name="2027" dataDxfId="28">
      <calculatedColumnFormula>SUMIF(Assumptions_EG!$C$61:$C$65,NewFC[[#This Row],[EnergyConvTech]],Assumptions_EG!$G$43:$G$48)</calculatedColumnFormula>
    </tableColumn>
    <tableColumn id="10" name="2028" dataDxfId="27">
      <calculatedColumnFormula>I2*(1+INDEX(Legacy_FC_VC!$I$47:$I$55,MATCH($B2,Assumptions_EG!$B$14:$B$22,0)))</calculatedColumnFormula>
    </tableColumn>
    <tableColumn id="11" name="2029" dataDxfId="26">
      <calculatedColumnFormula>J2*(1+INDEX(Legacy_FC_VC!$I$47:$I$55,MATCH($B2,Assumptions_EG!$B$14:$B$22,0)))</calculatedColumnFormula>
    </tableColumn>
    <tableColumn id="12" name="2030" dataDxfId="25">
      <calculatedColumnFormula>K2*(1+INDEX(Legacy_FC_VC!$I$47:$I$55,MATCH($B2,Assumptions_EG!$B$14:$B$22,0)))</calculatedColumnFormula>
    </tableColumn>
    <tableColumn id="13" name="2031" dataDxfId="24">
      <calculatedColumnFormula>L2*(1+INDEX(Legacy_FC_VC!$I$47:$I$55,MATCH($B2,Assumptions_EG!$B$14:$B$22,0)))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id="7" name="OtherVC" displayName="OtherVC" ref="A1:M10" totalsRowShown="0">
  <autoFilter ref="A1:M10"/>
  <tableColumns count="13">
    <tableColumn id="1" name="EnergyConvTech"/>
    <tableColumn id="2" name="2020" dataDxfId="23"/>
    <tableColumn id="3" name="2021">
      <calculatedColumnFormula>B2</calculatedColumnFormula>
    </tableColumn>
    <tableColumn id="4" name="2022" dataDxfId="22">
      <calculatedColumnFormula>C2</calculatedColumnFormula>
    </tableColumn>
    <tableColumn id="5" name="2023">
      <calculatedColumnFormula>D2</calculatedColumnFormula>
    </tableColumn>
    <tableColumn id="6" name="2024">
      <calculatedColumnFormula>E2</calculatedColumnFormula>
    </tableColumn>
    <tableColumn id="7" name="2025">
      <calculatedColumnFormula>F2</calculatedColumnFormula>
    </tableColumn>
    <tableColumn id="8" name="2026">
      <calculatedColumnFormula>G2</calculatedColumnFormula>
    </tableColumn>
    <tableColumn id="9" name="2027">
      <calculatedColumnFormula>H2</calculatedColumnFormula>
    </tableColumn>
    <tableColumn id="10" name="2028">
      <calculatedColumnFormula>I2</calculatedColumnFormula>
    </tableColumn>
    <tableColumn id="11" name="2029">
      <calculatedColumnFormula>J2</calculatedColumnFormula>
    </tableColumn>
    <tableColumn id="12" name="2030">
      <calculatedColumnFormula>K2</calculatedColumnFormula>
    </tableColumn>
    <tableColumn id="13" name="2031">
      <calculatedColumnFormula>L2</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id="25" name="ConvEff" displayName="ConvEff" ref="A1:M10" totalsRowShown="0">
  <autoFilter ref="A1:M10"/>
  <tableColumns count="13">
    <tableColumn id="1" name="EnergyConvTech"/>
    <tableColumn id="2" name="2020" dataDxfId="21"/>
    <tableColumn id="3" name="2021">
      <calculatedColumnFormula>B2</calculatedColumnFormula>
    </tableColumn>
    <tableColumn id="4" name="2022" dataDxfId="20">
      <calculatedColumnFormula>C2</calculatedColumnFormula>
    </tableColumn>
    <tableColumn id="5" name="2023">
      <calculatedColumnFormula>D2</calculatedColumnFormula>
    </tableColumn>
    <tableColumn id="6" name="2024">
      <calculatedColumnFormula>E2</calculatedColumnFormula>
    </tableColumn>
    <tableColumn id="7" name="2025">
      <calculatedColumnFormula>F2</calculatedColumnFormula>
    </tableColumn>
    <tableColumn id="8" name="2026">
      <calculatedColumnFormula>G2</calculatedColumnFormula>
    </tableColumn>
    <tableColumn id="9" name="2027">
      <calculatedColumnFormula>H2</calculatedColumnFormula>
    </tableColumn>
    <tableColumn id="10" name="2028">
      <calculatedColumnFormula>I2</calculatedColumnFormula>
    </tableColumn>
    <tableColumn id="11" name="2029">
      <calculatedColumnFormula>J2</calculatedColumnFormula>
    </tableColumn>
    <tableColumn id="12" name="2030">
      <calculatedColumnFormula>K2</calculatedColumnFormula>
    </tableColumn>
    <tableColumn id="13" name="2031">
      <calculatedColumnFormula>L2</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id="28" name="Table7" displayName="Table7" ref="B2:C16" totalsRowShown="0">
  <autoFilter ref="B2:C16"/>
  <tableColumns count="2">
    <tableColumn id="1" name="EnergyConvTech" dataDxfId="19">
      <calculatedColumnFormula>MaxAnnualUF!B20</calculatedColumnFormula>
    </tableColumn>
    <tableColumn id="2" name="MaxAnnualUF" dataDxfId="18">
      <calculatedColumnFormula>MaxAnnualUF!C20</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id="13" name="ECT_EfficiencyCostMaxAnnualUF_Ref" displayName="ECT_EfficiencyCostMaxAnnualUF_Ref" ref="A1:I3752" tableType="queryTable" totalsRowShown="0">
  <autoFilter ref="A1:I3752"/>
  <tableColumns count="9">
    <tableColumn id="10" uniqueName="10" name="EnergyConvTech" queryTableFieldId="1" dataDxfId="17"/>
    <tableColumn id="11" uniqueName="11" name="ModelGeography" queryTableFieldId="2" dataDxfId="16"/>
    <tableColumn id="12" uniqueName="12" name="SubGeography1" queryTableFieldId="3" dataDxfId="15"/>
    <tableColumn id="13" uniqueName="13" name="InstYear" queryTableFieldId="4" dataDxfId="14"/>
    <tableColumn id="14" uniqueName="14" name="Year" queryTableFieldId="5" dataDxfId="13"/>
    <tableColumn id="15" uniqueName="15" name="ConvEff" queryTableFieldId="6" dataDxfId="12"/>
    <tableColumn id="16" uniqueName="16" name="FixedCost" queryTableFieldId="7" dataDxfId="11"/>
    <tableColumn id="17" uniqueName="17" name="VarCost" queryTableFieldId="8" dataDxfId="10"/>
    <tableColumn id="18" uniqueName="18" name="MaxAnnualUF" queryTableFieldId="9" dataDxfId="9"/>
  </tableColumns>
  <tableStyleInfo name="TableStyleMedium7" showFirstColumn="0" showLastColumn="0" showRowStripes="1" showColumnStripes="0"/>
</table>
</file>

<file path=xl/tables/table18.xml><?xml version="1.0" encoding="utf-8"?>
<table xmlns="http://schemas.openxmlformats.org/spreadsheetml/2006/main" id="21" name="ECT_EfficiencyCostMaxAnnualUF_PRS" displayName="ECT_EfficiencyCostMaxAnnualUF_PRS" ref="A1:I3752" tableType="queryTable" totalsRowShown="0">
  <autoFilter ref="A1:I3752"/>
  <tableColumns count="9">
    <tableColumn id="1" uniqueName="1" name="EnergyConvTech" queryTableFieldId="1" dataDxfId="8"/>
    <tableColumn id="2" uniqueName="2" name="ModelGeography" queryTableFieldId="2" dataDxfId="7"/>
    <tableColumn id="3" uniqueName="3" name="SubGeography1" queryTableFieldId="3" dataDxfId="6"/>
    <tableColumn id="4" uniqueName="4" name="InstYear" queryTableFieldId="4" dataDxfId="5"/>
    <tableColumn id="5" uniqueName="5" name="Year" queryTableFieldId="5" dataDxfId="4"/>
    <tableColumn id="6" uniqueName="6" name="ConvEff" queryTableFieldId="6" dataDxfId="3"/>
    <tableColumn id="7" uniqueName="7" name="FixedCost" queryTableFieldId="7" dataDxfId="2"/>
    <tableColumn id="8" uniqueName="8" name="VarCost" queryTableFieldId="8" dataDxfId="1"/>
    <tableColumn id="9" uniqueName="9" name="MaxAnnualUF"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ercind.gov.in/escalation_rates.html" TargetMode="External"/><Relationship Id="rId13" Type="http://schemas.openxmlformats.org/officeDocument/2006/relationships/hyperlink" Target="https://mnre.gov.in/physical-progress-achievements" TargetMode="External"/><Relationship Id="rId3" Type="http://schemas.openxmlformats.org/officeDocument/2006/relationships/hyperlink" Target="https://github.com/prayas-energy/Rumi" TargetMode="External"/><Relationship Id="rId7" Type="http://schemas.openxmlformats.org/officeDocument/2006/relationships/hyperlink" Target="http://www.centralbanknews.info/p/inflation-targets.html" TargetMode="External"/><Relationship Id="rId12" Type="http://schemas.openxmlformats.org/officeDocument/2006/relationships/hyperlink" Target="https://www.eia.gov/analysis/studies/powerplants/capitalcost/" TargetMode="External"/><Relationship Id="rId2" Type="http://schemas.openxmlformats.org/officeDocument/2006/relationships/hyperlink" Target="https://www.prayaspune.org/peg/publications/item/512" TargetMode="External"/><Relationship Id="rId1" Type="http://schemas.openxmlformats.org/officeDocument/2006/relationships/hyperlink" Target="https://github.com/prayas-energy/PIER" TargetMode="External"/><Relationship Id="rId6" Type="http://schemas.openxmlformats.org/officeDocument/2006/relationships/hyperlink" Target="https://www.rbi.org.in/scripts/PublicationsView.aspx?id=19028" TargetMode="External"/><Relationship Id="rId11" Type="http://schemas.openxmlformats.org/officeDocument/2006/relationships/hyperlink" Target="https://pib.gov.in/PressReleasePage.aspx?PRID=1576808" TargetMode="External"/><Relationship Id="rId5" Type="http://schemas.openxmlformats.org/officeDocument/2006/relationships/hyperlink" Target="https://rbidocs.rbi.org.in/rdocs/Publications/PDFs/140TE74E725980E74CB987BB87D52853686D.PDF" TargetMode="External"/><Relationship Id="rId10" Type="http://schemas.openxmlformats.org/officeDocument/2006/relationships/hyperlink" Target="https://energy.economictimes.indiatimes.com/news/oil-and-gas/indias-biggest-oil-refinery-on-west-coast-to-cost-30-bn/53031233" TargetMode="External"/><Relationship Id="rId4" Type="http://schemas.openxmlformats.org/officeDocument/2006/relationships/hyperlink" Target="https://mopng.gov.in/en/petroleum-statistics/indian-png-statistics" TargetMode="External"/><Relationship Id="rId9" Type="http://schemas.openxmlformats.org/officeDocument/2006/relationships/hyperlink" Target="http://www.petrobazaar.com/"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2.deloitte.com/content/dam/Deloitte/in/Documents/energy-resources/in-enr-petroleum-tax-guide-noexp.pdf" TargetMode="External"/><Relationship Id="rId1" Type="http://schemas.openxmlformats.org/officeDocument/2006/relationships/hyperlink" Target="https://rbidocs.rbi.org.in/rdocs/Publications/PDFs/140TE74E725980E74CB987BB87D52853686D.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www.petrobazaar.com/" TargetMode="Externa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ib.gov.in/PressReleasePage.aspx?PRID=1576808" TargetMode="External"/><Relationship Id="rId1" Type="http://schemas.openxmlformats.org/officeDocument/2006/relationships/hyperlink" Target="https://energy.economictimes.indiatimes.com/news/oil-and-gas/indias-biggest-oil-refinery-on-west-coast-to-cost-30-bn/5303123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vmlDrawing" Target="../drawings/vmlDrawing4.vml"/><Relationship Id="rId1" Type="http://schemas.openxmlformats.org/officeDocument/2006/relationships/printerSettings" Target="../printerSettings/printerSettings9.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https://mnre.gov.in/sites/default/files/uploads/State%20wise%20installed%20Capacity%20as%20on%2031.05.2019.xlsx" TargetMode="External"/><Relationship Id="rId1" Type="http://schemas.openxmlformats.org/officeDocument/2006/relationships/hyperlink" Target="https://mnre.gov.in/sites/default/files/uploads/State%20wise%20installed%20Capacity%20as%20on%2031.03.2019.xlsx" TargetMode="External"/><Relationship Id="rId4" Type="http://schemas.openxmlformats.org/officeDocument/2006/relationships/comments" Target="../comments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www.sourcewatch.org/index.php?title=Bander_power_station" TargetMode="External"/><Relationship Id="rId4" Type="http://schemas.openxmlformats.org/officeDocument/2006/relationships/comments" Target="../comments8.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printerSettings" Target="../printerSettings/printerSettings26.bin"/><Relationship Id="rId1" Type="http://schemas.openxmlformats.org/officeDocument/2006/relationships/hyperlink" Target="http://pserc.nic.in/pages/PSPCL-Tariff-Order-Vol-1-2017-18.pdf" TargetMode="External"/><Relationship Id="rId4" Type="http://schemas.openxmlformats.org/officeDocument/2006/relationships/comments" Target="../comments13.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eia.gov/analysis/studies/powerplants/capitalcost/" TargetMode="External"/><Relationship Id="rId1" Type="http://schemas.openxmlformats.org/officeDocument/2006/relationships/hyperlink" Target="https://www.wartsila.com/docs/default-source/smartpowergeneration/content-center/conference-papers/peaking_reserve_capacity_in_india.pdf"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32"/>
  <sheetViews>
    <sheetView showGridLines="0" tabSelected="1" zoomScaleNormal="100" workbookViewId="0"/>
  </sheetViews>
  <sheetFormatPr defaultColWidth="14.453125" defaultRowHeight="15.75" customHeight="1" x14ac:dyDescent="0.25"/>
  <cols>
    <col min="1" max="1" width="33" style="635" customWidth="1"/>
    <col min="2" max="2" width="26.26953125" style="635" bestFit="1" customWidth="1"/>
    <col min="3" max="3" width="6.26953125" style="635" bestFit="1" customWidth="1"/>
    <col min="4" max="4" width="21.453125" style="635" bestFit="1" customWidth="1"/>
    <col min="5" max="5" width="18.26953125" style="635" customWidth="1"/>
    <col min="6" max="7" width="14.453125" style="635"/>
    <col min="8" max="8" width="17.7265625" style="635" customWidth="1"/>
    <col min="9" max="16384" width="14.453125" style="635"/>
  </cols>
  <sheetData>
    <row r="1" spans="1:11" ht="19" x14ac:dyDescent="0.4">
      <c r="A1" s="634" t="s">
        <v>1883</v>
      </c>
      <c r="J1" s="636"/>
    </row>
    <row r="2" spans="1:11" ht="16.5" x14ac:dyDescent="0.35">
      <c r="A2" s="637" t="s">
        <v>1884</v>
      </c>
      <c r="J2" s="636"/>
    </row>
    <row r="3" spans="1:11" ht="15.5" x14ac:dyDescent="0.35">
      <c r="A3" s="638">
        <v>2021</v>
      </c>
      <c r="J3" s="636"/>
    </row>
    <row r="4" spans="1:11" ht="13" x14ac:dyDescent="0.3">
      <c r="A4" s="639" t="s">
        <v>1885</v>
      </c>
      <c r="B4" s="640">
        <v>44470</v>
      </c>
      <c r="J4" s="641"/>
    </row>
    <row r="5" spans="1:11" ht="13" x14ac:dyDescent="0.3">
      <c r="A5" s="642" t="s">
        <v>1886</v>
      </c>
      <c r="B5" s="643" t="s">
        <v>1887</v>
      </c>
      <c r="C5" s="644"/>
      <c r="D5" s="644"/>
      <c r="E5" s="644"/>
      <c r="F5" s="644"/>
      <c r="G5" s="644"/>
      <c r="H5" s="644"/>
      <c r="I5" s="644"/>
      <c r="J5" s="641"/>
    </row>
    <row r="6" spans="1:11" ht="13" x14ac:dyDescent="0.3">
      <c r="C6" s="644"/>
      <c r="D6" s="644"/>
      <c r="E6" s="644"/>
      <c r="F6" s="644"/>
      <c r="G6" s="644"/>
      <c r="H6" s="644"/>
      <c r="I6" s="644"/>
      <c r="J6" s="641"/>
    </row>
    <row r="7" spans="1:11" ht="13" x14ac:dyDescent="0.3">
      <c r="C7" s="758" t="s">
        <v>1888</v>
      </c>
      <c r="D7" s="759"/>
      <c r="E7" s="759"/>
      <c r="F7" s="759"/>
      <c r="G7" s="759"/>
      <c r="H7" s="759"/>
      <c r="I7" s="760"/>
      <c r="J7" s="641"/>
    </row>
    <row r="8" spans="1:11" ht="30" customHeight="1" x14ac:dyDescent="0.3">
      <c r="A8" s="645" t="s">
        <v>1889</v>
      </c>
      <c r="B8" s="646" t="s">
        <v>1890</v>
      </c>
      <c r="C8" s="761" t="s">
        <v>1891</v>
      </c>
      <c r="D8" s="761"/>
      <c r="E8" s="761"/>
      <c r="F8" s="761"/>
      <c r="G8" s="761"/>
      <c r="H8" s="761"/>
      <c r="I8" s="761"/>
      <c r="J8" s="641"/>
    </row>
    <row r="9" spans="1:11" ht="30" customHeight="1" x14ac:dyDescent="0.3">
      <c r="A9" s="645" t="s">
        <v>1892</v>
      </c>
      <c r="B9" s="646" t="s">
        <v>1893</v>
      </c>
      <c r="C9" s="761"/>
      <c r="D9" s="761"/>
      <c r="E9" s="761"/>
      <c r="F9" s="761"/>
      <c r="G9" s="761"/>
      <c r="H9" s="761"/>
      <c r="I9" s="761"/>
      <c r="J9" s="641"/>
    </row>
    <row r="10" spans="1:11" ht="30" customHeight="1" x14ac:dyDescent="0.3">
      <c r="A10" s="645" t="s">
        <v>1894</v>
      </c>
      <c r="B10" s="646" t="s">
        <v>1895</v>
      </c>
      <c r="C10" s="761" t="s">
        <v>1896</v>
      </c>
      <c r="D10" s="761"/>
      <c r="E10" s="761"/>
      <c r="F10" s="761"/>
      <c r="G10" s="761"/>
      <c r="H10" s="761"/>
      <c r="I10" s="761"/>
      <c r="J10" s="641"/>
    </row>
    <row r="11" spans="1:11" ht="12.5" x14ac:dyDescent="0.25">
      <c r="J11" s="641"/>
    </row>
    <row r="12" spans="1:11" ht="12.5" x14ac:dyDescent="0.25">
      <c r="J12" s="641"/>
    </row>
    <row r="13" spans="1:11" ht="13" x14ac:dyDescent="0.3">
      <c r="A13" s="647" t="s">
        <v>1897</v>
      </c>
      <c r="B13" s="647" t="s">
        <v>1898</v>
      </c>
      <c r="C13" s="647" t="s">
        <v>1899</v>
      </c>
      <c r="D13" s="648" t="s">
        <v>1900</v>
      </c>
      <c r="F13" s="649"/>
      <c r="G13" s="650"/>
      <c r="H13" s="650"/>
      <c r="I13" s="650"/>
      <c r="J13" s="641"/>
    </row>
    <row r="14" spans="1:11" s="654" customFormat="1" ht="54" customHeight="1" x14ac:dyDescent="0.35">
      <c r="A14" s="651" t="s">
        <v>1902</v>
      </c>
      <c r="B14" s="652" t="s">
        <v>1903</v>
      </c>
      <c r="C14" s="652">
        <v>1</v>
      </c>
      <c r="D14" s="653" t="s">
        <v>1904</v>
      </c>
      <c r="F14" s="655"/>
      <c r="G14" s="655"/>
      <c r="H14" s="655"/>
      <c r="I14" s="655"/>
      <c r="J14" s="656"/>
      <c r="K14" s="655"/>
    </row>
    <row r="15" spans="1:11" s="654" customFormat="1" ht="54" customHeight="1" x14ac:dyDescent="0.35">
      <c r="A15" s="652"/>
      <c r="B15" s="652" t="s">
        <v>2033</v>
      </c>
      <c r="C15" s="652">
        <v>2</v>
      </c>
      <c r="D15" s="653" t="s">
        <v>1904</v>
      </c>
      <c r="J15" s="657"/>
    </row>
    <row r="16" spans="1:11" ht="14" x14ac:dyDescent="0.3">
      <c r="B16" s="658"/>
      <c r="C16" s="658"/>
      <c r="D16" s="659"/>
      <c r="J16" s="641"/>
    </row>
    <row r="17" spans="1:12" ht="13" x14ac:dyDescent="0.3">
      <c r="A17" s="660" t="s">
        <v>1901</v>
      </c>
      <c r="B17" s="661"/>
      <c r="C17" s="661"/>
      <c r="D17" s="661"/>
      <c r="E17" s="661"/>
      <c r="J17" s="641"/>
    </row>
    <row r="18" spans="1:12" ht="12.5" x14ac:dyDescent="0.25">
      <c r="A18" s="661"/>
      <c r="B18" s="662"/>
      <c r="C18" s="661"/>
      <c r="D18" s="661"/>
      <c r="E18" s="661"/>
      <c r="J18" s="641"/>
    </row>
    <row r="19" spans="1:12" s="665" customFormat="1" ht="30.65" customHeight="1" x14ac:dyDescent="0.25">
      <c r="A19" s="663">
        <v>1</v>
      </c>
      <c r="B19" s="757" t="s">
        <v>1997</v>
      </c>
      <c r="C19" s="757"/>
      <c r="D19" s="757"/>
      <c r="E19" s="757"/>
      <c r="F19" s="757"/>
      <c r="G19" s="757"/>
      <c r="H19" s="757"/>
      <c r="I19" s="757"/>
      <c r="J19" s="664"/>
    </row>
    <row r="20" spans="1:12" s="665" customFormat="1" ht="21.65" customHeight="1" x14ac:dyDescent="0.25">
      <c r="A20" s="663">
        <v>2</v>
      </c>
      <c r="B20" s="757" t="s">
        <v>1909</v>
      </c>
      <c r="C20" s="757"/>
      <c r="D20" s="757"/>
      <c r="E20" s="757"/>
      <c r="F20" s="757"/>
      <c r="G20" s="757"/>
      <c r="H20" s="757"/>
      <c r="I20" s="757"/>
      <c r="J20" s="664"/>
    </row>
    <row r="21" spans="1:12" s="665" customFormat="1" ht="27" customHeight="1" x14ac:dyDescent="0.25">
      <c r="A21" s="663">
        <v>3</v>
      </c>
      <c r="B21" s="757" t="s">
        <v>1948</v>
      </c>
      <c r="C21" s="757"/>
      <c r="D21" s="757"/>
      <c r="E21" s="757"/>
      <c r="F21" s="757"/>
      <c r="G21" s="757"/>
      <c r="H21" s="757"/>
      <c r="I21" s="757"/>
      <c r="J21" s="666"/>
      <c r="K21" s="666"/>
      <c r="L21" s="666"/>
    </row>
    <row r="22" spans="1:12" s="668" customFormat="1" ht="41.65" customHeight="1" x14ac:dyDescent="0.25">
      <c r="A22" s="667">
        <v>4</v>
      </c>
      <c r="B22" s="762" t="s">
        <v>1958</v>
      </c>
      <c r="C22" s="762"/>
      <c r="D22" s="762"/>
      <c r="E22" s="762"/>
      <c r="F22" s="762"/>
      <c r="G22" s="762"/>
      <c r="H22" s="762"/>
      <c r="I22" s="763"/>
      <c r="J22" s="666"/>
      <c r="K22" s="666"/>
      <c r="L22" s="666"/>
    </row>
    <row r="23" spans="1:12" s="670" customFormat="1" ht="30.65" customHeight="1" x14ac:dyDescent="0.25">
      <c r="A23" s="669">
        <v>5</v>
      </c>
      <c r="B23" s="762" t="s">
        <v>1959</v>
      </c>
      <c r="C23" s="762"/>
      <c r="D23" s="762"/>
      <c r="E23" s="762"/>
      <c r="F23" s="762"/>
      <c r="G23" s="762"/>
      <c r="H23" s="762"/>
      <c r="I23" s="763"/>
      <c r="J23" s="666"/>
      <c r="K23" s="666"/>
      <c r="L23" s="666"/>
    </row>
    <row r="24" spans="1:12" s="670" customFormat="1" ht="30" customHeight="1" x14ac:dyDescent="0.25">
      <c r="A24" s="669">
        <v>6</v>
      </c>
      <c r="B24" s="762" t="s">
        <v>1960</v>
      </c>
      <c r="C24" s="762"/>
      <c r="D24" s="762"/>
      <c r="E24" s="762"/>
      <c r="F24" s="762"/>
      <c r="G24" s="762"/>
      <c r="H24" s="762"/>
      <c r="I24" s="763"/>
      <c r="J24" s="666"/>
      <c r="K24" s="666"/>
      <c r="L24" s="666"/>
    </row>
    <row r="25" spans="1:12" s="670" customFormat="1" ht="30" customHeight="1" x14ac:dyDescent="0.25">
      <c r="A25" s="669">
        <v>7</v>
      </c>
      <c r="B25" s="762" t="s">
        <v>2028</v>
      </c>
      <c r="C25" s="762"/>
      <c r="D25" s="762"/>
      <c r="E25" s="762"/>
      <c r="F25" s="762"/>
      <c r="G25" s="762"/>
      <c r="H25" s="762"/>
      <c r="I25" s="763"/>
      <c r="J25" s="666"/>
      <c r="K25" s="666"/>
      <c r="L25" s="666"/>
    </row>
    <row r="26" spans="1:12" s="670" customFormat="1" ht="15" customHeight="1" x14ac:dyDescent="0.25">
      <c r="A26" s="669">
        <v>8</v>
      </c>
      <c r="B26" s="762" t="s">
        <v>1998</v>
      </c>
      <c r="C26" s="762"/>
      <c r="D26" s="762"/>
      <c r="E26" s="762"/>
      <c r="F26" s="762"/>
      <c r="G26" s="762"/>
      <c r="H26" s="762"/>
      <c r="I26" s="763"/>
      <c r="J26" s="666"/>
      <c r="K26" s="666"/>
      <c r="L26" s="666"/>
    </row>
    <row r="27" spans="1:12" s="670" customFormat="1" ht="15" customHeight="1" x14ac:dyDescent="0.25">
      <c r="A27" s="669"/>
      <c r="B27" s="707"/>
      <c r="C27" s="707"/>
      <c r="D27" s="707"/>
      <c r="E27" s="707"/>
      <c r="F27" s="707"/>
      <c r="G27" s="707"/>
      <c r="H27" s="707"/>
      <c r="I27" s="708"/>
      <c r="J27" s="666"/>
      <c r="K27" s="666"/>
      <c r="L27" s="666"/>
    </row>
    <row r="28" spans="1:12" ht="13" x14ac:dyDescent="0.3">
      <c r="A28" s="671" t="s">
        <v>49</v>
      </c>
      <c r="B28" s="662"/>
      <c r="C28" s="661"/>
      <c r="D28" s="661"/>
      <c r="E28" s="661"/>
      <c r="J28" s="641"/>
    </row>
    <row r="29" spans="1:12" ht="12.5" x14ac:dyDescent="0.25">
      <c r="A29" s="672">
        <v>1</v>
      </c>
      <c r="B29" s="756" t="s">
        <v>1906</v>
      </c>
      <c r="C29" s="756"/>
      <c r="D29" s="756"/>
      <c r="E29" s="756"/>
      <c r="F29" s="756"/>
      <c r="G29" s="756"/>
      <c r="H29" s="711" t="s">
        <v>1907</v>
      </c>
      <c r="J29" s="636"/>
    </row>
    <row r="30" spans="1:12" ht="14.5" x14ac:dyDescent="0.35">
      <c r="A30" s="661">
        <v>2</v>
      </c>
      <c r="B30" s="756" t="s">
        <v>1908</v>
      </c>
      <c r="C30" s="756"/>
      <c r="D30" s="756"/>
      <c r="E30" s="756"/>
      <c r="F30" s="756"/>
      <c r="G30" s="756"/>
      <c r="H30" s="712" t="s">
        <v>1751</v>
      </c>
      <c r="I30" s="674"/>
      <c r="J30" s="641"/>
    </row>
    <row r="31" spans="1:12" ht="12.5" x14ac:dyDescent="0.25">
      <c r="A31" s="672">
        <v>3</v>
      </c>
      <c r="B31" s="756" t="s">
        <v>1913</v>
      </c>
      <c r="C31" s="756"/>
      <c r="D31" s="756"/>
      <c r="E31" s="756"/>
      <c r="F31" s="756"/>
      <c r="G31" s="756"/>
      <c r="H31" s="711" t="s">
        <v>1912</v>
      </c>
      <c r="J31" s="641"/>
    </row>
    <row r="32" spans="1:12" ht="12.5" x14ac:dyDescent="0.25">
      <c r="A32" s="661">
        <v>4</v>
      </c>
      <c r="B32" s="756" t="s">
        <v>1915</v>
      </c>
      <c r="C32" s="756"/>
      <c r="D32" s="756"/>
      <c r="E32" s="756"/>
      <c r="F32" s="756"/>
      <c r="G32" s="756"/>
      <c r="H32" s="711" t="s">
        <v>1914</v>
      </c>
      <c r="J32" s="641"/>
    </row>
    <row r="33" spans="1:10" ht="12.5" x14ac:dyDescent="0.25">
      <c r="A33" s="672">
        <v>5</v>
      </c>
      <c r="B33" s="756" t="s">
        <v>1916</v>
      </c>
      <c r="C33" s="756"/>
      <c r="D33" s="756"/>
      <c r="E33" s="756"/>
      <c r="F33" s="756"/>
      <c r="G33" s="756"/>
      <c r="H33" s="711" t="s">
        <v>1917</v>
      </c>
      <c r="J33" s="641"/>
    </row>
    <row r="34" spans="1:10" ht="12.5" x14ac:dyDescent="0.25">
      <c r="A34" s="661">
        <v>6</v>
      </c>
      <c r="B34" s="756" t="s">
        <v>1982</v>
      </c>
      <c r="C34" s="756"/>
      <c r="D34" s="756"/>
      <c r="E34" s="756"/>
      <c r="F34" s="756"/>
      <c r="G34" s="756"/>
      <c r="J34" s="641"/>
    </row>
    <row r="35" spans="1:10" ht="12.5" x14ac:dyDescent="0.25">
      <c r="A35" s="672">
        <v>7</v>
      </c>
      <c r="B35" s="755" t="s">
        <v>1987</v>
      </c>
      <c r="C35" s="755"/>
      <c r="D35" s="755"/>
      <c r="E35" s="755"/>
      <c r="F35" s="755"/>
      <c r="G35" s="755"/>
      <c r="H35" s="712" t="s">
        <v>1733</v>
      </c>
      <c r="J35" s="641"/>
    </row>
    <row r="36" spans="1:10" ht="12.5" x14ac:dyDescent="0.25">
      <c r="A36" s="672">
        <v>8</v>
      </c>
      <c r="B36" s="754" t="s">
        <v>2032</v>
      </c>
      <c r="C36" s="754"/>
      <c r="D36" s="754"/>
      <c r="E36" s="754"/>
      <c r="F36" s="754"/>
      <c r="G36" s="754"/>
      <c r="H36" s="712" t="s">
        <v>2031</v>
      </c>
      <c r="J36" s="641"/>
    </row>
    <row r="37" spans="1:10" ht="12.5" x14ac:dyDescent="0.25">
      <c r="A37" s="661">
        <v>9</v>
      </c>
      <c r="B37" s="755" t="s">
        <v>1988</v>
      </c>
      <c r="C37" s="755"/>
      <c r="D37" s="755"/>
      <c r="E37" s="755"/>
      <c r="F37" s="755"/>
      <c r="G37" s="755"/>
      <c r="H37" s="712" t="s">
        <v>1813</v>
      </c>
      <c r="J37" s="641"/>
    </row>
    <row r="38" spans="1:10" ht="12.5" x14ac:dyDescent="0.25">
      <c r="A38" s="672">
        <v>10</v>
      </c>
      <c r="B38" s="755" t="s">
        <v>1988</v>
      </c>
      <c r="C38" s="755"/>
      <c r="D38" s="755"/>
      <c r="E38" s="755"/>
      <c r="F38" s="755"/>
      <c r="G38" s="755"/>
      <c r="H38" s="712" t="s">
        <v>1814</v>
      </c>
      <c r="J38" s="641"/>
    </row>
    <row r="39" spans="1:10" ht="12.5" x14ac:dyDescent="0.25">
      <c r="A39" s="672">
        <v>11</v>
      </c>
      <c r="B39" s="755" t="s">
        <v>1993</v>
      </c>
      <c r="C39" s="755"/>
      <c r="D39" s="755"/>
      <c r="E39" s="755"/>
      <c r="F39" s="755"/>
      <c r="G39" s="755"/>
      <c r="J39" s="641"/>
    </row>
    <row r="40" spans="1:10" ht="12.5" x14ac:dyDescent="0.25">
      <c r="A40" s="661">
        <v>12</v>
      </c>
      <c r="B40" s="755" t="s">
        <v>1994</v>
      </c>
      <c r="C40" s="755"/>
      <c r="D40" s="755"/>
      <c r="E40" s="755"/>
      <c r="F40" s="755"/>
      <c r="G40" s="755"/>
      <c r="H40" s="711" t="s">
        <v>1104</v>
      </c>
      <c r="J40" s="641"/>
    </row>
    <row r="41" spans="1:10" ht="12.5" x14ac:dyDescent="0.25">
      <c r="A41" s="672">
        <v>13</v>
      </c>
      <c r="B41" s="755" t="s">
        <v>1991</v>
      </c>
      <c r="C41" s="755"/>
      <c r="D41" s="755"/>
      <c r="E41" s="755"/>
      <c r="F41" s="755"/>
      <c r="G41" s="755"/>
      <c r="J41" s="641"/>
    </row>
    <row r="42" spans="1:10" ht="12.5" x14ac:dyDescent="0.25">
      <c r="A42" s="672">
        <v>14</v>
      </c>
      <c r="B42" s="755" t="s">
        <v>1992</v>
      </c>
      <c r="C42" s="755"/>
      <c r="D42" s="755"/>
      <c r="E42" s="755"/>
      <c r="F42" s="755"/>
      <c r="G42" s="755"/>
      <c r="H42" s="712" t="s">
        <v>1447</v>
      </c>
      <c r="J42" s="641"/>
    </row>
    <row r="43" spans="1:10" ht="12.5" x14ac:dyDescent="0.25">
      <c r="A43" s="661">
        <v>15</v>
      </c>
      <c r="B43" s="755" t="s">
        <v>2012</v>
      </c>
      <c r="C43" s="755"/>
      <c r="D43" s="755"/>
      <c r="E43" s="755"/>
      <c r="F43" s="755"/>
      <c r="G43" s="755"/>
      <c r="H43" s="711" t="s">
        <v>2013</v>
      </c>
      <c r="J43" s="641"/>
    </row>
    <row r="44" spans="1:10" ht="14" x14ac:dyDescent="0.25">
      <c r="A44" s="661"/>
      <c r="B44" s="673"/>
      <c r="C44" s="661"/>
      <c r="D44" s="661"/>
      <c r="E44" s="661"/>
      <c r="J44" s="641"/>
    </row>
    <row r="45" spans="1:10" ht="12.5" x14ac:dyDescent="0.25">
      <c r="A45" s="661"/>
      <c r="B45" s="662"/>
      <c r="C45" s="661"/>
      <c r="D45" s="661"/>
      <c r="E45" s="661"/>
      <c r="J45" s="641"/>
    </row>
    <row r="46" spans="1:10" ht="12.5" x14ac:dyDescent="0.25">
      <c r="A46" s="661"/>
      <c r="B46" s="662"/>
      <c r="C46" s="661"/>
      <c r="D46" s="661"/>
      <c r="E46" s="661"/>
      <c r="J46" s="641"/>
    </row>
    <row r="47" spans="1:10" ht="12.5" x14ac:dyDescent="0.25">
      <c r="A47" s="661"/>
      <c r="B47" s="662"/>
      <c r="C47" s="661"/>
      <c r="D47" s="661"/>
      <c r="E47" s="661"/>
      <c r="J47" s="641"/>
    </row>
    <row r="48" spans="1:10" ht="12.5" x14ac:dyDescent="0.25">
      <c r="A48" s="661"/>
      <c r="B48" s="662"/>
      <c r="C48" s="661"/>
      <c r="D48" s="661"/>
      <c r="E48" s="661"/>
      <c r="J48" s="641"/>
    </row>
    <row r="49" spans="1:10" ht="12.5" x14ac:dyDescent="0.25">
      <c r="A49" s="661"/>
      <c r="B49" s="662"/>
      <c r="C49" s="661"/>
      <c r="D49" s="661"/>
      <c r="E49" s="661"/>
      <c r="J49" s="641"/>
    </row>
    <row r="50" spans="1:10" ht="12.5" x14ac:dyDescent="0.25">
      <c r="A50" s="661"/>
      <c r="B50" s="662"/>
      <c r="C50" s="661"/>
      <c r="D50" s="661"/>
      <c r="E50" s="661"/>
      <c r="J50" s="641"/>
    </row>
    <row r="51" spans="1:10" ht="12.5" x14ac:dyDescent="0.25">
      <c r="A51" s="661"/>
      <c r="B51" s="662"/>
      <c r="C51" s="661"/>
      <c r="D51" s="661"/>
      <c r="E51" s="661"/>
      <c r="J51" s="641"/>
    </row>
    <row r="52" spans="1:10" ht="12.5" x14ac:dyDescent="0.25">
      <c r="A52" s="661"/>
      <c r="B52" s="662"/>
      <c r="C52" s="661"/>
      <c r="D52" s="661"/>
      <c r="E52" s="661"/>
      <c r="J52" s="641"/>
    </row>
    <row r="53" spans="1:10" ht="12.5" x14ac:dyDescent="0.25">
      <c r="A53" s="661"/>
      <c r="B53" s="662"/>
      <c r="C53" s="661"/>
      <c r="D53" s="661"/>
      <c r="E53" s="661"/>
      <c r="J53" s="641"/>
    </row>
    <row r="54" spans="1:10" ht="12.5" x14ac:dyDescent="0.25">
      <c r="A54" s="661"/>
      <c r="B54" s="662"/>
      <c r="C54" s="661"/>
      <c r="D54" s="661"/>
      <c r="E54" s="661"/>
      <c r="J54" s="641"/>
    </row>
    <row r="55" spans="1:10" ht="12.5" x14ac:dyDescent="0.25">
      <c r="A55" s="661"/>
      <c r="B55" s="662"/>
      <c r="C55" s="661"/>
      <c r="D55" s="661"/>
      <c r="E55" s="661"/>
      <c r="J55" s="641"/>
    </row>
    <row r="56" spans="1:10" ht="12.5" x14ac:dyDescent="0.25">
      <c r="A56" s="661"/>
      <c r="B56" s="662"/>
      <c r="C56" s="661"/>
      <c r="D56" s="661"/>
      <c r="E56" s="661"/>
      <c r="J56" s="641"/>
    </row>
    <row r="57" spans="1:10" ht="12.5" x14ac:dyDescent="0.25">
      <c r="A57" s="661"/>
      <c r="B57" s="662"/>
      <c r="C57" s="661"/>
      <c r="D57" s="661"/>
      <c r="E57" s="661"/>
      <c r="J57" s="641"/>
    </row>
    <row r="58" spans="1:10" ht="12.5" x14ac:dyDescent="0.25">
      <c r="A58" s="661"/>
      <c r="B58" s="662"/>
      <c r="C58" s="661"/>
      <c r="D58" s="661"/>
      <c r="E58" s="661"/>
      <c r="J58" s="641"/>
    </row>
    <row r="59" spans="1:10" ht="12.5" x14ac:dyDescent="0.25">
      <c r="A59" s="661"/>
      <c r="B59" s="662"/>
      <c r="C59" s="661"/>
      <c r="D59" s="661"/>
      <c r="E59" s="661"/>
      <c r="J59" s="641"/>
    </row>
    <row r="60" spans="1:10" ht="12.5" x14ac:dyDescent="0.25">
      <c r="A60" s="661"/>
      <c r="B60" s="662"/>
      <c r="C60" s="661"/>
      <c r="D60" s="661"/>
      <c r="E60" s="661"/>
      <c r="J60" s="641"/>
    </row>
    <row r="61" spans="1:10" ht="12.5" x14ac:dyDescent="0.25">
      <c r="A61" s="661"/>
      <c r="B61" s="662"/>
      <c r="C61" s="661"/>
      <c r="D61" s="661"/>
      <c r="E61" s="661"/>
      <c r="J61" s="641"/>
    </row>
    <row r="62" spans="1:10" ht="12.5" x14ac:dyDescent="0.25">
      <c r="A62" s="661"/>
      <c r="B62" s="662"/>
      <c r="C62" s="661"/>
      <c r="D62" s="661"/>
      <c r="E62" s="661"/>
      <c r="J62" s="641"/>
    </row>
    <row r="63" spans="1:10" ht="12.5" x14ac:dyDescent="0.25">
      <c r="A63" s="661"/>
      <c r="B63" s="662"/>
      <c r="C63" s="661"/>
      <c r="D63" s="661"/>
      <c r="E63" s="661"/>
      <c r="J63" s="641"/>
    </row>
    <row r="64" spans="1:10" ht="12.5" x14ac:dyDescent="0.25">
      <c r="A64" s="661"/>
      <c r="B64" s="662"/>
      <c r="C64" s="661"/>
      <c r="D64" s="661"/>
      <c r="E64" s="661"/>
      <c r="J64" s="641"/>
    </row>
    <row r="65" spans="1:10" ht="12.5" x14ac:dyDescent="0.25">
      <c r="A65" s="661"/>
      <c r="B65" s="662"/>
      <c r="C65" s="661"/>
      <c r="D65" s="661"/>
      <c r="E65" s="661"/>
      <c r="J65" s="641"/>
    </row>
    <row r="66" spans="1:10" ht="12.5" x14ac:dyDescent="0.25">
      <c r="A66" s="661"/>
      <c r="B66" s="662"/>
      <c r="C66" s="661"/>
      <c r="D66" s="661"/>
      <c r="E66" s="661"/>
      <c r="J66" s="641"/>
    </row>
    <row r="67" spans="1:10" ht="12.5" x14ac:dyDescent="0.25">
      <c r="A67" s="661"/>
      <c r="B67" s="662"/>
      <c r="C67" s="661"/>
      <c r="D67" s="661"/>
      <c r="E67" s="661"/>
      <c r="J67" s="641"/>
    </row>
    <row r="68" spans="1:10" ht="12.5" x14ac:dyDescent="0.25">
      <c r="A68" s="661"/>
      <c r="B68" s="662"/>
      <c r="C68" s="661"/>
      <c r="D68" s="661"/>
      <c r="E68" s="661"/>
      <c r="J68" s="641"/>
    </row>
    <row r="69" spans="1:10" ht="12.5" x14ac:dyDescent="0.25">
      <c r="A69" s="661"/>
      <c r="B69" s="662"/>
      <c r="C69" s="661"/>
      <c r="D69" s="661"/>
      <c r="E69" s="661"/>
      <c r="J69" s="641"/>
    </row>
    <row r="70" spans="1:10" ht="12.5" x14ac:dyDescent="0.25">
      <c r="A70" s="661"/>
      <c r="B70" s="662"/>
      <c r="C70" s="661"/>
      <c r="D70" s="661"/>
      <c r="E70" s="661"/>
      <c r="J70" s="641"/>
    </row>
    <row r="71" spans="1:10" ht="12.5" x14ac:dyDescent="0.25">
      <c r="A71" s="661"/>
      <c r="B71" s="662"/>
      <c r="C71" s="661"/>
      <c r="D71" s="661"/>
      <c r="E71" s="661"/>
      <c r="J71" s="641"/>
    </row>
    <row r="72" spans="1:10" ht="12.5" x14ac:dyDescent="0.25">
      <c r="A72" s="661"/>
      <c r="B72" s="662"/>
      <c r="C72" s="661"/>
      <c r="D72" s="661"/>
      <c r="E72" s="661"/>
      <c r="J72" s="641"/>
    </row>
    <row r="73" spans="1:10" ht="12.5" x14ac:dyDescent="0.25">
      <c r="A73" s="661"/>
      <c r="B73" s="662"/>
      <c r="C73" s="661"/>
      <c r="D73" s="661"/>
      <c r="E73" s="661"/>
      <c r="J73" s="641"/>
    </row>
    <row r="74" spans="1:10" ht="12.5" x14ac:dyDescent="0.25">
      <c r="A74" s="661"/>
      <c r="B74" s="662"/>
      <c r="C74" s="661"/>
      <c r="D74" s="661"/>
      <c r="E74" s="661"/>
      <c r="J74" s="641"/>
    </row>
    <row r="75" spans="1:10" ht="12.5" x14ac:dyDescent="0.25">
      <c r="A75" s="661"/>
      <c r="B75" s="662"/>
      <c r="C75" s="661"/>
      <c r="D75" s="661"/>
      <c r="E75" s="661"/>
      <c r="J75" s="641"/>
    </row>
    <row r="76" spans="1:10" ht="12.5" x14ac:dyDescent="0.25">
      <c r="A76" s="661"/>
      <c r="B76" s="662"/>
      <c r="C76" s="661"/>
      <c r="D76" s="661"/>
      <c r="E76" s="661"/>
      <c r="J76" s="641"/>
    </row>
    <row r="77" spans="1:10" ht="12.5" x14ac:dyDescent="0.25">
      <c r="A77" s="661"/>
      <c r="B77" s="662"/>
      <c r="C77" s="661"/>
      <c r="D77" s="661"/>
      <c r="E77" s="661"/>
      <c r="J77" s="641"/>
    </row>
    <row r="78" spans="1:10" ht="13" x14ac:dyDescent="0.3">
      <c r="A78" s="660"/>
      <c r="B78" s="662"/>
      <c r="C78" s="661"/>
      <c r="D78" s="661"/>
      <c r="E78" s="661"/>
      <c r="J78" s="641"/>
    </row>
    <row r="79" spans="1:10" ht="12.5" x14ac:dyDescent="0.25">
      <c r="A79" s="661"/>
      <c r="B79" s="662"/>
      <c r="C79" s="661"/>
      <c r="D79" s="661"/>
      <c r="E79" s="661"/>
      <c r="J79" s="641"/>
    </row>
    <row r="80" spans="1:10" ht="12.5" x14ac:dyDescent="0.25">
      <c r="A80" s="661"/>
      <c r="B80" s="662"/>
      <c r="C80" s="661"/>
      <c r="D80" s="661"/>
      <c r="E80" s="661"/>
      <c r="J80" s="641"/>
    </row>
    <row r="81" spans="1:10" ht="12.5" x14ac:dyDescent="0.25">
      <c r="A81" s="661"/>
      <c r="B81" s="661"/>
      <c r="C81" s="661"/>
      <c r="D81" s="661"/>
      <c r="E81" s="661"/>
      <c r="J81" s="641"/>
    </row>
    <row r="82" spans="1:10" ht="12.5" x14ac:dyDescent="0.25">
      <c r="A82" s="661"/>
      <c r="B82" s="661"/>
      <c r="C82" s="661"/>
      <c r="D82" s="661"/>
      <c r="E82" s="661"/>
      <c r="J82" s="641"/>
    </row>
    <row r="83" spans="1:10" ht="12.5" x14ac:dyDescent="0.25">
      <c r="A83" s="661"/>
      <c r="B83" s="661"/>
      <c r="C83" s="661"/>
      <c r="D83" s="661"/>
      <c r="E83" s="661"/>
      <c r="J83" s="641"/>
    </row>
    <row r="84" spans="1:10" ht="12.5" x14ac:dyDescent="0.25">
      <c r="A84" s="661"/>
      <c r="B84" s="661"/>
      <c r="C84" s="661"/>
      <c r="D84" s="661"/>
      <c r="E84" s="661"/>
      <c r="J84" s="641"/>
    </row>
    <row r="85" spans="1:10" ht="12.5" x14ac:dyDescent="0.25">
      <c r="J85" s="641"/>
    </row>
    <row r="86" spans="1:10" ht="12.5" x14ac:dyDescent="0.25">
      <c r="J86" s="641"/>
    </row>
    <row r="87" spans="1:10" ht="12.5" x14ac:dyDescent="0.25">
      <c r="J87" s="641"/>
    </row>
    <row r="88" spans="1:10" ht="12.5" x14ac:dyDescent="0.25">
      <c r="J88" s="641"/>
    </row>
    <row r="89" spans="1:10" ht="12.5" x14ac:dyDescent="0.25">
      <c r="J89" s="641"/>
    </row>
    <row r="90" spans="1:10" ht="12.5" x14ac:dyDescent="0.25">
      <c r="J90" s="641"/>
    </row>
    <row r="91" spans="1:10" ht="12.5" x14ac:dyDescent="0.25">
      <c r="J91" s="641"/>
    </row>
    <row r="92" spans="1:10" ht="12.5" x14ac:dyDescent="0.25">
      <c r="J92" s="641"/>
    </row>
    <row r="93" spans="1:10" ht="12.5" x14ac:dyDescent="0.25">
      <c r="J93" s="641"/>
    </row>
    <row r="94" spans="1:10" ht="12.5" x14ac:dyDescent="0.25">
      <c r="J94" s="641"/>
    </row>
    <row r="95" spans="1:10" ht="12.5" x14ac:dyDescent="0.25">
      <c r="J95" s="641"/>
    </row>
    <row r="96" spans="1:10" ht="12.5" x14ac:dyDescent="0.25">
      <c r="J96" s="641"/>
    </row>
    <row r="97" spans="10:10" ht="12.5" x14ac:dyDescent="0.25">
      <c r="J97" s="641"/>
    </row>
    <row r="98" spans="10:10" ht="12.5" x14ac:dyDescent="0.25">
      <c r="J98" s="641"/>
    </row>
    <row r="99" spans="10:10" ht="12.5" x14ac:dyDescent="0.25">
      <c r="J99" s="641"/>
    </row>
    <row r="100" spans="10:10" ht="12.5" x14ac:dyDescent="0.25">
      <c r="J100" s="641"/>
    </row>
    <row r="101" spans="10:10" ht="12.5" x14ac:dyDescent="0.25">
      <c r="J101" s="641"/>
    </row>
    <row r="102" spans="10:10" ht="12.5" x14ac:dyDescent="0.25">
      <c r="J102" s="641"/>
    </row>
    <row r="103" spans="10:10" ht="12.5" x14ac:dyDescent="0.25">
      <c r="J103" s="641"/>
    </row>
    <row r="104" spans="10:10" ht="12.5" x14ac:dyDescent="0.25">
      <c r="J104" s="641"/>
    </row>
    <row r="105" spans="10:10" ht="12.5" x14ac:dyDescent="0.25">
      <c r="J105" s="641"/>
    </row>
    <row r="106" spans="10:10" ht="12.5" x14ac:dyDescent="0.25">
      <c r="J106" s="641"/>
    </row>
    <row r="107" spans="10:10" ht="12.5" x14ac:dyDescent="0.25">
      <c r="J107" s="641"/>
    </row>
    <row r="108" spans="10:10" ht="12.5" x14ac:dyDescent="0.25">
      <c r="J108" s="641"/>
    </row>
    <row r="109" spans="10:10" ht="12.5" x14ac:dyDescent="0.25">
      <c r="J109" s="641"/>
    </row>
    <row r="110" spans="10:10" ht="12.5" x14ac:dyDescent="0.25">
      <c r="J110" s="641"/>
    </row>
    <row r="111" spans="10:10" ht="12.5" x14ac:dyDescent="0.25">
      <c r="J111" s="641"/>
    </row>
    <row r="112" spans="10:10" ht="12.5" x14ac:dyDescent="0.25">
      <c r="J112" s="641"/>
    </row>
    <row r="113" spans="10:10" ht="12.5" x14ac:dyDescent="0.25">
      <c r="J113" s="641"/>
    </row>
    <row r="114" spans="10:10" ht="12.5" x14ac:dyDescent="0.25">
      <c r="J114" s="641"/>
    </row>
    <row r="115" spans="10:10" ht="12.5" x14ac:dyDescent="0.25">
      <c r="J115" s="641"/>
    </row>
    <row r="116" spans="10:10" ht="12.5" x14ac:dyDescent="0.25">
      <c r="J116" s="641"/>
    </row>
    <row r="117" spans="10:10" ht="12.5" x14ac:dyDescent="0.25">
      <c r="J117" s="641"/>
    </row>
    <row r="118" spans="10:10" ht="12.5" x14ac:dyDescent="0.25">
      <c r="J118" s="641"/>
    </row>
    <row r="119" spans="10:10" ht="12.5" x14ac:dyDescent="0.25">
      <c r="J119" s="641"/>
    </row>
    <row r="120" spans="10:10" ht="12.5" x14ac:dyDescent="0.25">
      <c r="J120" s="641"/>
    </row>
    <row r="121" spans="10:10" ht="12.5" x14ac:dyDescent="0.25">
      <c r="J121" s="641"/>
    </row>
    <row r="122" spans="10:10" ht="12.5" x14ac:dyDescent="0.25">
      <c r="J122" s="641"/>
    </row>
    <row r="123" spans="10:10" ht="12.5" x14ac:dyDescent="0.25">
      <c r="J123" s="641"/>
    </row>
    <row r="124" spans="10:10" ht="12.5" x14ac:dyDescent="0.25">
      <c r="J124" s="641"/>
    </row>
    <row r="125" spans="10:10" ht="12.5" x14ac:dyDescent="0.25">
      <c r="J125" s="641"/>
    </row>
    <row r="126" spans="10:10" ht="12.5" x14ac:dyDescent="0.25">
      <c r="J126" s="641"/>
    </row>
    <row r="127" spans="10:10" ht="12.5" x14ac:dyDescent="0.25">
      <c r="J127" s="641"/>
    </row>
    <row r="128" spans="10:10" ht="12.5" x14ac:dyDescent="0.25">
      <c r="J128" s="641"/>
    </row>
    <row r="129" spans="10:10" ht="12.5" x14ac:dyDescent="0.25">
      <c r="J129" s="641"/>
    </row>
    <row r="130" spans="10:10" ht="12.5" x14ac:dyDescent="0.25">
      <c r="J130" s="641"/>
    </row>
    <row r="131" spans="10:10" ht="12.5" x14ac:dyDescent="0.25">
      <c r="J131" s="641"/>
    </row>
    <row r="132" spans="10:10" ht="12.5" x14ac:dyDescent="0.25">
      <c r="J132" s="641"/>
    </row>
    <row r="133" spans="10:10" ht="12.5" x14ac:dyDescent="0.25">
      <c r="J133" s="641"/>
    </row>
    <row r="134" spans="10:10" ht="12.5" x14ac:dyDescent="0.25">
      <c r="J134" s="641"/>
    </row>
    <row r="135" spans="10:10" ht="12.5" x14ac:dyDescent="0.25">
      <c r="J135" s="641"/>
    </row>
    <row r="136" spans="10:10" ht="12.5" x14ac:dyDescent="0.25">
      <c r="J136" s="641"/>
    </row>
    <row r="137" spans="10:10" ht="12.5" x14ac:dyDescent="0.25">
      <c r="J137" s="641"/>
    </row>
    <row r="138" spans="10:10" ht="12.5" x14ac:dyDescent="0.25">
      <c r="J138" s="641"/>
    </row>
    <row r="139" spans="10:10" ht="12.5" x14ac:dyDescent="0.25">
      <c r="J139" s="641"/>
    </row>
    <row r="140" spans="10:10" ht="12.5" x14ac:dyDescent="0.25">
      <c r="J140" s="641"/>
    </row>
    <row r="141" spans="10:10" ht="12.5" x14ac:dyDescent="0.25">
      <c r="J141" s="641"/>
    </row>
    <row r="142" spans="10:10" ht="12.5" x14ac:dyDescent="0.25">
      <c r="J142" s="641"/>
    </row>
    <row r="143" spans="10:10" ht="12.5" x14ac:dyDescent="0.25">
      <c r="J143" s="641"/>
    </row>
    <row r="144" spans="10:10" ht="12.5" x14ac:dyDescent="0.25">
      <c r="J144" s="641"/>
    </row>
    <row r="145" spans="10:10" ht="12.5" x14ac:dyDescent="0.25">
      <c r="J145" s="641"/>
    </row>
    <row r="146" spans="10:10" ht="12.5" x14ac:dyDescent="0.25">
      <c r="J146" s="641"/>
    </row>
    <row r="147" spans="10:10" ht="12.5" x14ac:dyDescent="0.25">
      <c r="J147" s="641"/>
    </row>
    <row r="148" spans="10:10" ht="12.5" x14ac:dyDescent="0.25">
      <c r="J148" s="641"/>
    </row>
    <row r="149" spans="10:10" ht="12.5" x14ac:dyDescent="0.25">
      <c r="J149" s="641"/>
    </row>
    <row r="150" spans="10:10" ht="12.5" x14ac:dyDescent="0.25">
      <c r="J150" s="641"/>
    </row>
    <row r="151" spans="10:10" ht="12.5" x14ac:dyDescent="0.25">
      <c r="J151" s="641"/>
    </row>
    <row r="152" spans="10:10" ht="12.5" x14ac:dyDescent="0.25">
      <c r="J152" s="641"/>
    </row>
    <row r="153" spans="10:10" ht="12.5" x14ac:dyDescent="0.25">
      <c r="J153" s="641"/>
    </row>
    <row r="154" spans="10:10" ht="12.5" x14ac:dyDescent="0.25">
      <c r="J154" s="641"/>
    </row>
    <row r="155" spans="10:10" ht="12.5" x14ac:dyDescent="0.25">
      <c r="J155" s="641"/>
    </row>
    <row r="156" spans="10:10" ht="12.5" x14ac:dyDescent="0.25">
      <c r="J156" s="641"/>
    </row>
    <row r="157" spans="10:10" ht="12.5" x14ac:dyDescent="0.25">
      <c r="J157" s="641"/>
    </row>
    <row r="158" spans="10:10" ht="12.5" x14ac:dyDescent="0.25">
      <c r="J158" s="641"/>
    </row>
    <row r="159" spans="10:10" ht="12.5" x14ac:dyDescent="0.25">
      <c r="J159" s="641"/>
    </row>
    <row r="160" spans="10:10" ht="12.5" x14ac:dyDescent="0.25">
      <c r="J160" s="641"/>
    </row>
    <row r="161" spans="10:10" ht="12.5" x14ac:dyDescent="0.25">
      <c r="J161" s="641"/>
    </row>
    <row r="162" spans="10:10" ht="12.5" x14ac:dyDescent="0.25">
      <c r="J162" s="641"/>
    </row>
    <row r="163" spans="10:10" ht="12.5" x14ac:dyDescent="0.25">
      <c r="J163" s="641"/>
    </row>
    <row r="164" spans="10:10" ht="12.5" x14ac:dyDescent="0.25">
      <c r="J164" s="641"/>
    </row>
    <row r="165" spans="10:10" ht="12.5" x14ac:dyDescent="0.25">
      <c r="J165" s="641"/>
    </row>
    <row r="166" spans="10:10" ht="12.5" x14ac:dyDescent="0.25">
      <c r="J166" s="641"/>
    </row>
    <row r="167" spans="10:10" ht="12.5" x14ac:dyDescent="0.25">
      <c r="J167" s="641"/>
    </row>
    <row r="168" spans="10:10" ht="12.5" x14ac:dyDescent="0.25">
      <c r="J168" s="641"/>
    </row>
    <row r="169" spans="10:10" ht="12.5" x14ac:dyDescent="0.25">
      <c r="J169" s="641"/>
    </row>
    <row r="170" spans="10:10" ht="12.5" x14ac:dyDescent="0.25">
      <c r="J170" s="641"/>
    </row>
    <row r="171" spans="10:10" ht="12.5" x14ac:dyDescent="0.25">
      <c r="J171" s="641"/>
    </row>
    <row r="172" spans="10:10" ht="12.5" x14ac:dyDescent="0.25">
      <c r="J172" s="641"/>
    </row>
    <row r="173" spans="10:10" ht="12.5" x14ac:dyDescent="0.25">
      <c r="J173" s="641"/>
    </row>
    <row r="174" spans="10:10" ht="12.5" x14ac:dyDescent="0.25">
      <c r="J174" s="641"/>
    </row>
    <row r="175" spans="10:10" ht="12.5" x14ac:dyDescent="0.25">
      <c r="J175" s="641"/>
    </row>
    <row r="176" spans="10:10" ht="12.5" x14ac:dyDescent="0.25">
      <c r="J176" s="641"/>
    </row>
    <row r="177" spans="10:10" ht="12.5" x14ac:dyDescent="0.25">
      <c r="J177" s="641"/>
    </row>
    <row r="178" spans="10:10" ht="12.5" x14ac:dyDescent="0.25">
      <c r="J178" s="641"/>
    </row>
    <row r="179" spans="10:10" ht="12.5" x14ac:dyDescent="0.25">
      <c r="J179" s="641"/>
    </row>
    <row r="180" spans="10:10" ht="12.5" x14ac:dyDescent="0.25">
      <c r="J180" s="641"/>
    </row>
    <row r="181" spans="10:10" ht="12.5" x14ac:dyDescent="0.25">
      <c r="J181" s="641"/>
    </row>
    <row r="182" spans="10:10" ht="12.5" x14ac:dyDescent="0.25">
      <c r="J182" s="641"/>
    </row>
    <row r="183" spans="10:10" ht="12.5" x14ac:dyDescent="0.25">
      <c r="J183" s="641"/>
    </row>
    <row r="184" spans="10:10" ht="12.5" x14ac:dyDescent="0.25">
      <c r="J184" s="641"/>
    </row>
    <row r="185" spans="10:10" ht="12.5" x14ac:dyDescent="0.25">
      <c r="J185" s="641"/>
    </row>
    <row r="186" spans="10:10" ht="12.5" x14ac:dyDescent="0.25">
      <c r="J186" s="641"/>
    </row>
    <row r="187" spans="10:10" ht="12.5" x14ac:dyDescent="0.25">
      <c r="J187" s="641"/>
    </row>
    <row r="188" spans="10:10" ht="12.5" x14ac:dyDescent="0.25">
      <c r="J188" s="641"/>
    </row>
    <row r="189" spans="10:10" ht="12.5" x14ac:dyDescent="0.25">
      <c r="J189" s="641"/>
    </row>
    <row r="190" spans="10:10" ht="12.5" x14ac:dyDescent="0.25">
      <c r="J190" s="641"/>
    </row>
    <row r="191" spans="10:10" ht="12.5" x14ac:dyDescent="0.25">
      <c r="J191" s="641"/>
    </row>
    <row r="192" spans="10:10" ht="12.5" x14ac:dyDescent="0.25">
      <c r="J192" s="641"/>
    </row>
    <row r="193" spans="10:10" ht="12.5" x14ac:dyDescent="0.25">
      <c r="J193" s="641"/>
    </row>
    <row r="194" spans="10:10" ht="12.5" x14ac:dyDescent="0.25">
      <c r="J194" s="641"/>
    </row>
    <row r="195" spans="10:10" ht="12.5" x14ac:dyDescent="0.25">
      <c r="J195" s="641"/>
    </row>
    <row r="196" spans="10:10" ht="12.5" x14ac:dyDescent="0.25">
      <c r="J196" s="641"/>
    </row>
    <row r="197" spans="10:10" ht="12.5" x14ac:dyDescent="0.25">
      <c r="J197" s="641"/>
    </row>
    <row r="198" spans="10:10" ht="12.5" x14ac:dyDescent="0.25">
      <c r="J198" s="641"/>
    </row>
    <row r="199" spans="10:10" ht="12.5" x14ac:dyDescent="0.25">
      <c r="J199" s="641"/>
    </row>
    <row r="200" spans="10:10" ht="12.5" x14ac:dyDescent="0.25">
      <c r="J200" s="641"/>
    </row>
    <row r="201" spans="10:10" ht="12.5" x14ac:dyDescent="0.25">
      <c r="J201" s="641"/>
    </row>
    <row r="202" spans="10:10" ht="12.5" x14ac:dyDescent="0.25">
      <c r="J202" s="641"/>
    </row>
    <row r="203" spans="10:10" ht="12.5" x14ac:dyDescent="0.25">
      <c r="J203" s="641"/>
    </row>
    <row r="204" spans="10:10" ht="12.5" x14ac:dyDescent="0.25">
      <c r="J204" s="641"/>
    </row>
    <row r="205" spans="10:10" ht="12.5" x14ac:dyDescent="0.25">
      <c r="J205" s="641"/>
    </row>
    <row r="206" spans="10:10" ht="12.5" x14ac:dyDescent="0.25">
      <c r="J206" s="641"/>
    </row>
    <row r="207" spans="10:10" ht="12.5" x14ac:dyDescent="0.25">
      <c r="J207" s="641"/>
    </row>
    <row r="208" spans="10:10" ht="12.5" x14ac:dyDescent="0.25">
      <c r="J208" s="641"/>
    </row>
    <row r="209" spans="10:10" ht="12.5" x14ac:dyDescent="0.25">
      <c r="J209" s="641"/>
    </row>
    <row r="210" spans="10:10" ht="12.5" x14ac:dyDescent="0.25">
      <c r="J210" s="641"/>
    </row>
    <row r="211" spans="10:10" ht="12.5" x14ac:dyDescent="0.25">
      <c r="J211" s="641"/>
    </row>
    <row r="212" spans="10:10" ht="12.5" x14ac:dyDescent="0.25">
      <c r="J212" s="641"/>
    </row>
    <row r="213" spans="10:10" ht="12.5" x14ac:dyDescent="0.25">
      <c r="J213" s="641"/>
    </row>
    <row r="214" spans="10:10" ht="12.5" x14ac:dyDescent="0.25">
      <c r="J214" s="641"/>
    </row>
    <row r="215" spans="10:10" ht="12.5" x14ac:dyDescent="0.25">
      <c r="J215" s="641"/>
    </row>
    <row r="216" spans="10:10" ht="12.5" x14ac:dyDescent="0.25">
      <c r="J216" s="641"/>
    </row>
    <row r="217" spans="10:10" ht="12.5" x14ac:dyDescent="0.25">
      <c r="J217" s="641"/>
    </row>
    <row r="218" spans="10:10" ht="12.5" x14ac:dyDescent="0.25">
      <c r="J218" s="641"/>
    </row>
    <row r="219" spans="10:10" ht="12.5" x14ac:dyDescent="0.25">
      <c r="J219" s="641"/>
    </row>
    <row r="220" spans="10:10" ht="12.5" x14ac:dyDescent="0.25">
      <c r="J220" s="641"/>
    </row>
    <row r="221" spans="10:10" ht="12.5" x14ac:dyDescent="0.25">
      <c r="J221" s="641"/>
    </row>
    <row r="222" spans="10:10" ht="12.5" x14ac:dyDescent="0.25">
      <c r="J222" s="641"/>
    </row>
    <row r="223" spans="10:10" ht="12.5" x14ac:dyDescent="0.25">
      <c r="J223" s="641"/>
    </row>
    <row r="224" spans="10:10" ht="12.5" x14ac:dyDescent="0.25">
      <c r="J224" s="641"/>
    </row>
    <row r="225" spans="10:10" ht="12.5" x14ac:dyDescent="0.25">
      <c r="J225" s="641"/>
    </row>
    <row r="226" spans="10:10" ht="12.5" x14ac:dyDescent="0.25">
      <c r="J226" s="641"/>
    </row>
    <row r="227" spans="10:10" ht="12.5" x14ac:dyDescent="0.25">
      <c r="J227" s="641"/>
    </row>
    <row r="228" spans="10:10" ht="12.5" x14ac:dyDescent="0.25">
      <c r="J228" s="641"/>
    </row>
    <row r="229" spans="10:10" ht="12.5" x14ac:dyDescent="0.25">
      <c r="J229" s="641"/>
    </row>
    <row r="230" spans="10:10" ht="12.5" x14ac:dyDescent="0.25">
      <c r="J230" s="641"/>
    </row>
    <row r="231" spans="10:10" ht="12.5" x14ac:dyDescent="0.25">
      <c r="J231" s="641"/>
    </row>
    <row r="232" spans="10:10" ht="12.5" x14ac:dyDescent="0.25">
      <c r="J232" s="641"/>
    </row>
    <row r="233" spans="10:10" ht="12.5" x14ac:dyDescent="0.25">
      <c r="J233" s="641"/>
    </row>
    <row r="234" spans="10:10" ht="12.5" x14ac:dyDescent="0.25">
      <c r="J234" s="641"/>
    </row>
    <row r="235" spans="10:10" ht="12.5" x14ac:dyDescent="0.25">
      <c r="J235" s="641"/>
    </row>
    <row r="236" spans="10:10" ht="12.5" x14ac:dyDescent="0.25">
      <c r="J236" s="641"/>
    </row>
    <row r="237" spans="10:10" ht="12.5" x14ac:dyDescent="0.25">
      <c r="J237" s="641"/>
    </row>
    <row r="238" spans="10:10" ht="12.5" x14ac:dyDescent="0.25">
      <c r="J238" s="641"/>
    </row>
    <row r="239" spans="10:10" ht="12.5" x14ac:dyDescent="0.25">
      <c r="J239" s="641"/>
    </row>
    <row r="240" spans="10:10" ht="12.5" x14ac:dyDescent="0.25">
      <c r="J240" s="641"/>
    </row>
    <row r="241" spans="10:10" ht="12.5" x14ac:dyDescent="0.25">
      <c r="J241" s="641"/>
    </row>
    <row r="242" spans="10:10" ht="12.5" x14ac:dyDescent="0.25">
      <c r="J242" s="641"/>
    </row>
    <row r="243" spans="10:10" ht="12.5" x14ac:dyDescent="0.25">
      <c r="J243" s="641"/>
    </row>
    <row r="244" spans="10:10" ht="12.5" x14ac:dyDescent="0.25">
      <c r="J244" s="641"/>
    </row>
    <row r="245" spans="10:10" ht="12.5" x14ac:dyDescent="0.25">
      <c r="J245" s="641"/>
    </row>
    <row r="246" spans="10:10" ht="12.5" x14ac:dyDescent="0.25">
      <c r="J246" s="641"/>
    </row>
    <row r="247" spans="10:10" ht="12.5" x14ac:dyDescent="0.25">
      <c r="J247" s="641"/>
    </row>
    <row r="248" spans="10:10" ht="12.5" x14ac:dyDescent="0.25">
      <c r="J248" s="641"/>
    </row>
    <row r="249" spans="10:10" ht="12.5" x14ac:dyDescent="0.25">
      <c r="J249" s="641"/>
    </row>
    <row r="250" spans="10:10" ht="12.5" x14ac:dyDescent="0.25">
      <c r="J250" s="641"/>
    </row>
    <row r="251" spans="10:10" ht="12.5" x14ac:dyDescent="0.25">
      <c r="J251" s="641"/>
    </row>
    <row r="252" spans="10:10" ht="12.5" x14ac:dyDescent="0.25">
      <c r="J252" s="641"/>
    </row>
    <row r="253" spans="10:10" ht="12.5" x14ac:dyDescent="0.25">
      <c r="J253" s="641"/>
    </row>
    <row r="254" spans="10:10" ht="12.5" x14ac:dyDescent="0.25">
      <c r="J254" s="641"/>
    </row>
    <row r="255" spans="10:10" ht="12.5" x14ac:dyDescent="0.25">
      <c r="J255" s="641"/>
    </row>
    <row r="256" spans="10:10" ht="12.5" x14ac:dyDescent="0.25">
      <c r="J256" s="641"/>
    </row>
    <row r="257" spans="10:10" ht="12.5" x14ac:dyDescent="0.25">
      <c r="J257" s="641"/>
    </row>
    <row r="258" spans="10:10" ht="12.5" x14ac:dyDescent="0.25">
      <c r="J258" s="641"/>
    </row>
    <row r="259" spans="10:10" ht="12.5" x14ac:dyDescent="0.25">
      <c r="J259" s="641"/>
    </row>
    <row r="260" spans="10:10" ht="12.5" x14ac:dyDescent="0.25">
      <c r="J260" s="641"/>
    </row>
    <row r="261" spans="10:10" ht="12.5" x14ac:dyDescent="0.25">
      <c r="J261" s="641"/>
    </row>
    <row r="262" spans="10:10" ht="12.5" x14ac:dyDescent="0.25">
      <c r="J262" s="641"/>
    </row>
    <row r="263" spans="10:10" ht="12.5" x14ac:dyDescent="0.25">
      <c r="J263" s="641"/>
    </row>
    <row r="264" spans="10:10" ht="12.5" x14ac:dyDescent="0.25">
      <c r="J264" s="641"/>
    </row>
    <row r="265" spans="10:10" ht="12.5" x14ac:dyDescent="0.25">
      <c r="J265" s="641"/>
    </row>
    <row r="266" spans="10:10" ht="12.5" x14ac:dyDescent="0.25">
      <c r="J266" s="641"/>
    </row>
    <row r="267" spans="10:10" ht="12.5" x14ac:dyDescent="0.25">
      <c r="J267" s="641"/>
    </row>
    <row r="268" spans="10:10" ht="12.5" x14ac:dyDescent="0.25">
      <c r="J268" s="641"/>
    </row>
    <row r="269" spans="10:10" ht="12.5" x14ac:dyDescent="0.25">
      <c r="J269" s="641"/>
    </row>
    <row r="270" spans="10:10" ht="12.5" x14ac:dyDescent="0.25">
      <c r="J270" s="641"/>
    </row>
    <row r="271" spans="10:10" ht="12.5" x14ac:dyDescent="0.25">
      <c r="J271" s="641"/>
    </row>
    <row r="272" spans="10:10" ht="12.5" x14ac:dyDescent="0.25">
      <c r="J272" s="641"/>
    </row>
    <row r="273" spans="10:10" ht="12.5" x14ac:dyDescent="0.25">
      <c r="J273" s="641"/>
    </row>
    <row r="274" spans="10:10" ht="12.5" x14ac:dyDescent="0.25">
      <c r="J274" s="641"/>
    </row>
    <row r="275" spans="10:10" ht="12.5" x14ac:dyDescent="0.25">
      <c r="J275" s="641"/>
    </row>
    <row r="276" spans="10:10" ht="12.5" x14ac:dyDescent="0.25">
      <c r="J276" s="641"/>
    </row>
    <row r="277" spans="10:10" ht="12.5" x14ac:dyDescent="0.25">
      <c r="J277" s="641"/>
    </row>
    <row r="278" spans="10:10" ht="12.5" x14ac:dyDescent="0.25">
      <c r="J278" s="641"/>
    </row>
    <row r="279" spans="10:10" ht="12.5" x14ac:dyDescent="0.25">
      <c r="J279" s="641"/>
    </row>
    <row r="280" spans="10:10" ht="12.5" x14ac:dyDescent="0.25">
      <c r="J280" s="641"/>
    </row>
    <row r="281" spans="10:10" ht="12.5" x14ac:dyDescent="0.25">
      <c r="J281" s="641"/>
    </row>
    <row r="282" spans="10:10" ht="12.5" x14ac:dyDescent="0.25">
      <c r="J282" s="641"/>
    </row>
    <row r="283" spans="10:10" ht="12.5" x14ac:dyDescent="0.25">
      <c r="J283" s="641"/>
    </row>
    <row r="284" spans="10:10" ht="12.5" x14ac:dyDescent="0.25">
      <c r="J284" s="641"/>
    </row>
    <row r="285" spans="10:10" ht="12.5" x14ac:dyDescent="0.25">
      <c r="J285" s="641"/>
    </row>
    <row r="286" spans="10:10" ht="12.5" x14ac:dyDescent="0.25">
      <c r="J286" s="641"/>
    </row>
    <row r="287" spans="10:10" ht="12.5" x14ac:dyDescent="0.25">
      <c r="J287" s="641"/>
    </row>
    <row r="288" spans="10:10" ht="12.5" x14ac:dyDescent="0.25">
      <c r="J288" s="641"/>
    </row>
    <row r="289" spans="10:10" ht="12.5" x14ac:dyDescent="0.25">
      <c r="J289" s="641"/>
    </row>
    <row r="290" spans="10:10" ht="12.5" x14ac:dyDescent="0.25">
      <c r="J290" s="641"/>
    </row>
    <row r="291" spans="10:10" ht="12.5" x14ac:dyDescent="0.25">
      <c r="J291" s="641"/>
    </row>
    <row r="292" spans="10:10" ht="12.5" x14ac:dyDescent="0.25">
      <c r="J292" s="641"/>
    </row>
    <row r="293" spans="10:10" ht="12.5" x14ac:dyDescent="0.25">
      <c r="J293" s="641"/>
    </row>
    <row r="294" spans="10:10" ht="12.5" x14ac:dyDescent="0.25">
      <c r="J294" s="641"/>
    </row>
    <row r="295" spans="10:10" ht="12.5" x14ac:dyDescent="0.25">
      <c r="J295" s="641"/>
    </row>
    <row r="296" spans="10:10" ht="12.5" x14ac:dyDescent="0.25">
      <c r="J296" s="641"/>
    </row>
    <row r="297" spans="10:10" ht="12.5" x14ac:dyDescent="0.25">
      <c r="J297" s="641"/>
    </row>
    <row r="298" spans="10:10" ht="12.5" x14ac:dyDescent="0.25">
      <c r="J298" s="641"/>
    </row>
    <row r="299" spans="10:10" ht="12.5" x14ac:dyDescent="0.25">
      <c r="J299" s="641"/>
    </row>
    <row r="300" spans="10:10" ht="12.5" x14ac:dyDescent="0.25">
      <c r="J300" s="641"/>
    </row>
    <row r="301" spans="10:10" ht="12.5" x14ac:dyDescent="0.25">
      <c r="J301" s="641"/>
    </row>
    <row r="302" spans="10:10" ht="12.5" x14ac:dyDescent="0.25">
      <c r="J302" s="641"/>
    </row>
    <row r="303" spans="10:10" ht="12.5" x14ac:dyDescent="0.25">
      <c r="J303" s="641"/>
    </row>
    <row r="304" spans="10:10" ht="12.5" x14ac:dyDescent="0.25">
      <c r="J304" s="641"/>
    </row>
    <row r="305" spans="10:10" ht="12.5" x14ac:dyDescent="0.25">
      <c r="J305" s="641"/>
    </row>
    <row r="306" spans="10:10" ht="12.5" x14ac:dyDescent="0.25">
      <c r="J306" s="641"/>
    </row>
    <row r="307" spans="10:10" ht="12.5" x14ac:dyDescent="0.25">
      <c r="J307" s="641"/>
    </row>
    <row r="308" spans="10:10" ht="12.5" x14ac:dyDescent="0.25">
      <c r="J308" s="641"/>
    </row>
    <row r="309" spans="10:10" ht="12.5" x14ac:dyDescent="0.25">
      <c r="J309" s="641"/>
    </row>
    <row r="310" spans="10:10" ht="12.5" x14ac:dyDescent="0.25">
      <c r="J310" s="641"/>
    </row>
    <row r="311" spans="10:10" ht="12.5" x14ac:dyDescent="0.25">
      <c r="J311" s="641"/>
    </row>
    <row r="312" spans="10:10" ht="12.5" x14ac:dyDescent="0.25">
      <c r="J312" s="641"/>
    </row>
    <row r="313" spans="10:10" ht="12.5" x14ac:dyDescent="0.25">
      <c r="J313" s="641"/>
    </row>
    <row r="314" spans="10:10" ht="12.5" x14ac:dyDescent="0.25">
      <c r="J314" s="641"/>
    </row>
    <row r="315" spans="10:10" ht="12.5" x14ac:dyDescent="0.25">
      <c r="J315" s="641"/>
    </row>
    <row r="316" spans="10:10" ht="12.5" x14ac:dyDescent="0.25">
      <c r="J316" s="641"/>
    </row>
    <row r="317" spans="10:10" ht="12.5" x14ac:dyDescent="0.25">
      <c r="J317" s="641"/>
    </row>
    <row r="318" spans="10:10" ht="12.5" x14ac:dyDescent="0.25">
      <c r="J318" s="641"/>
    </row>
    <row r="319" spans="10:10" ht="12.5" x14ac:dyDescent="0.25">
      <c r="J319" s="641"/>
    </row>
    <row r="320" spans="10:10" ht="12.5" x14ac:dyDescent="0.25">
      <c r="J320" s="641"/>
    </row>
    <row r="321" spans="10:10" ht="12.5" x14ac:dyDescent="0.25">
      <c r="J321" s="641"/>
    </row>
    <row r="322" spans="10:10" ht="12.5" x14ac:dyDescent="0.25">
      <c r="J322" s="641"/>
    </row>
    <row r="323" spans="10:10" ht="12.5" x14ac:dyDescent="0.25">
      <c r="J323" s="641"/>
    </row>
    <row r="324" spans="10:10" ht="12.5" x14ac:dyDescent="0.25">
      <c r="J324" s="641"/>
    </row>
    <row r="325" spans="10:10" ht="12.5" x14ac:dyDescent="0.25">
      <c r="J325" s="641"/>
    </row>
    <row r="326" spans="10:10" ht="12.5" x14ac:dyDescent="0.25">
      <c r="J326" s="641"/>
    </row>
    <row r="327" spans="10:10" ht="12.5" x14ac:dyDescent="0.25">
      <c r="J327" s="641"/>
    </row>
    <row r="328" spans="10:10" ht="12.5" x14ac:dyDescent="0.25">
      <c r="J328" s="641"/>
    </row>
    <row r="329" spans="10:10" ht="12.5" x14ac:dyDescent="0.25">
      <c r="J329" s="641"/>
    </row>
    <row r="330" spans="10:10" ht="12.5" x14ac:dyDescent="0.25">
      <c r="J330" s="641"/>
    </row>
    <row r="331" spans="10:10" ht="12.5" x14ac:dyDescent="0.25">
      <c r="J331" s="641"/>
    </row>
    <row r="332" spans="10:10" ht="12.5" x14ac:dyDescent="0.25">
      <c r="J332" s="641"/>
    </row>
    <row r="333" spans="10:10" ht="12.5" x14ac:dyDescent="0.25">
      <c r="J333" s="641"/>
    </row>
    <row r="334" spans="10:10" ht="12.5" x14ac:dyDescent="0.25">
      <c r="J334" s="641"/>
    </row>
    <row r="335" spans="10:10" ht="12.5" x14ac:dyDescent="0.25">
      <c r="J335" s="641"/>
    </row>
    <row r="336" spans="10:10" ht="12.5" x14ac:dyDescent="0.25">
      <c r="J336" s="641"/>
    </row>
    <row r="337" spans="10:10" ht="12.5" x14ac:dyDescent="0.25">
      <c r="J337" s="641"/>
    </row>
    <row r="338" spans="10:10" ht="12.5" x14ac:dyDescent="0.25">
      <c r="J338" s="641"/>
    </row>
    <row r="339" spans="10:10" ht="12.5" x14ac:dyDescent="0.25">
      <c r="J339" s="641"/>
    </row>
    <row r="340" spans="10:10" ht="12.5" x14ac:dyDescent="0.25">
      <c r="J340" s="641"/>
    </row>
    <row r="341" spans="10:10" ht="12.5" x14ac:dyDescent="0.25">
      <c r="J341" s="641"/>
    </row>
    <row r="342" spans="10:10" ht="12.5" x14ac:dyDescent="0.25">
      <c r="J342" s="641"/>
    </row>
    <row r="343" spans="10:10" ht="12.5" x14ac:dyDescent="0.25">
      <c r="J343" s="641"/>
    </row>
    <row r="344" spans="10:10" ht="12.5" x14ac:dyDescent="0.25">
      <c r="J344" s="641"/>
    </row>
    <row r="345" spans="10:10" ht="12.5" x14ac:dyDescent="0.25">
      <c r="J345" s="641"/>
    </row>
    <row r="346" spans="10:10" ht="12.5" x14ac:dyDescent="0.25">
      <c r="J346" s="641"/>
    </row>
    <row r="347" spans="10:10" ht="12.5" x14ac:dyDescent="0.25">
      <c r="J347" s="641"/>
    </row>
    <row r="348" spans="10:10" ht="12.5" x14ac:dyDescent="0.25">
      <c r="J348" s="641"/>
    </row>
    <row r="349" spans="10:10" ht="12.5" x14ac:dyDescent="0.25">
      <c r="J349" s="641"/>
    </row>
    <row r="350" spans="10:10" ht="12.5" x14ac:dyDescent="0.25">
      <c r="J350" s="641"/>
    </row>
    <row r="351" spans="10:10" ht="12.5" x14ac:dyDescent="0.25">
      <c r="J351" s="641"/>
    </row>
    <row r="352" spans="10:10" ht="12.5" x14ac:dyDescent="0.25">
      <c r="J352" s="641"/>
    </row>
    <row r="353" spans="10:10" ht="12.5" x14ac:dyDescent="0.25">
      <c r="J353" s="641"/>
    </row>
    <row r="354" spans="10:10" ht="12.5" x14ac:dyDescent="0.25">
      <c r="J354" s="641"/>
    </row>
    <row r="355" spans="10:10" ht="12.5" x14ac:dyDescent="0.25">
      <c r="J355" s="641"/>
    </row>
    <row r="356" spans="10:10" ht="12.5" x14ac:dyDescent="0.25">
      <c r="J356" s="641"/>
    </row>
    <row r="357" spans="10:10" ht="12.5" x14ac:dyDescent="0.25">
      <c r="J357" s="641"/>
    </row>
    <row r="358" spans="10:10" ht="12.5" x14ac:dyDescent="0.25">
      <c r="J358" s="641"/>
    </row>
    <row r="359" spans="10:10" ht="12.5" x14ac:dyDescent="0.25">
      <c r="J359" s="641"/>
    </row>
    <row r="360" spans="10:10" ht="12.5" x14ac:dyDescent="0.25">
      <c r="J360" s="641"/>
    </row>
    <row r="361" spans="10:10" ht="12.5" x14ac:dyDescent="0.25">
      <c r="J361" s="641"/>
    </row>
    <row r="362" spans="10:10" ht="12.5" x14ac:dyDescent="0.25">
      <c r="J362" s="641"/>
    </row>
    <row r="363" spans="10:10" ht="12.5" x14ac:dyDescent="0.25">
      <c r="J363" s="641"/>
    </row>
    <row r="364" spans="10:10" ht="12.5" x14ac:dyDescent="0.25">
      <c r="J364" s="641"/>
    </row>
    <row r="365" spans="10:10" ht="12.5" x14ac:dyDescent="0.25">
      <c r="J365" s="641"/>
    </row>
    <row r="366" spans="10:10" ht="12.5" x14ac:dyDescent="0.25">
      <c r="J366" s="641"/>
    </row>
    <row r="367" spans="10:10" ht="12.5" x14ac:dyDescent="0.25">
      <c r="J367" s="641"/>
    </row>
    <row r="368" spans="10:10" ht="12.5" x14ac:dyDescent="0.25">
      <c r="J368" s="641"/>
    </row>
    <row r="369" spans="10:10" ht="12.5" x14ac:dyDescent="0.25">
      <c r="J369" s="641"/>
    </row>
    <row r="370" spans="10:10" ht="12.5" x14ac:dyDescent="0.25">
      <c r="J370" s="641"/>
    </row>
    <row r="371" spans="10:10" ht="12.5" x14ac:dyDescent="0.25">
      <c r="J371" s="641"/>
    </row>
    <row r="372" spans="10:10" ht="12.5" x14ac:dyDescent="0.25">
      <c r="J372" s="641"/>
    </row>
    <row r="373" spans="10:10" ht="12.5" x14ac:dyDescent="0.25">
      <c r="J373" s="641"/>
    </row>
    <row r="374" spans="10:10" ht="12.5" x14ac:dyDescent="0.25">
      <c r="J374" s="641"/>
    </row>
    <row r="375" spans="10:10" ht="12.5" x14ac:dyDescent="0.25">
      <c r="J375" s="641"/>
    </row>
    <row r="376" spans="10:10" ht="12.5" x14ac:dyDescent="0.25">
      <c r="J376" s="641"/>
    </row>
    <row r="377" spans="10:10" ht="12.5" x14ac:dyDescent="0.25">
      <c r="J377" s="641"/>
    </row>
    <row r="378" spans="10:10" ht="12.5" x14ac:dyDescent="0.25">
      <c r="J378" s="641"/>
    </row>
    <row r="379" spans="10:10" ht="12.5" x14ac:dyDescent="0.25">
      <c r="J379" s="641"/>
    </row>
    <row r="380" spans="10:10" ht="12.5" x14ac:dyDescent="0.25">
      <c r="J380" s="641"/>
    </row>
    <row r="381" spans="10:10" ht="12.5" x14ac:dyDescent="0.25">
      <c r="J381" s="641"/>
    </row>
    <row r="382" spans="10:10" ht="12.5" x14ac:dyDescent="0.25">
      <c r="J382" s="641"/>
    </row>
    <row r="383" spans="10:10" ht="12.5" x14ac:dyDescent="0.25">
      <c r="J383" s="641"/>
    </row>
    <row r="384" spans="10:10" ht="12.5" x14ac:dyDescent="0.25">
      <c r="J384" s="641"/>
    </row>
    <row r="385" spans="10:10" ht="12.5" x14ac:dyDescent="0.25">
      <c r="J385" s="641"/>
    </row>
    <row r="386" spans="10:10" ht="12.5" x14ac:dyDescent="0.25">
      <c r="J386" s="641"/>
    </row>
    <row r="387" spans="10:10" ht="12.5" x14ac:dyDescent="0.25">
      <c r="J387" s="641"/>
    </row>
    <row r="388" spans="10:10" ht="12.5" x14ac:dyDescent="0.25">
      <c r="J388" s="641"/>
    </row>
    <row r="389" spans="10:10" ht="12.5" x14ac:dyDescent="0.25">
      <c r="J389" s="641"/>
    </row>
    <row r="390" spans="10:10" ht="12.5" x14ac:dyDescent="0.25">
      <c r="J390" s="641"/>
    </row>
    <row r="391" spans="10:10" ht="12.5" x14ac:dyDescent="0.25">
      <c r="J391" s="641"/>
    </row>
    <row r="392" spans="10:10" ht="12.5" x14ac:dyDescent="0.25">
      <c r="J392" s="641"/>
    </row>
    <row r="393" spans="10:10" ht="12.5" x14ac:dyDescent="0.25">
      <c r="J393" s="641"/>
    </row>
    <row r="394" spans="10:10" ht="12.5" x14ac:dyDescent="0.25">
      <c r="J394" s="641"/>
    </row>
    <row r="395" spans="10:10" ht="12.5" x14ac:dyDescent="0.25">
      <c r="J395" s="641"/>
    </row>
    <row r="396" spans="10:10" ht="12.5" x14ac:dyDescent="0.25">
      <c r="J396" s="641"/>
    </row>
    <row r="397" spans="10:10" ht="12.5" x14ac:dyDescent="0.25">
      <c r="J397" s="641"/>
    </row>
    <row r="398" spans="10:10" ht="12.5" x14ac:dyDescent="0.25">
      <c r="J398" s="641"/>
    </row>
    <row r="399" spans="10:10" ht="12.5" x14ac:dyDescent="0.25">
      <c r="J399" s="641"/>
    </row>
    <row r="400" spans="10:10" ht="12.5" x14ac:dyDescent="0.25">
      <c r="J400" s="641"/>
    </row>
    <row r="401" spans="10:10" ht="12.5" x14ac:dyDescent="0.25">
      <c r="J401" s="641"/>
    </row>
    <row r="402" spans="10:10" ht="12.5" x14ac:dyDescent="0.25">
      <c r="J402" s="641"/>
    </row>
    <row r="403" spans="10:10" ht="12.5" x14ac:dyDescent="0.25">
      <c r="J403" s="641"/>
    </row>
    <row r="404" spans="10:10" ht="12.5" x14ac:dyDescent="0.25">
      <c r="J404" s="641"/>
    </row>
    <row r="405" spans="10:10" ht="12.5" x14ac:dyDescent="0.25">
      <c r="J405" s="641"/>
    </row>
    <row r="406" spans="10:10" ht="12.5" x14ac:dyDescent="0.25">
      <c r="J406" s="641"/>
    </row>
    <row r="407" spans="10:10" ht="12.5" x14ac:dyDescent="0.25">
      <c r="J407" s="641"/>
    </row>
    <row r="408" spans="10:10" ht="12.5" x14ac:dyDescent="0.25">
      <c r="J408" s="641"/>
    </row>
    <row r="409" spans="10:10" ht="12.5" x14ac:dyDescent="0.25">
      <c r="J409" s="641"/>
    </row>
    <row r="410" spans="10:10" ht="12.5" x14ac:dyDescent="0.25">
      <c r="J410" s="641"/>
    </row>
    <row r="411" spans="10:10" ht="12.5" x14ac:dyDescent="0.25">
      <c r="J411" s="641"/>
    </row>
    <row r="412" spans="10:10" ht="12.5" x14ac:dyDescent="0.25">
      <c r="J412" s="641"/>
    </row>
    <row r="413" spans="10:10" ht="12.5" x14ac:dyDescent="0.25">
      <c r="J413" s="641"/>
    </row>
    <row r="414" spans="10:10" ht="12.5" x14ac:dyDescent="0.25">
      <c r="J414" s="641"/>
    </row>
    <row r="415" spans="10:10" ht="12.5" x14ac:dyDescent="0.25">
      <c r="J415" s="641"/>
    </row>
    <row r="416" spans="10:10" ht="12.5" x14ac:dyDescent="0.25">
      <c r="J416" s="641"/>
    </row>
    <row r="417" spans="10:10" ht="12.5" x14ac:dyDescent="0.25">
      <c r="J417" s="641"/>
    </row>
    <row r="418" spans="10:10" ht="12.5" x14ac:dyDescent="0.25">
      <c r="J418" s="641"/>
    </row>
    <row r="419" spans="10:10" ht="12.5" x14ac:dyDescent="0.25">
      <c r="J419" s="641"/>
    </row>
    <row r="420" spans="10:10" ht="12.5" x14ac:dyDescent="0.25">
      <c r="J420" s="641"/>
    </row>
    <row r="421" spans="10:10" ht="12.5" x14ac:dyDescent="0.25">
      <c r="J421" s="641"/>
    </row>
    <row r="422" spans="10:10" ht="12.5" x14ac:dyDescent="0.25">
      <c r="J422" s="641"/>
    </row>
    <row r="423" spans="10:10" ht="12.5" x14ac:dyDescent="0.25">
      <c r="J423" s="641"/>
    </row>
    <row r="424" spans="10:10" ht="12.5" x14ac:dyDescent="0.25">
      <c r="J424" s="641"/>
    </row>
    <row r="425" spans="10:10" ht="12.5" x14ac:dyDescent="0.25">
      <c r="J425" s="641"/>
    </row>
    <row r="426" spans="10:10" ht="12.5" x14ac:dyDescent="0.25">
      <c r="J426" s="641"/>
    </row>
    <row r="427" spans="10:10" ht="12.5" x14ac:dyDescent="0.25">
      <c r="J427" s="641"/>
    </row>
    <row r="428" spans="10:10" ht="12.5" x14ac:dyDescent="0.25">
      <c r="J428" s="641"/>
    </row>
    <row r="429" spans="10:10" ht="12.5" x14ac:dyDescent="0.25">
      <c r="J429" s="641"/>
    </row>
    <row r="430" spans="10:10" ht="12.5" x14ac:dyDescent="0.25">
      <c r="J430" s="641"/>
    </row>
    <row r="431" spans="10:10" ht="12.5" x14ac:dyDescent="0.25">
      <c r="J431" s="641"/>
    </row>
    <row r="432" spans="10:10" ht="12.5" x14ac:dyDescent="0.25">
      <c r="J432" s="641"/>
    </row>
    <row r="433" spans="10:10" ht="12.5" x14ac:dyDescent="0.25">
      <c r="J433" s="641"/>
    </row>
    <row r="434" spans="10:10" ht="12.5" x14ac:dyDescent="0.25">
      <c r="J434" s="641"/>
    </row>
    <row r="435" spans="10:10" ht="12.5" x14ac:dyDescent="0.25">
      <c r="J435" s="641"/>
    </row>
    <row r="436" spans="10:10" ht="12.5" x14ac:dyDescent="0.25">
      <c r="J436" s="641"/>
    </row>
    <row r="437" spans="10:10" ht="12.5" x14ac:dyDescent="0.25">
      <c r="J437" s="641"/>
    </row>
    <row r="438" spans="10:10" ht="12.5" x14ac:dyDescent="0.25">
      <c r="J438" s="641"/>
    </row>
    <row r="439" spans="10:10" ht="12.5" x14ac:dyDescent="0.25">
      <c r="J439" s="641"/>
    </row>
    <row r="440" spans="10:10" ht="12.5" x14ac:dyDescent="0.25">
      <c r="J440" s="641"/>
    </row>
    <row r="441" spans="10:10" ht="12.5" x14ac:dyDescent="0.25">
      <c r="J441" s="641"/>
    </row>
    <row r="442" spans="10:10" ht="12.5" x14ac:dyDescent="0.25">
      <c r="J442" s="641"/>
    </row>
    <row r="443" spans="10:10" ht="12.5" x14ac:dyDescent="0.25">
      <c r="J443" s="641"/>
    </row>
    <row r="444" spans="10:10" ht="12.5" x14ac:dyDescent="0.25">
      <c r="J444" s="641"/>
    </row>
    <row r="445" spans="10:10" ht="12.5" x14ac:dyDescent="0.25">
      <c r="J445" s="641"/>
    </row>
    <row r="446" spans="10:10" ht="12.5" x14ac:dyDescent="0.25">
      <c r="J446" s="641"/>
    </row>
    <row r="447" spans="10:10" ht="12.5" x14ac:dyDescent="0.25">
      <c r="J447" s="641"/>
    </row>
    <row r="448" spans="10:10" ht="12.5" x14ac:dyDescent="0.25">
      <c r="J448" s="641"/>
    </row>
    <row r="449" spans="10:10" ht="12.5" x14ac:dyDescent="0.25">
      <c r="J449" s="641"/>
    </row>
    <row r="450" spans="10:10" ht="12.5" x14ac:dyDescent="0.25">
      <c r="J450" s="641"/>
    </row>
    <row r="451" spans="10:10" ht="12.5" x14ac:dyDescent="0.25">
      <c r="J451" s="641"/>
    </row>
    <row r="452" spans="10:10" ht="12.5" x14ac:dyDescent="0.25">
      <c r="J452" s="641"/>
    </row>
    <row r="453" spans="10:10" ht="12.5" x14ac:dyDescent="0.25">
      <c r="J453" s="641"/>
    </row>
    <row r="454" spans="10:10" ht="12.5" x14ac:dyDescent="0.25">
      <c r="J454" s="641"/>
    </row>
    <row r="455" spans="10:10" ht="12.5" x14ac:dyDescent="0.25">
      <c r="J455" s="641"/>
    </row>
    <row r="456" spans="10:10" ht="12.5" x14ac:dyDescent="0.25">
      <c r="J456" s="641"/>
    </row>
    <row r="457" spans="10:10" ht="12.5" x14ac:dyDescent="0.25">
      <c r="J457" s="641"/>
    </row>
    <row r="458" spans="10:10" ht="12.5" x14ac:dyDescent="0.25">
      <c r="J458" s="641"/>
    </row>
    <row r="459" spans="10:10" ht="12.5" x14ac:dyDescent="0.25">
      <c r="J459" s="641"/>
    </row>
    <row r="460" spans="10:10" ht="12.5" x14ac:dyDescent="0.25">
      <c r="J460" s="641"/>
    </row>
    <row r="461" spans="10:10" ht="12.5" x14ac:dyDescent="0.25">
      <c r="J461" s="641"/>
    </row>
    <row r="462" spans="10:10" ht="12.5" x14ac:dyDescent="0.25">
      <c r="J462" s="641"/>
    </row>
    <row r="463" spans="10:10" ht="12.5" x14ac:dyDescent="0.25">
      <c r="J463" s="641"/>
    </row>
    <row r="464" spans="10:10" ht="12.5" x14ac:dyDescent="0.25">
      <c r="J464" s="641"/>
    </row>
    <row r="465" spans="10:10" ht="12.5" x14ac:dyDescent="0.25">
      <c r="J465" s="641"/>
    </row>
    <row r="466" spans="10:10" ht="12.5" x14ac:dyDescent="0.25">
      <c r="J466" s="641"/>
    </row>
    <row r="467" spans="10:10" ht="12.5" x14ac:dyDescent="0.25">
      <c r="J467" s="641"/>
    </row>
    <row r="468" spans="10:10" ht="12.5" x14ac:dyDescent="0.25">
      <c r="J468" s="641"/>
    </row>
    <row r="469" spans="10:10" ht="12.5" x14ac:dyDescent="0.25">
      <c r="J469" s="641"/>
    </row>
    <row r="470" spans="10:10" ht="12.5" x14ac:dyDescent="0.25">
      <c r="J470" s="641"/>
    </row>
    <row r="471" spans="10:10" ht="12.5" x14ac:dyDescent="0.25">
      <c r="J471" s="641"/>
    </row>
    <row r="472" spans="10:10" ht="12.5" x14ac:dyDescent="0.25">
      <c r="J472" s="641"/>
    </row>
    <row r="473" spans="10:10" ht="12.5" x14ac:dyDescent="0.25">
      <c r="J473" s="641"/>
    </row>
    <row r="474" spans="10:10" ht="12.5" x14ac:dyDescent="0.25">
      <c r="J474" s="641"/>
    </row>
    <row r="475" spans="10:10" ht="12.5" x14ac:dyDescent="0.25">
      <c r="J475" s="641"/>
    </row>
    <row r="476" spans="10:10" ht="12.5" x14ac:dyDescent="0.25">
      <c r="J476" s="641"/>
    </row>
    <row r="477" spans="10:10" ht="12.5" x14ac:dyDescent="0.25">
      <c r="J477" s="641"/>
    </row>
    <row r="478" spans="10:10" ht="12.5" x14ac:dyDescent="0.25">
      <c r="J478" s="641"/>
    </row>
    <row r="479" spans="10:10" ht="12.5" x14ac:dyDescent="0.25">
      <c r="J479" s="641"/>
    </row>
    <row r="480" spans="10:10" ht="12.5" x14ac:dyDescent="0.25">
      <c r="J480" s="641"/>
    </row>
    <row r="481" spans="10:10" ht="12.5" x14ac:dyDescent="0.25">
      <c r="J481" s="641"/>
    </row>
    <row r="482" spans="10:10" ht="12.5" x14ac:dyDescent="0.25">
      <c r="J482" s="641"/>
    </row>
    <row r="483" spans="10:10" ht="12.5" x14ac:dyDescent="0.25">
      <c r="J483" s="641"/>
    </row>
    <row r="484" spans="10:10" ht="12.5" x14ac:dyDescent="0.25">
      <c r="J484" s="641"/>
    </row>
    <row r="485" spans="10:10" ht="12.5" x14ac:dyDescent="0.25">
      <c r="J485" s="641"/>
    </row>
    <row r="486" spans="10:10" ht="12.5" x14ac:dyDescent="0.25">
      <c r="J486" s="641"/>
    </row>
    <row r="487" spans="10:10" ht="12.5" x14ac:dyDescent="0.25">
      <c r="J487" s="641"/>
    </row>
    <row r="488" spans="10:10" ht="12.5" x14ac:dyDescent="0.25">
      <c r="J488" s="641"/>
    </row>
    <row r="489" spans="10:10" ht="12.5" x14ac:dyDescent="0.25">
      <c r="J489" s="641"/>
    </row>
    <row r="490" spans="10:10" ht="12.5" x14ac:dyDescent="0.25">
      <c r="J490" s="641"/>
    </row>
    <row r="491" spans="10:10" ht="12.5" x14ac:dyDescent="0.25">
      <c r="J491" s="641"/>
    </row>
    <row r="492" spans="10:10" ht="12.5" x14ac:dyDescent="0.25">
      <c r="J492" s="641"/>
    </row>
    <row r="493" spans="10:10" ht="12.5" x14ac:dyDescent="0.25">
      <c r="J493" s="641"/>
    </row>
    <row r="494" spans="10:10" ht="12.5" x14ac:dyDescent="0.25">
      <c r="J494" s="641"/>
    </row>
    <row r="495" spans="10:10" ht="12.5" x14ac:dyDescent="0.25">
      <c r="J495" s="641"/>
    </row>
    <row r="496" spans="10:10" ht="12.5" x14ac:dyDescent="0.25">
      <c r="J496" s="641"/>
    </row>
    <row r="497" spans="10:10" ht="12.5" x14ac:dyDescent="0.25">
      <c r="J497" s="641"/>
    </row>
    <row r="498" spans="10:10" ht="12.5" x14ac:dyDescent="0.25">
      <c r="J498" s="641"/>
    </row>
    <row r="499" spans="10:10" ht="12.5" x14ac:dyDescent="0.25">
      <c r="J499" s="641"/>
    </row>
    <row r="500" spans="10:10" ht="12.5" x14ac:dyDescent="0.25">
      <c r="J500" s="641"/>
    </row>
    <row r="501" spans="10:10" ht="12.5" x14ac:dyDescent="0.25">
      <c r="J501" s="641"/>
    </row>
    <row r="502" spans="10:10" ht="12.5" x14ac:dyDescent="0.25">
      <c r="J502" s="641"/>
    </row>
    <row r="503" spans="10:10" ht="12.5" x14ac:dyDescent="0.25">
      <c r="J503" s="641"/>
    </row>
    <row r="504" spans="10:10" ht="12.5" x14ac:dyDescent="0.25">
      <c r="J504" s="641"/>
    </row>
    <row r="505" spans="10:10" ht="12.5" x14ac:dyDescent="0.25">
      <c r="J505" s="641"/>
    </row>
    <row r="506" spans="10:10" ht="12.5" x14ac:dyDescent="0.25">
      <c r="J506" s="641"/>
    </row>
    <row r="507" spans="10:10" ht="12.5" x14ac:dyDescent="0.25">
      <c r="J507" s="641"/>
    </row>
    <row r="508" spans="10:10" ht="12.5" x14ac:dyDescent="0.25">
      <c r="J508" s="641"/>
    </row>
    <row r="509" spans="10:10" ht="12.5" x14ac:dyDescent="0.25">
      <c r="J509" s="641"/>
    </row>
    <row r="510" spans="10:10" ht="12.5" x14ac:dyDescent="0.25">
      <c r="J510" s="641"/>
    </row>
    <row r="511" spans="10:10" ht="12.5" x14ac:dyDescent="0.25">
      <c r="J511" s="641"/>
    </row>
    <row r="512" spans="10:10" ht="12.5" x14ac:dyDescent="0.25">
      <c r="J512" s="641"/>
    </row>
    <row r="513" spans="10:10" ht="12.5" x14ac:dyDescent="0.25">
      <c r="J513" s="641"/>
    </row>
    <row r="514" spans="10:10" ht="12.5" x14ac:dyDescent="0.25">
      <c r="J514" s="641"/>
    </row>
    <row r="515" spans="10:10" ht="12.5" x14ac:dyDescent="0.25">
      <c r="J515" s="641"/>
    </row>
    <row r="516" spans="10:10" ht="12.5" x14ac:dyDescent="0.25">
      <c r="J516" s="641"/>
    </row>
    <row r="517" spans="10:10" ht="12.5" x14ac:dyDescent="0.25">
      <c r="J517" s="641"/>
    </row>
    <row r="518" spans="10:10" ht="12.5" x14ac:dyDescent="0.25">
      <c r="J518" s="641"/>
    </row>
    <row r="519" spans="10:10" ht="12.5" x14ac:dyDescent="0.25">
      <c r="J519" s="641"/>
    </row>
    <row r="520" spans="10:10" ht="12.5" x14ac:dyDescent="0.25">
      <c r="J520" s="641"/>
    </row>
    <row r="521" spans="10:10" ht="12.5" x14ac:dyDescent="0.25">
      <c r="J521" s="641"/>
    </row>
    <row r="522" spans="10:10" ht="12.5" x14ac:dyDescent="0.25">
      <c r="J522" s="641"/>
    </row>
    <row r="523" spans="10:10" ht="12.5" x14ac:dyDescent="0.25">
      <c r="J523" s="641"/>
    </row>
    <row r="524" spans="10:10" ht="12.5" x14ac:dyDescent="0.25">
      <c r="J524" s="641"/>
    </row>
    <row r="525" spans="10:10" ht="12.5" x14ac:dyDescent="0.25">
      <c r="J525" s="641"/>
    </row>
    <row r="526" spans="10:10" ht="12.5" x14ac:dyDescent="0.25">
      <c r="J526" s="641"/>
    </row>
    <row r="527" spans="10:10" ht="12.5" x14ac:dyDescent="0.25">
      <c r="J527" s="641"/>
    </row>
    <row r="528" spans="10:10" ht="12.5" x14ac:dyDescent="0.25">
      <c r="J528" s="641"/>
    </row>
    <row r="529" spans="10:10" ht="12.5" x14ac:dyDescent="0.25">
      <c r="J529" s="641"/>
    </row>
    <row r="530" spans="10:10" ht="12.5" x14ac:dyDescent="0.25">
      <c r="J530" s="641"/>
    </row>
    <row r="531" spans="10:10" ht="12.5" x14ac:dyDescent="0.25">
      <c r="J531" s="641"/>
    </row>
    <row r="532" spans="10:10" ht="12.5" x14ac:dyDescent="0.25">
      <c r="J532" s="641"/>
    </row>
    <row r="533" spans="10:10" ht="12.5" x14ac:dyDescent="0.25">
      <c r="J533" s="641"/>
    </row>
    <row r="534" spans="10:10" ht="12.5" x14ac:dyDescent="0.25">
      <c r="J534" s="641"/>
    </row>
    <row r="535" spans="10:10" ht="12.5" x14ac:dyDescent="0.25">
      <c r="J535" s="641"/>
    </row>
    <row r="536" spans="10:10" ht="12.5" x14ac:dyDescent="0.25">
      <c r="J536" s="641"/>
    </row>
    <row r="537" spans="10:10" ht="12.5" x14ac:dyDescent="0.25">
      <c r="J537" s="641"/>
    </row>
    <row r="538" spans="10:10" ht="12.5" x14ac:dyDescent="0.25">
      <c r="J538" s="641"/>
    </row>
    <row r="539" spans="10:10" ht="12.5" x14ac:dyDescent="0.25">
      <c r="J539" s="641"/>
    </row>
    <row r="540" spans="10:10" ht="12.5" x14ac:dyDescent="0.25">
      <c r="J540" s="641"/>
    </row>
    <row r="541" spans="10:10" ht="12.5" x14ac:dyDescent="0.25">
      <c r="J541" s="641"/>
    </row>
    <row r="542" spans="10:10" ht="12.5" x14ac:dyDescent="0.25">
      <c r="J542" s="641"/>
    </row>
    <row r="543" spans="10:10" ht="12.5" x14ac:dyDescent="0.25">
      <c r="J543" s="641"/>
    </row>
    <row r="544" spans="10:10" ht="12.5" x14ac:dyDescent="0.25">
      <c r="J544" s="641"/>
    </row>
    <row r="545" spans="10:10" ht="12.5" x14ac:dyDescent="0.25">
      <c r="J545" s="641"/>
    </row>
    <row r="546" spans="10:10" ht="12.5" x14ac:dyDescent="0.25">
      <c r="J546" s="641"/>
    </row>
    <row r="547" spans="10:10" ht="12.5" x14ac:dyDescent="0.25">
      <c r="J547" s="641"/>
    </row>
    <row r="548" spans="10:10" ht="12.5" x14ac:dyDescent="0.25">
      <c r="J548" s="641"/>
    </row>
    <row r="549" spans="10:10" ht="12.5" x14ac:dyDescent="0.25">
      <c r="J549" s="641"/>
    </row>
    <row r="550" spans="10:10" ht="12.5" x14ac:dyDescent="0.25">
      <c r="J550" s="641"/>
    </row>
    <row r="551" spans="10:10" ht="12.5" x14ac:dyDescent="0.25">
      <c r="J551" s="641"/>
    </row>
    <row r="552" spans="10:10" ht="12.5" x14ac:dyDescent="0.25">
      <c r="J552" s="641"/>
    </row>
    <row r="553" spans="10:10" ht="12.5" x14ac:dyDescent="0.25">
      <c r="J553" s="641"/>
    </row>
    <row r="554" spans="10:10" ht="12.5" x14ac:dyDescent="0.25">
      <c r="J554" s="641"/>
    </row>
    <row r="555" spans="10:10" ht="12.5" x14ac:dyDescent="0.25">
      <c r="J555" s="641"/>
    </row>
    <row r="556" spans="10:10" ht="12.5" x14ac:dyDescent="0.25">
      <c r="J556" s="641"/>
    </row>
    <row r="557" spans="10:10" ht="12.5" x14ac:dyDescent="0.25">
      <c r="J557" s="641"/>
    </row>
    <row r="558" spans="10:10" ht="12.5" x14ac:dyDescent="0.25">
      <c r="J558" s="641"/>
    </row>
    <row r="559" spans="10:10" ht="12.5" x14ac:dyDescent="0.25">
      <c r="J559" s="641"/>
    </row>
    <row r="560" spans="10:10" ht="12.5" x14ac:dyDescent="0.25">
      <c r="J560" s="641"/>
    </row>
    <row r="561" spans="10:10" ht="12.5" x14ac:dyDescent="0.25">
      <c r="J561" s="641"/>
    </row>
    <row r="562" spans="10:10" ht="12.5" x14ac:dyDescent="0.25">
      <c r="J562" s="641"/>
    </row>
    <row r="563" spans="10:10" ht="12.5" x14ac:dyDescent="0.25">
      <c r="J563" s="641"/>
    </row>
    <row r="564" spans="10:10" ht="12.5" x14ac:dyDescent="0.25">
      <c r="J564" s="641"/>
    </row>
    <row r="565" spans="10:10" ht="12.5" x14ac:dyDescent="0.25">
      <c r="J565" s="641"/>
    </row>
    <row r="566" spans="10:10" ht="12.5" x14ac:dyDescent="0.25">
      <c r="J566" s="641"/>
    </row>
    <row r="567" spans="10:10" ht="12.5" x14ac:dyDescent="0.25">
      <c r="J567" s="641"/>
    </row>
    <row r="568" spans="10:10" ht="12.5" x14ac:dyDescent="0.25">
      <c r="J568" s="641"/>
    </row>
    <row r="569" spans="10:10" ht="12.5" x14ac:dyDescent="0.25">
      <c r="J569" s="641"/>
    </row>
    <row r="570" spans="10:10" ht="12.5" x14ac:dyDescent="0.25">
      <c r="J570" s="641"/>
    </row>
    <row r="571" spans="10:10" ht="12.5" x14ac:dyDescent="0.25">
      <c r="J571" s="641"/>
    </row>
    <row r="572" spans="10:10" ht="12.5" x14ac:dyDescent="0.25">
      <c r="J572" s="641"/>
    </row>
    <row r="573" spans="10:10" ht="12.5" x14ac:dyDescent="0.25">
      <c r="J573" s="641"/>
    </row>
    <row r="574" spans="10:10" ht="12.5" x14ac:dyDescent="0.25">
      <c r="J574" s="641"/>
    </row>
    <row r="575" spans="10:10" ht="12.5" x14ac:dyDescent="0.25">
      <c r="J575" s="641"/>
    </row>
    <row r="576" spans="10:10" ht="12.5" x14ac:dyDescent="0.25">
      <c r="J576" s="641"/>
    </row>
    <row r="577" spans="10:10" ht="12.5" x14ac:dyDescent="0.25">
      <c r="J577" s="641"/>
    </row>
    <row r="578" spans="10:10" ht="12.5" x14ac:dyDescent="0.25">
      <c r="J578" s="641"/>
    </row>
    <row r="579" spans="10:10" ht="12.5" x14ac:dyDescent="0.25">
      <c r="J579" s="641"/>
    </row>
    <row r="580" spans="10:10" ht="12.5" x14ac:dyDescent="0.25">
      <c r="J580" s="641"/>
    </row>
    <row r="581" spans="10:10" ht="12.5" x14ac:dyDescent="0.25">
      <c r="J581" s="641"/>
    </row>
    <row r="582" spans="10:10" ht="12.5" x14ac:dyDescent="0.25">
      <c r="J582" s="641"/>
    </row>
    <row r="583" spans="10:10" ht="12.5" x14ac:dyDescent="0.25">
      <c r="J583" s="641"/>
    </row>
    <row r="584" spans="10:10" ht="12.5" x14ac:dyDescent="0.25">
      <c r="J584" s="641"/>
    </row>
    <row r="585" spans="10:10" ht="12.5" x14ac:dyDescent="0.25">
      <c r="J585" s="641"/>
    </row>
    <row r="586" spans="10:10" ht="12.5" x14ac:dyDescent="0.25">
      <c r="J586" s="641"/>
    </row>
    <row r="587" spans="10:10" ht="12.5" x14ac:dyDescent="0.25">
      <c r="J587" s="641"/>
    </row>
    <row r="588" spans="10:10" ht="12.5" x14ac:dyDescent="0.25">
      <c r="J588" s="641"/>
    </row>
    <row r="589" spans="10:10" ht="12.5" x14ac:dyDescent="0.25">
      <c r="J589" s="641"/>
    </row>
    <row r="590" spans="10:10" ht="12.5" x14ac:dyDescent="0.25">
      <c r="J590" s="641"/>
    </row>
    <row r="591" spans="10:10" ht="12.5" x14ac:dyDescent="0.25">
      <c r="J591" s="641"/>
    </row>
    <row r="592" spans="10:10" ht="12.5" x14ac:dyDescent="0.25">
      <c r="J592" s="641"/>
    </row>
    <row r="593" spans="10:10" ht="12.5" x14ac:dyDescent="0.25">
      <c r="J593" s="641"/>
    </row>
    <row r="594" spans="10:10" ht="12.5" x14ac:dyDescent="0.25">
      <c r="J594" s="641"/>
    </row>
    <row r="595" spans="10:10" ht="12.5" x14ac:dyDescent="0.25">
      <c r="J595" s="641"/>
    </row>
    <row r="596" spans="10:10" ht="12.5" x14ac:dyDescent="0.25">
      <c r="J596" s="641"/>
    </row>
    <row r="597" spans="10:10" ht="12.5" x14ac:dyDescent="0.25">
      <c r="J597" s="641"/>
    </row>
    <row r="598" spans="10:10" ht="12.5" x14ac:dyDescent="0.25">
      <c r="J598" s="641"/>
    </row>
    <row r="599" spans="10:10" ht="12.5" x14ac:dyDescent="0.25">
      <c r="J599" s="641"/>
    </row>
    <row r="600" spans="10:10" ht="12.5" x14ac:dyDescent="0.25">
      <c r="J600" s="641"/>
    </row>
    <row r="601" spans="10:10" ht="12.5" x14ac:dyDescent="0.25">
      <c r="J601" s="641"/>
    </row>
    <row r="602" spans="10:10" ht="12.5" x14ac:dyDescent="0.25">
      <c r="J602" s="641"/>
    </row>
    <row r="603" spans="10:10" ht="12.5" x14ac:dyDescent="0.25">
      <c r="J603" s="641"/>
    </row>
    <row r="604" spans="10:10" ht="12.5" x14ac:dyDescent="0.25">
      <c r="J604" s="641"/>
    </row>
    <row r="605" spans="10:10" ht="12.5" x14ac:dyDescent="0.25">
      <c r="J605" s="641"/>
    </row>
    <row r="606" spans="10:10" ht="12.5" x14ac:dyDescent="0.25">
      <c r="J606" s="641"/>
    </row>
    <row r="607" spans="10:10" ht="12.5" x14ac:dyDescent="0.25">
      <c r="J607" s="641"/>
    </row>
    <row r="608" spans="10:10" ht="12.5" x14ac:dyDescent="0.25">
      <c r="J608" s="641"/>
    </row>
    <row r="609" spans="10:10" ht="12.5" x14ac:dyDescent="0.25">
      <c r="J609" s="641"/>
    </row>
    <row r="610" spans="10:10" ht="12.5" x14ac:dyDescent="0.25">
      <c r="J610" s="641"/>
    </row>
    <row r="611" spans="10:10" ht="12.5" x14ac:dyDescent="0.25">
      <c r="J611" s="641"/>
    </row>
    <row r="612" spans="10:10" ht="12.5" x14ac:dyDescent="0.25">
      <c r="J612" s="641"/>
    </row>
    <row r="613" spans="10:10" ht="12.5" x14ac:dyDescent="0.25">
      <c r="J613" s="641"/>
    </row>
    <row r="614" spans="10:10" ht="12.5" x14ac:dyDescent="0.25">
      <c r="J614" s="641"/>
    </row>
    <row r="615" spans="10:10" ht="12.5" x14ac:dyDescent="0.25">
      <c r="J615" s="641"/>
    </row>
    <row r="616" spans="10:10" ht="12.5" x14ac:dyDescent="0.25">
      <c r="J616" s="641"/>
    </row>
    <row r="617" spans="10:10" ht="12.5" x14ac:dyDescent="0.25">
      <c r="J617" s="641"/>
    </row>
    <row r="618" spans="10:10" ht="12.5" x14ac:dyDescent="0.25">
      <c r="J618" s="641"/>
    </row>
    <row r="619" spans="10:10" ht="12.5" x14ac:dyDescent="0.25">
      <c r="J619" s="641"/>
    </row>
    <row r="620" spans="10:10" ht="12.5" x14ac:dyDescent="0.25">
      <c r="J620" s="641"/>
    </row>
    <row r="621" spans="10:10" ht="12.5" x14ac:dyDescent="0.25">
      <c r="J621" s="641"/>
    </row>
    <row r="622" spans="10:10" ht="12.5" x14ac:dyDescent="0.25">
      <c r="J622" s="641"/>
    </row>
    <row r="623" spans="10:10" ht="12.5" x14ac:dyDescent="0.25">
      <c r="J623" s="641"/>
    </row>
    <row r="624" spans="10:10" ht="12.5" x14ac:dyDescent="0.25">
      <c r="J624" s="641"/>
    </row>
    <row r="625" spans="10:10" ht="12.5" x14ac:dyDescent="0.25">
      <c r="J625" s="641"/>
    </row>
    <row r="626" spans="10:10" ht="12.5" x14ac:dyDescent="0.25">
      <c r="J626" s="641"/>
    </row>
    <row r="627" spans="10:10" ht="12.5" x14ac:dyDescent="0.25">
      <c r="J627" s="641"/>
    </row>
    <row r="628" spans="10:10" ht="12.5" x14ac:dyDescent="0.25">
      <c r="J628" s="641"/>
    </row>
    <row r="629" spans="10:10" ht="12.5" x14ac:dyDescent="0.25">
      <c r="J629" s="641"/>
    </row>
    <row r="630" spans="10:10" ht="12.5" x14ac:dyDescent="0.25">
      <c r="J630" s="641"/>
    </row>
    <row r="631" spans="10:10" ht="12.5" x14ac:dyDescent="0.25">
      <c r="J631" s="641"/>
    </row>
    <row r="632" spans="10:10" ht="12.5" x14ac:dyDescent="0.25">
      <c r="J632" s="641"/>
    </row>
    <row r="633" spans="10:10" ht="12.5" x14ac:dyDescent="0.25">
      <c r="J633" s="641"/>
    </row>
    <row r="634" spans="10:10" ht="12.5" x14ac:dyDescent="0.25">
      <c r="J634" s="641"/>
    </row>
    <row r="635" spans="10:10" ht="12.5" x14ac:dyDescent="0.25">
      <c r="J635" s="641"/>
    </row>
    <row r="636" spans="10:10" ht="12.5" x14ac:dyDescent="0.25">
      <c r="J636" s="641"/>
    </row>
    <row r="637" spans="10:10" ht="12.5" x14ac:dyDescent="0.25">
      <c r="J637" s="641"/>
    </row>
    <row r="638" spans="10:10" ht="12.5" x14ac:dyDescent="0.25">
      <c r="J638" s="641"/>
    </row>
    <row r="639" spans="10:10" ht="12.5" x14ac:dyDescent="0.25">
      <c r="J639" s="641"/>
    </row>
    <row r="640" spans="10:10" ht="12.5" x14ac:dyDescent="0.25">
      <c r="J640" s="641"/>
    </row>
    <row r="641" spans="10:10" ht="12.5" x14ac:dyDescent="0.25">
      <c r="J641" s="641"/>
    </row>
    <row r="642" spans="10:10" ht="12.5" x14ac:dyDescent="0.25">
      <c r="J642" s="641"/>
    </row>
    <row r="643" spans="10:10" ht="12.5" x14ac:dyDescent="0.25">
      <c r="J643" s="641"/>
    </row>
    <row r="644" spans="10:10" ht="12.5" x14ac:dyDescent="0.25">
      <c r="J644" s="641"/>
    </row>
    <row r="645" spans="10:10" ht="12.5" x14ac:dyDescent="0.25">
      <c r="J645" s="641"/>
    </row>
    <row r="646" spans="10:10" ht="12.5" x14ac:dyDescent="0.25">
      <c r="J646" s="641"/>
    </row>
    <row r="647" spans="10:10" ht="12.5" x14ac:dyDescent="0.25">
      <c r="J647" s="641"/>
    </row>
    <row r="648" spans="10:10" ht="12.5" x14ac:dyDescent="0.25">
      <c r="J648" s="641"/>
    </row>
    <row r="649" spans="10:10" ht="12.5" x14ac:dyDescent="0.25">
      <c r="J649" s="641"/>
    </row>
    <row r="650" spans="10:10" ht="12.5" x14ac:dyDescent="0.25">
      <c r="J650" s="641"/>
    </row>
    <row r="651" spans="10:10" ht="12.5" x14ac:dyDescent="0.25">
      <c r="J651" s="641"/>
    </row>
    <row r="652" spans="10:10" ht="12.5" x14ac:dyDescent="0.25">
      <c r="J652" s="641"/>
    </row>
    <row r="653" spans="10:10" ht="12.5" x14ac:dyDescent="0.25">
      <c r="J653" s="641"/>
    </row>
    <row r="654" spans="10:10" ht="12.5" x14ac:dyDescent="0.25">
      <c r="J654" s="641"/>
    </row>
    <row r="655" spans="10:10" ht="12.5" x14ac:dyDescent="0.25">
      <c r="J655" s="641"/>
    </row>
    <row r="656" spans="10:10" ht="12.5" x14ac:dyDescent="0.25">
      <c r="J656" s="641"/>
    </row>
    <row r="657" spans="10:10" ht="12.5" x14ac:dyDescent="0.25">
      <c r="J657" s="641"/>
    </row>
    <row r="658" spans="10:10" ht="12.5" x14ac:dyDescent="0.25">
      <c r="J658" s="641"/>
    </row>
    <row r="659" spans="10:10" ht="12.5" x14ac:dyDescent="0.25">
      <c r="J659" s="641"/>
    </row>
    <row r="660" spans="10:10" ht="12.5" x14ac:dyDescent="0.25">
      <c r="J660" s="641"/>
    </row>
    <row r="661" spans="10:10" ht="12.5" x14ac:dyDescent="0.25">
      <c r="J661" s="641"/>
    </row>
    <row r="662" spans="10:10" ht="12.5" x14ac:dyDescent="0.25">
      <c r="J662" s="641"/>
    </row>
    <row r="663" spans="10:10" ht="12.5" x14ac:dyDescent="0.25">
      <c r="J663" s="641"/>
    </row>
    <row r="664" spans="10:10" ht="12.5" x14ac:dyDescent="0.25">
      <c r="J664" s="641"/>
    </row>
    <row r="665" spans="10:10" ht="12.5" x14ac:dyDescent="0.25">
      <c r="J665" s="641"/>
    </row>
    <row r="666" spans="10:10" ht="12.5" x14ac:dyDescent="0.25">
      <c r="J666" s="641"/>
    </row>
    <row r="667" spans="10:10" ht="12.5" x14ac:dyDescent="0.25">
      <c r="J667" s="641"/>
    </row>
    <row r="668" spans="10:10" ht="12.5" x14ac:dyDescent="0.25">
      <c r="J668" s="641"/>
    </row>
    <row r="669" spans="10:10" ht="12.5" x14ac:dyDescent="0.25">
      <c r="J669" s="641"/>
    </row>
    <row r="670" spans="10:10" ht="12.5" x14ac:dyDescent="0.25">
      <c r="J670" s="641"/>
    </row>
    <row r="671" spans="10:10" ht="12.5" x14ac:dyDescent="0.25">
      <c r="J671" s="641"/>
    </row>
    <row r="672" spans="10:10" ht="12.5" x14ac:dyDescent="0.25">
      <c r="J672" s="641"/>
    </row>
    <row r="673" spans="10:10" ht="12.5" x14ac:dyDescent="0.25">
      <c r="J673" s="641"/>
    </row>
    <row r="674" spans="10:10" ht="12.5" x14ac:dyDescent="0.25">
      <c r="J674" s="641"/>
    </row>
    <row r="675" spans="10:10" ht="12.5" x14ac:dyDescent="0.25">
      <c r="J675" s="641"/>
    </row>
    <row r="676" spans="10:10" ht="12.5" x14ac:dyDescent="0.25">
      <c r="J676" s="641"/>
    </row>
    <row r="677" spans="10:10" ht="12.5" x14ac:dyDescent="0.25">
      <c r="J677" s="641"/>
    </row>
    <row r="678" spans="10:10" ht="12.5" x14ac:dyDescent="0.25">
      <c r="J678" s="641"/>
    </row>
    <row r="679" spans="10:10" ht="12.5" x14ac:dyDescent="0.25">
      <c r="J679" s="641"/>
    </row>
    <row r="680" spans="10:10" ht="12.5" x14ac:dyDescent="0.25">
      <c r="J680" s="641"/>
    </row>
    <row r="681" spans="10:10" ht="12.5" x14ac:dyDescent="0.25">
      <c r="J681" s="641"/>
    </row>
    <row r="682" spans="10:10" ht="12.5" x14ac:dyDescent="0.25">
      <c r="J682" s="641"/>
    </row>
    <row r="683" spans="10:10" ht="12.5" x14ac:dyDescent="0.25">
      <c r="J683" s="641"/>
    </row>
    <row r="684" spans="10:10" ht="12.5" x14ac:dyDescent="0.25">
      <c r="J684" s="641"/>
    </row>
    <row r="685" spans="10:10" ht="12.5" x14ac:dyDescent="0.25">
      <c r="J685" s="641"/>
    </row>
    <row r="686" spans="10:10" ht="12.5" x14ac:dyDescent="0.25">
      <c r="J686" s="641"/>
    </row>
    <row r="687" spans="10:10" ht="12.5" x14ac:dyDescent="0.25">
      <c r="J687" s="641"/>
    </row>
    <row r="688" spans="10:10" ht="12.5" x14ac:dyDescent="0.25">
      <c r="J688" s="641"/>
    </row>
    <row r="689" spans="10:10" ht="12.5" x14ac:dyDescent="0.25">
      <c r="J689" s="641"/>
    </row>
    <row r="690" spans="10:10" ht="12.5" x14ac:dyDescent="0.25">
      <c r="J690" s="641"/>
    </row>
    <row r="691" spans="10:10" ht="12.5" x14ac:dyDescent="0.25">
      <c r="J691" s="641"/>
    </row>
    <row r="692" spans="10:10" ht="12.5" x14ac:dyDescent="0.25">
      <c r="J692" s="641"/>
    </row>
    <row r="693" spans="10:10" ht="12.5" x14ac:dyDescent="0.25">
      <c r="J693" s="641"/>
    </row>
    <row r="694" spans="10:10" ht="12.5" x14ac:dyDescent="0.25">
      <c r="J694" s="641"/>
    </row>
    <row r="695" spans="10:10" ht="12.5" x14ac:dyDescent="0.25">
      <c r="J695" s="641"/>
    </row>
    <row r="696" spans="10:10" ht="12.5" x14ac:dyDescent="0.25">
      <c r="J696" s="641"/>
    </row>
    <row r="697" spans="10:10" ht="12.5" x14ac:dyDescent="0.25">
      <c r="J697" s="641"/>
    </row>
    <row r="698" spans="10:10" ht="12.5" x14ac:dyDescent="0.25">
      <c r="J698" s="641"/>
    </row>
    <row r="699" spans="10:10" ht="12.5" x14ac:dyDescent="0.25">
      <c r="J699" s="641"/>
    </row>
    <row r="700" spans="10:10" ht="12.5" x14ac:dyDescent="0.25">
      <c r="J700" s="641"/>
    </row>
    <row r="701" spans="10:10" ht="12.5" x14ac:dyDescent="0.25">
      <c r="J701" s="641"/>
    </row>
    <row r="702" spans="10:10" ht="12.5" x14ac:dyDescent="0.25">
      <c r="J702" s="641"/>
    </row>
    <row r="703" spans="10:10" ht="12.5" x14ac:dyDescent="0.25">
      <c r="J703" s="641"/>
    </row>
    <row r="704" spans="10:10" ht="12.5" x14ac:dyDescent="0.25">
      <c r="J704" s="641"/>
    </row>
    <row r="705" spans="10:10" ht="12.5" x14ac:dyDescent="0.25">
      <c r="J705" s="641"/>
    </row>
    <row r="706" spans="10:10" ht="12.5" x14ac:dyDescent="0.25">
      <c r="J706" s="641"/>
    </row>
    <row r="707" spans="10:10" ht="12.5" x14ac:dyDescent="0.25">
      <c r="J707" s="641"/>
    </row>
    <row r="708" spans="10:10" ht="12.5" x14ac:dyDescent="0.25">
      <c r="J708" s="641"/>
    </row>
    <row r="709" spans="10:10" ht="12.5" x14ac:dyDescent="0.25">
      <c r="J709" s="641"/>
    </row>
    <row r="710" spans="10:10" ht="12.5" x14ac:dyDescent="0.25">
      <c r="J710" s="641"/>
    </row>
    <row r="711" spans="10:10" ht="12.5" x14ac:dyDescent="0.25">
      <c r="J711" s="641"/>
    </row>
    <row r="712" spans="10:10" ht="12.5" x14ac:dyDescent="0.25">
      <c r="J712" s="641"/>
    </row>
    <row r="713" spans="10:10" ht="12.5" x14ac:dyDescent="0.25">
      <c r="J713" s="641"/>
    </row>
    <row r="714" spans="10:10" ht="12.5" x14ac:dyDescent="0.25">
      <c r="J714" s="641"/>
    </row>
    <row r="715" spans="10:10" ht="12.5" x14ac:dyDescent="0.25">
      <c r="J715" s="641"/>
    </row>
    <row r="716" spans="10:10" ht="12.5" x14ac:dyDescent="0.25">
      <c r="J716" s="641"/>
    </row>
    <row r="717" spans="10:10" ht="12.5" x14ac:dyDescent="0.25">
      <c r="J717" s="641"/>
    </row>
    <row r="718" spans="10:10" ht="12.5" x14ac:dyDescent="0.25">
      <c r="J718" s="641"/>
    </row>
    <row r="719" spans="10:10" ht="12.5" x14ac:dyDescent="0.25">
      <c r="J719" s="641"/>
    </row>
    <row r="720" spans="10:10" ht="12.5" x14ac:dyDescent="0.25">
      <c r="J720" s="641"/>
    </row>
    <row r="721" spans="10:10" ht="12.5" x14ac:dyDescent="0.25">
      <c r="J721" s="641"/>
    </row>
    <row r="722" spans="10:10" ht="12.5" x14ac:dyDescent="0.25">
      <c r="J722" s="641"/>
    </row>
    <row r="723" spans="10:10" ht="12.5" x14ac:dyDescent="0.25">
      <c r="J723" s="641"/>
    </row>
    <row r="724" spans="10:10" ht="12.5" x14ac:dyDescent="0.25">
      <c r="J724" s="641"/>
    </row>
    <row r="725" spans="10:10" ht="12.5" x14ac:dyDescent="0.25">
      <c r="J725" s="641"/>
    </row>
    <row r="726" spans="10:10" ht="12.5" x14ac:dyDescent="0.25">
      <c r="J726" s="641"/>
    </row>
    <row r="727" spans="10:10" ht="12.5" x14ac:dyDescent="0.25">
      <c r="J727" s="641"/>
    </row>
    <row r="728" spans="10:10" ht="12.5" x14ac:dyDescent="0.25">
      <c r="J728" s="641"/>
    </row>
    <row r="729" spans="10:10" ht="12.5" x14ac:dyDescent="0.25">
      <c r="J729" s="641"/>
    </row>
    <row r="730" spans="10:10" ht="12.5" x14ac:dyDescent="0.25">
      <c r="J730" s="641"/>
    </row>
    <row r="731" spans="10:10" ht="12.5" x14ac:dyDescent="0.25">
      <c r="J731" s="641"/>
    </row>
    <row r="732" spans="10:10" ht="12.5" x14ac:dyDescent="0.25">
      <c r="J732" s="641"/>
    </row>
    <row r="733" spans="10:10" ht="12.5" x14ac:dyDescent="0.25">
      <c r="J733" s="641"/>
    </row>
    <row r="734" spans="10:10" ht="12.5" x14ac:dyDescent="0.25">
      <c r="J734" s="641"/>
    </row>
    <row r="735" spans="10:10" ht="12.5" x14ac:dyDescent="0.25">
      <c r="J735" s="641"/>
    </row>
    <row r="736" spans="10:10" ht="12.5" x14ac:dyDescent="0.25">
      <c r="J736" s="641"/>
    </row>
    <row r="737" spans="10:10" ht="12.5" x14ac:dyDescent="0.25">
      <c r="J737" s="641"/>
    </row>
    <row r="738" spans="10:10" ht="12.5" x14ac:dyDescent="0.25">
      <c r="J738" s="641"/>
    </row>
    <row r="739" spans="10:10" ht="12.5" x14ac:dyDescent="0.25">
      <c r="J739" s="641"/>
    </row>
    <row r="740" spans="10:10" ht="12.5" x14ac:dyDescent="0.25">
      <c r="J740" s="641"/>
    </row>
    <row r="741" spans="10:10" ht="12.5" x14ac:dyDescent="0.25">
      <c r="J741" s="641"/>
    </row>
    <row r="742" spans="10:10" ht="12.5" x14ac:dyDescent="0.25">
      <c r="J742" s="641"/>
    </row>
    <row r="743" spans="10:10" ht="12.5" x14ac:dyDescent="0.25">
      <c r="J743" s="641"/>
    </row>
    <row r="744" spans="10:10" ht="12.5" x14ac:dyDescent="0.25">
      <c r="J744" s="641"/>
    </row>
    <row r="745" spans="10:10" ht="12.5" x14ac:dyDescent="0.25">
      <c r="J745" s="641"/>
    </row>
    <row r="746" spans="10:10" ht="12.5" x14ac:dyDescent="0.25">
      <c r="J746" s="641"/>
    </row>
    <row r="747" spans="10:10" ht="12.5" x14ac:dyDescent="0.25">
      <c r="J747" s="641"/>
    </row>
    <row r="748" spans="10:10" ht="12.5" x14ac:dyDescent="0.25">
      <c r="J748" s="641"/>
    </row>
    <row r="749" spans="10:10" ht="12.5" x14ac:dyDescent="0.25">
      <c r="J749" s="641"/>
    </row>
    <row r="750" spans="10:10" ht="12.5" x14ac:dyDescent="0.25">
      <c r="J750" s="641"/>
    </row>
    <row r="751" spans="10:10" ht="12.5" x14ac:dyDescent="0.25">
      <c r="J751" s="641"/>
    </row>
    <row r="752" spans="10:10" ht="12.5" x14ac:dyDescent="0.25">
      <c r="J752" s="641"/>
    </row>
    <row r="753" spans="10:10" ht="12.5" x14ac:dyDescent="0.25">
      <c r="J753" s="641"/>
    </row>
    <row r="754" spans="10:10" ht="12.5" x14ac:dyDescent="0.25">
      <c r="J754" s="641"/>
    </row>
    <row r="755" spans="10:10" ht="12.5" x14ac:dyDescent="0.25">
      <c r="J755" s="641"/>
    </row>
    <row r="756" spans="10:10" ht="12.5" x14ac:dyDescent="0.25">
      <c r="J756" s="641"/>
    </row>
    <row r="757" spans="10:10" ht="12.5" x14ac:dyDescent="0.25">
      <c r="J757" s="641"/>
    </row>
    <row r="758" spans="10:10" ht="12.5" x14ac:dyDescent="0.25">
      <c r="J758" s="641"/>
    </row>
    <row r="759" spans="10:10" ht="12.5" x14ac:dyDescent="0.25">
      <c r="J759" s="641"/>
    </row>
    <row r="760" spans="10:10" ht="12.5" x14ac:dyDescent="0.25">
      <c r="J760" s="641"/>
    </row>
    <row r="761" spans="10:10" ht="12.5" x14ac:dyDescent="0.25">
      <c r="J761" s="641"/>
    </row>
    <row r="762" spans="10:10" ht="12.5" x14ac:dyDescent="0.25">
      <c r="J762" s="641"/>
    </row>
    <row r="763" spans="10:10" ht="12.5" x14ac:dyDescent="0.25">
      <c r="J763" s="641"/>
    </row>
    <row r="764" spans="10:10" ht="12.5" x14ac:dyDescent="0.25">
      <c r="J764" s="641"/>
    </row>
    <row r="765" spans="10:10" ht="12.5" x14ac:dyDescent="0.25">
      <c r="J765" s="641"/>
    </row>
    <row r="766" spans="10:10" ht="12.5" x14ac:dyDescent="0.25">
      <c r="J766" s="641"/>
    </row>
    <row r="767" spans="10:10" ht="12.5" x14ac:dyDescent="0.25">
      <c r="J767" s="641"/>
    </row>
    <row r="768" spans="10:10" ht="12.5" x14ac:dyDescent="0.25">
      <c r="J768" s="641"/>
    </row>
    <row r="769" spans="10:10" ht="12.5" x14ac:dyDescent="0.25">
      <c r="J769" s="641"/>
    </row>
    <row r="770" spans="10:10" ht="12.5" x14ac:dyDescent="0.25">
      <c r="J770" s="641"/>
    </row>
    <row r="771" spans="10:10" ht="12.5" x14ac:dyDescent="0.25">
      <c r="J771" s="641"/>
    </row>
    <row r="772" spans="10:10" ht="12.5" x14ac:dyDescent="0.25">
      <c r="J772" s="641"/>
    </row>
    <row r="773" spans="10:10" ht="12.5" x14ac:dyDescent="0.25">
      <c r="J773" s="641"/>
    </row>
    <row r="774" spans="10:10" ht="12.5" x14ac:dyDescent="0.25">
      <c r="J774" s="641"/>
    </row>
    <row r="775" spans="10:10" ht="12.5" x14ac:dyDescent="0.25">
      <c r="J775" s="641"/>
    </row>
    <row r="776" spans="10:10" ht="12.5" x14ac:dyDescent="0.25">
      <c r="J776" s="641"/>
    </row>
    <row r="777" spans="10:10" ht="12.5" x14ac:dyDescent="0.25">
      <c r="J777" s="641"/>
    </row>
    <row r="778" spans="10:10" ht="12.5" x14ac:dyDescent="0.25">
      <c r="J778" s="641"/>
    </row>
    <row r="779" spans="10:10" ht="12.5" x14ac:dyDescent="0.25">
      <c r="J779" s="641"/>
    </row>
    <row r="780" spans="10:10" ht="12.5" x14ac:dyDescent="0.25">
      <c r="J780" s="641"/>
    </row>
    <row r="781" spans="10:10" ht="12.5" x14ac:dyDescent="0.25">
      <c r="J781" s="641"/>
    </row>
    <row r="782" spans="10:10" ht="12.5" x14ac:dyDescent="0.25">
      <c r="J782" s="641"/>
    </row>
    <row r="783" spans="10:10" ht="12.5" x14ac:dyDescent="0.25">
      <c r="J783" s="641"/>
    </row>
    <row r="784" spans="10:10" ht="12.5" x14ac:dyDescent="0.25">
      <c r="J784" s="641"/>
    </row>
    <row r="785" spans="10:10" ht="12.5" x14ac:dyDescent="0.25">
      <c r="J785" s="641"/>
    </row>
    <row r="786" spans="10:10" ht="12.5" x14ac:dyDescent="0.25">
      <c r="J786" s="641"/>
    </row>
    <row r="787" spans="10:10" ht="12.5" x14ac:dyDescent="0.25">
      <c r="J787" s="641"/>
    </row>
    <row r="788" spans="10:10" ht="12.5" x14ac:dyDescent="0.25">
      <c r="J788" s="641"/>
    </row>
    <row r="789" spans="10:10" ht="12.5" x14ac:dyDescent="0.25">
      <c r="J789" s="641"/>
    </row>
    <row r="790" spans="10:10" ht="12.5" x14ac:dyDescent="0.25">
      <c r="J790" s="641"/>
    </row>
    <row r="791" spans="10:10" ht="12.5" x14ac:dyDescent="0.25">
      <c r="J791" s="641"/>
    </row>
    <row r="792" spans="10:10" ht="12.5" x14ac:dyDescent="0.25">
      <c r="J792" s="641"/>
    </row>
    <row r="793" spans="10:10" ht="12.5" x14ac:dyDescent="0.25">
      <c r="J793" s="641"/>
    </row>
    <row r="794" spans="10:10" ht="12.5" x14ac:dyDescent="0.25">
      <c r="J794" s="641"/>
    </row>
    <row r="795" spans="10:10" ht="12.5" x14ac:dyDescent="0.25">
      <c r="J795" s="641"/>
    </row>
    <row r="796" spans="10:10" ht="12.5" x14ac:dyDescent="0.25">
      <c r="J796" s="641"/>
    </row>
    <row r="797" spans="10:10" ht="12.5" x14ac:dyDescent="0.25">
      <c r="J797" s="641"/>
    </row>
    <row r="798" spans="10:10" ht="12.5" x14ac:dyDescent="0.25">
      <c r="J798" s="641"/>
    </row>
    <row r="799" spans="10:10" ht="12.5" x14ac:dyDescent="0.25">
      <c r="J799" s="641"/>
    </row>
    <row r="800" spans="10:10" ht="12.5" x14ac:dyDescent="0.25">
      <c r="J800" s="641"/>
    </row>
    <row r="801" spans="10:10" ht="12.5" x14ac:dyDescent="0.25">
      <c r="J801" s="641"/>
    </row>
    <row r="802" spans="10:10" ht="12.5" x14ac:dyDescent="0.25">
      <c r="J802" s="641"/>
    </row>
    <row r="803" spans="10:10" ht="12.5" x14ac:dyDescent="0.25">
      <c r="J803" s="641"/>
    </row>
    <row r="804" spans="10:10" ht="12.5" x14ac:dyDescent="0.25">
      <c r="J804" s="641"/>
    </row>
    <row r="805" spans="10:10" ht="12.5" x14ac:dyDescent="0.25">
      <c r="J805" s="641"/>
    </row>
    <row r="806" spans="10:10" ht="12.5" x14ac:dyDescent="0.25">
      <c r="J806" s="641"/>
    </row>
    <row r="807" spans="10:10" ht="12.5" x14ac:dyDescent="0.25">
      <c r="J807" s="641"/>
    </row>
    <row r="808" spans="10:10" ht="12.5" x14ac:dyDescent="0.25">
      <c r="J808" s="641"/>
    </row>
    <row r="809" spans="10:10" ht="12.5" x14ac:dyDescent="0.25">
      <c r="J809" s="641"/>
    </row>
    <row r="810" spans="10:10" ht="12.5" x14ac:dyDescent="0.25">
      <c r="J810" s="641"/>
    </row>
    <row r="811" spans="10:10" ht="12.5" x14ac:dyDescent="0.25">
      <c r="J811" s="641"/>
    </row>
    <row r="812" spans="10:10" ht="12.5" x14ac:dyDescent="0.25">
      <c r="J812" s="641"/>
    </row>
    <row r="813" spans="10:10" ht="12.5" x14ac:dyDescent="0.25">
      <c r="J813" s="641"/>
    </row>
    <row r="814" spans="10:10" ht="12.5" x14ac:dyDescent="0.25">
      <c r="J814" s="641"/>
    </row>
    <row r="815" spans="10:10" ht="12.5" x14ac:dyDescent="0.25">
      <c r="J815" s="641"/>
    </row>
    <row r="816" spans="10:10" ht="12.5" x14ac:dyDescent="0.25">
      <c r="J816" s="641"/>
    </row>
    <row r="817" spans="10:10" ht="12.5" x14ac:dyDescent="0.25">
      <c r="J817" s="641"/>
    </row>
    <row r="818" spans="10:10" ht="12.5" x14ac:dyDescent="0.25">
      <c r="J818" s="641"/>
    </row>
    <row r="819" spans="10:10" ht="12.5" x14ac:dyDescent="0.25">
      <c r="J819" s="641"/>
    </row>
    <row r="820" spans="10:10" ht="12.5" x14ac:dyDescent="0.25">
      <c r="J820" s="641"/>
    </row>
    <row r="821" spans="10:10" ht="12.5" x14ac:dyDescent="0.25">
      <c r="J821" s="641"/>
    </row>
    <row r="822" spans="10:10" ht="12.5" x14ac:dyDescent="0.25">
      <c r="J822" s="641"/>
    </row>
    <row r="823" spans="10:10" ht="12.5" x14ac:dyDescent="0.25">
      <c r="J823" s="641"/>
    </row>
    <row r="824" spans="10:10" ht="12.5" x14ac:dyDescent="0.25">
      <c r="J824" s="641"/>
    </row>
    <row r="825" spans="10:10" ht="12.5" x14ac:dyDescent="0.25">
      <c r="J825" s="641"/>
    </row>
    <row r="826" spans="10:10" ht="12.5" x14ac:dyDescent="0.25">
      <c r="J826" s="641"/>
    </row>
    <row r="827" spans="10:10" ht="12.5" x14ac:dyDescent="0.25">
      <c r="J827" s="641"/>
    </row>
    <row r="828" spans="10:10" ht="12.5" x14ac:dyDescent="0.25">
      <c r="J828" s="641"/>
    </row>
    <row r="829" spans="10:10" ht="12.5" x14ac:dyDescent="0.25">
      <c r="J829" s="641"/>
    </row>
    <row r="830" spans="10:10" ht="12.5" x14ac:dyDescent="0.25">
      <c r="J830" s="641"/>
    </row>
    <row r="831" spans="10:10" ht="12.5" x14ac:dyDescent="0.25">
      <c r="J831" s="641"/>
    </row>
    <row r="832" spans="10:10" ht="12.5" x14ac:dyDescent="0.25">
      <c r="J832" s="641"/>
    </row>
    <row r="833" spans="10:10" ht="12.5" x14ac:dyDescent="0.25">
      <c r="J833" s="641"/>
    </row>
    <row r="834" spans="10:10" ht="12.5" x14ac:dyDescent="0.25">
      <c r="J834" s="641"/>
    </row>
    <row r="835" spans="10:10" ht="12.5" x14ac:dyDescent="0.25">
      <c r="J835" s="641"/>
    </row>
    <row r="836" spans="10:10" ht="12.5" x14ac:dyDescent="0.25">
      <c r="J836" s="641"/>
    </row>
    <row r="837" spans="10:10" ht="12.5" x14ac:dyDescent="0.25">
      <c r="J837" s="641"/>
    </row>
    <row r="838" spans="10:10" ht="12.5" x14ac:dyDescent="0.25">
      <c r="J838" s="641"/>
    </row>
    <row r="839" spans="10:10" ht="12.5" x14ac:dyDescent="0.25">
      <c r="J839" s="641"/>
    </row>
    <row r="840" spans="10:10" ht="12.5" x14ac:dyDescent="0.25">
      <c r="J840" s="641"/>
    </row>
    <row r="841" spans="10:10" ht="12.5" x14ac:dyDescent="0.25">
      <c r="J841" s="641"/>
    </row>
    <row r="842" spans="10:10" ht="12.5" x14ac:dyDescent="0.25">
      <c r="J842" s="641"/>
    </row>
    <row r="843" spans="10:10" ht="12.5" x14ac:dyDescent="0.25">
      <c r="J843" s="641"/>
    </row>
    <row r="844" spans="10:10" ht="12.5" x14ac:dyDescent="0.25">
      <c r="J844" s="641"/>
    </row>
    <row r="845" spans="10:10" ht="12.5" x14ac:dyDescent="0.25">
      <c r="J845" s="641"/>
    </row>
    <row r="846" spans="10:10" ht="12.5" x14ac:dyDescent="0.25">
      <c r="J846" s="641"/>
    </row>
    <row r="847" spans="10:10" ht="12.5" x14ac:dyDescent="0.25">
      <c r="J847" s="641"/>
    </row>
    <row r="848" spans="10:10" ht="12.5" x14ac:dyDescent="0.25">
      <c r="J848" s="641"/>
    </row>
    <row r="849" spans="10:10" ht="12.5" x14ac:dyDescent="0.25">
      <c r="J849" s="641"/>
    </row>
    <row r="850" spans="10:10" ht="12.5" x14ac:dyDescent="0.25">
      <c r="J850" s="641"/>
    </row>
    <row r="851" spans="10:10" ht="12.5" x14ac:dyDescent="0.25">
      <c r="J851" s="641"/>
    </row>
    <row r="852" spans="10:10" ht="12.5" x14ac:dyDescent="0.25">
      <c r="J852" s="641"/>
    </row>
    <row r="853" spans="10:10" ht="12.5" x14ac:dyDescent="0.25">
      <c r="J853" s="641"/>
    </row>
    <row r="854" spans="10:10" ht="12.5" x14ac:dyDescent="0.25">
      <c r="J854" s="641"/>
    </row>
    <row r="855" spans="10:10" ht="12.5" x14ac:dyDescent="0.25">
      <c r="J855" s="641"/>
    </row>
    <row r="856" spans="10:10" ht="12.5" x14ac:dyDescent="0.25">
      <c r="J856" s="641"/>
    </row>
    <row r="857" spans="10:10" ht="12.5" x14ac:dyDescent="0.25">
      <c r="J857" s="641"/>
    </row>
    <row r="858" spans="10:10" ht="12.5" x14ac:dyDescent="0.25">
      <c r="J858" s="641"/>
    </row>
    <row r="859" spans="10:10" ht="12.5" x14ac:dyDescent="0.25">
      <c r="J859" s="641"/>
    </row>
    <row r="860" spans="10:10" ht="12.5" x14ac:dyDescent="0.25">
      <c r="J860" s="641"/>
    </row>
    <row r="861" spans="10:10" ht="12.5" x14ac:dyDescent="0.25">
      <c r="J861" s="641"/>
    </row>
    <row r="862" spans="10:10" ht="12.5" x14ac:dyDescent="0.25">
      <c r="J862" s="641"/>
    </row>
    <row r="863" spans="10:10" ht="12.5" x14ac:dyDescent="0.25">
      <c r="J863" s="641"/>
    </row>
    <row r="864" spans="10:10" ht="12.5" x14ac:dyDescent="0.25">
      <c r="J864" s="641"/>
    </row>
    <row r="865" spans="10:10" ht="12.5" x14ac:dyDescent="0.25">
      <c r="J865" s="641"/>
    </row>
    <row r="866" spans="10:10" ht="12.5" x14ac:dyDescent="0.25">
      <c r="J866" s="641"/>
    </row>
    <row r="867" spans="10:10" ht="12.5" x14ac:dyDescent="0.25">
      <c r="J867" s="641"/>
    </row>
    <row r="868" spans="10:10" ht="12.5" x14ac:dyDescent="0.25">
      <c r="J868" s="641"/>
    </row>
    <row r="869" spans="10:10" ht="12.5" x14ac:dyDescent="0.25">
      <c r="J869" s="641"/>
    </row>
    <row r="870" spans="10:10" ht="12.5" x14ac:dyDescent="0.25">
      <c r="J870" s="641"/>
    </row>
    <row r="871" spans="10:10" ht="12.5" x14ac:dyDescent="0.25">
      <c r="J871" s="641"/>
    </row>
    <row r="872" spans="10:10" ht="12.5" x14ac:dyDescent="0.25">
      <c r="J872" s="641"/>
    </row>
    <row r="873" spans="10:10" ht="12.5" x14ac:dyDescent="0.25">
      <c r="J873" s="641"/>
    </row>
    <row r="874" spans="10:10" ht="12.5" x14ac:dyDescent="0.25">
      <c r="J874" s="641"/>
    </row>
    <row r="875" spans="10:10" ht="12.5" x14ac:dyDescent="0.25">
      <c r="J875" s="641"/>
    </row>
    <row r="876" spans="10:10" ht="12.5" x14ac:dyDescent="0.25">
      <c r="J876" s="641"/>
    </row>
    <row r="877" spans="10:10" ht="12.5" x14ac:dyDescent="0.25">
      <c r="J877" s="641"/>
    </row>
    <row r="878" spans="10:10" ht="12.5" x14ac:dyDescent="0.25">
      <c r="J878" s="641"/>
    </row>
    <row r="879" spans="10:10" ht="12.5" x14ac:dyDescent="0.25">
      <c r="J879" s="641"/>
    </row>
    <row r="880" spans="10:10" ht="12.5" x14ac:dyDescent="0.25">
      <c r="J880" s="641"/>
    </row>
    <row r="881" spans="10:10" ht="12.5" x14ac:dyDescent="0.25">
      <c r="J881" s="641"/>
    </row>
    <row r="882" spans="10:10" ht="12.5" x14ac:dyDescent="0.25">
      <c r="J882" s="641"/>
    </row>
    <row r="883" spans="10:10" ht="12.5" x14ac:dyDescent="0.25">
      <c r="J883" s="641"/>
    </row>
    <row r="884" spans="10:10" ht="12.5" x14ac:dyDescent="0.25">
      <c r="J884" s="641"/>
    </row>
    <row r="885" spans="10:10" ht="12.5" x14ac:dyDescent="0.25">
      <c r="J885" s="641"/>
    </row>
    <row r="886" spans="10:10" ht="12.5" x14ac:dyDescent="0.25">
      <c r="J886" s="641"/>
    </row>
    <row r="887" spans="10:10" ht="12.5" x14ac:dyDescent="0.25">
      <c r="J887" s="641"/>
    </row>
    <row r="888" spans="10:10" ht="12.5" x14ac:dyDescent="0.25">
      <c r="J888" s="641"/>
    </row>
    <row r="889" spans="10:10" ht="12.5" x14ac:dyDescent="0.25">
      <c r="J889" s="641"/>
    </row>
    <row r="890" spans="10:10" ht="12.5" x14ac:dyDescent="0.25">
      <c r="J890" s="641"/>
    </row>
    <row r="891" spans="10:10" ht="12.5" x14ac:dyDescent="0.25">
      <c r="J891" s="641"/>
    </row>
    <row r="892" spans="10:10" ht="12.5" x14ac:dyDescent="0.25">
      <c r="J892" s="641"/>
    </row>
    <row r="893" spans="10:10" ht="12.5" x14ac:dyDescent="0.25">
      <c r="J893" s="641"/>
    </row>
    <row r="894" spans="10:10" ht="12.5" x14ac:dyDescent="0.25">
      <c r="J894" s="641"/>
    </row>
    <row r="895" spans="10:10" ht="12.5" x14ac:dyDescent="0.25">
      <c r="J895" s="641"/>
    </row>
    <row r="896" spans="10:10" ht="12.5" x14ac:dyDescent="0.25">
      <c r="J896" s="641"/>
    </row>
    <row r="897" spans="10:10" ht="12.5" x14ac:dyDescent="0.25">
      <c r="J897" s="641"/>
    </row>
    <row r="898" spans="10:10" ht="12.5" x14ac:dyDescent="0.25">
      <c r="J898" s="641"/>
    </row>
    <row r="899" spans="10:10" ht="12.5" x14ac:dyDescent="0.25">
      <c r="J899" s="641"/>
    </row>
    <row r="900" spans="10:10" ht="12.5" x14ac:dyDescent="0.25">
      <c r="J900" s="641"/>
    </row>
    <row r="901" spans="10:10" ht="12.5" x14ac:dyDescent="0.25">
      <c r="J901" s="641"/>
    </row>
    <row r="902" spans="10:10" ht="12.5" x14ac:dyDescent="0.25">
      <c r="J902" s="641"/>
    </row>
    <row r="903" spans="10:10" ht="12.5" x14ac:dyDescent="0.25">
      <c r="J903" s="641"/>
    </row>
    <row r="904" spans="10:10" ht="12.5" x14ac:dyDescent="0.25">
      <c r="J904" s="641"/>
    </row>
    <row r="905" spans="10:10" ht="12.5" x14ac:dyDescent="0.25">
      <c r="J905" s="641"/>
    </row>
    <row r="906" spans="10:10" ht="12.5" x14ac:dyDescent="0.25">
      <c r="J906" s="641"/>
    </row>
    <row r="907" spans="10:10" ht="12.5" x14ac:dyDescent="0.25">
      <c r="J907" s="641"/>
    </row>
    <row r="908" spans="10:10" ht="12.5" x14ac:dyDescent="0.25">
      <c r="J908" s="641"/>
    </row>
    <row r="909" spans="10:10" ht="12.5" x14ac:dyDescent="0.25">
      <c r="J909" s="641"/>
    </row>
    <row r="910" spans="10:10" ht="12.5" x14ac:dyDescent="0.25">
      <c r="J910" s="641"/>
    </row>
    <row r="911" spans="10:10" ht="12.5" x14ac:dyDescent="0.25">
      <c r="J911" s="641"/>
    </row>
    <row r="912" spans="10:10" ht="12.5" x14ac:dyDescent="0.25">
      <c r="J912" s="641"/>
    </row>
    <row r="913" spans="10:10" ht="12.5" x14ac:dyDescent="0.25">
      <c r="J913" s="641"/>
    </row>
    <row r="914" spans="10:10" ht="12.5" x14ac:dyDescent="0.25">
      <c r="J914" s="641"/>
    </row>
    <row r="915" spans="10:10" ht="12.5" x14ac:dyDescent="0.25">
      <c r="J915" s="641"/>
    </row>
    <row r="916" spans="10:10" ht="12.5" x14ac:dyDescent="0.25">
      <c r="J916" s="641"/>
    </row>
    <row r="917" spans="10:10" ht="12.5" x14ac:dyDescent="0.25">
      <c r="J917" s="641"/>
    </row>
    <row r="918" spans="10:10" ht="12.5" x14ac:dyDescent="0.25">
      <c r="J918" s="641"/>
    </row>
    <row r="919" spans="10:10" ht="12.5" x14ac:dyDescent="0.25">
      <c r="J919" s="641"/>
    </row>
    <row r="920" spans="10:10" ht="12.5" x14ac:dyDescent="0.25">
      <c r="J920" s="641"/>
    </row>
    <row r="921" spans="10:10" ht="12.5" x14ac:dyDescent="0.25">
      <c r="J921" s="641"/>
    </row>
    <row r="922" spans="10:10" ht="12.5" x14ac:dyDescent="0.25">
      <c r="J922" s="641"/>
    </row>
    <row r="923" spans="10:10" ht="12.5" x14ac:dyDescent="0.25">
      <c r="J923" s="641"/>
    </row>
    <row r="924" spans="10:10" ht="12.5" x14ac:dyDescent="0.25">
      <c r="J924" s="641"/>
    </row>
    <row r="925" spans="10:10" ht="12.5" x14ac:dyDescent="0.25">
      <c r="J925" s="641"/>
    </row>
    <row r="926" spans="10:10" ht="12.5" x14ac:dyDescent="0.25">
      <c r="J926" s="641"/>
    </row>
    <row r="927" spans="10:10" ht="12.5" x14ac:dyDescent="0.25">
      <c r="J927" s="641"/>
    </row>
    <row r="928" spans="10:10" ht="12.5" x14ac:dyDescent="0.25">
      <c r="J928" s="641"/>
    </row>
    <row r="929" spans="10:10" ht="12.5" x14ac:dyDescent="0.25">
      <c r="J929" s="641"/>
    </row>
    <row r="930" spans="10:10" ht="12.5" x14ac:dyDescent="0.25">
      <c r="J930" s="641"/>
    </row>
    <row r="931" spans="10:10" ht="12.5" x14ac:dyDescent="0.25">
      <c r="J931" s="641"/>
    </row>
    <row r="932" spans="10:10" ht="12.5" x14ac:dyDescent="0.25">
      <c r="J932" s="641"/>
    </row>
    <row r="933" spans="10:10" ht="12.5" x14ac:dyDescent="0.25">
      <c r="J933" s="641"/>
    </row>
    <row r="934" spans="10:10" ht="12.5" x14ac:dyDescent="0.25">
      <c r="J934" s="641"/>
    </row>
    <row r="935" spans="10:10" ht="12.5" x14ac:dyDescent="0.25">
      <c r="J935" s="641"/>
    </row>
    <row r="936" spans="10:10" ht="12.5" x14ac:dyDescent="0.25">
      <c r="J936" s="641"/>
    </row>
    <row r="937" spans="10:10" ht="12.5" x14ac:dyDescent="0.25">
      <c r="J937" s="641"/>
    </row>
    <row r="938" spans="10:10" ht="12.5" x14ac:dyDescent="0.25">
      <c r="J938" s="641"/>
    </row>
    <row r="939" spans="10:10" ht="12.5" x14ac:dyDescent="0.25">
      <c r="J939" s="641"/>
    </row>
    <row r="940" spans="10:10" ht="12.5" x14ac:dyDescent="0.25">
      <c r="J940" s="641"/>
    </row>
    <row r="941" spans="10:10" ht="12.5" x14ac:dyDescent="0.25">
      <c r="J941" s="641"/>
    </row>
    <row r="942" spans="10:10" ht="12.5" x14ac:dyDescent="0.25">
      <c r="J942" s="641"/>
    </row>
    <row r="943" spans="10:10" ht="12.5" x14ac:dyDescent="0.25">
      <c r="J943" s="641"/>
    </row>
    <row r="944" spans="10:10" ht="12.5" x14ac:dyDescent="0.25">
      <c r="J944" s="641"/>
    </row>
    <row r="945" spans="10:10" ht="12.5" x14ac:dyDescent="0.25">
      <c r="J945" s="641"/>
    </row>
    <row r="946" spans="10:10" ht="12.5" x14ac:dyDescent="0.25">
      <c r="J946" s="641"/>
    </row>
    <row r="947" spans="10:10" ht="12.5" x14ac:dyDescent="0.25">
      <c r="J947" s="641"/>
    </row>
    <row r="948" spans="10:10" ht="12.5" x14ac:dyDescent="0.25">
      <c r="J948" s="641"/>
    </row>
    <row r="949" spans="10:10" ht="12.5" x14ac:dyDescent="0.25">
      <c r="J949" s="641"/>
    </row>
    <row r="950" spans="10:10" ht="12.5" x14ac:dyDescent="0.25">
      <c r="J950" s="641"/>
    </row>
    <row r="951" spans="10:10" ht="12.5" x14ac:dyDescent="0.25">
      <c r="J951" s="641"/>
    </row>
    <row r="952" spans="10:10" ht="12.5" x14ac:dyDescent="0.25">
      <c r="J952" s="641"/>
    </row>
    <row r="953" spans="10:10" ht="12.5" x14ac:dyDescent="0.25">
      <c r="J953" s="641"/>
    </row>
    <row r="954" spans="10:10" ht="12.5" x14ac:dyDescent="0.25">
      <c r="J954" s="641"/>
    </row>
    <row r="955" spans="10:10" ht="12.5" x14ac:dyDescent="0.25">
      <c r="J955" s="641"/>
    </row>
    <row r="956" spans="10:10" ht="12.5" x14ac:dyDescent="0.25">
      <c r="J956" s="641"/>
    </row>
    <row r="957" spans="10:10" ht="12.5" x14ac:dyDescent="0.25">
      <c r="J957" s="641"/>
    </row>
    <row r="958" spans="10:10" ht="12.5" x14ac:dyDescent="0.25">
      <c r="J958" s="641"/>
    </row>
    <row r="959" spans="10:10" ht="12.5" x14ac:dyDescent="0.25">
      <c r="J959" s="641"/>
    </row>
    <row r="960" spans="10:10" ht="12.5" x14ac:dyDescent="0.25">
      <c r="J960" s="641"/>
    </row>
    <row r="961" spans="10:10" ht="12.5" x14ac:dyDescent="0.25">
      <c r="J961" s="641"/>
    </row>
    <row r="962" spans="10:10" ht="12.5" x14ac:dyDescent="0.25">
      <c r="J962" s="641"/>
    </row>
    <row r="963" spans="10:10" ht="12.5" x14ac:dyDescent="0.25">
      <c r="J963" s="641"/>
    </row>
    <row r="964" spans="10:10" ht="12.5" x14ac:dyDescent="0.25">
      <c r="J964" s="641"/>
    </row>
    <row r="965" spans="10:10" ht="12.5" x14ac:dyDescent="0.25">
      <c r="J965" s="641"/>
    </row>
    <row r="966" spans="10:10" ht="12.5" x14ac:dyDescent="0.25">
      <c r="J966" s="641"/>
    </row>
    <row r="967" spans="10:10" ht="12.5" x14ac:dyDescent="0.25">
      <c r="J967" s="641"/>
    </row>
    <row r="968" spans="10:10" ht="12.5" x14ac:dyDescent="0.25">
      <c r="J968" s="641"/>
    </row>
    <row r="969" spans="10:10" ht="12.5" x14ac:dyDescent="0.25">
      <c r="J969" s="641"/>
    </row>
    <row r="970" spans="10:10" ht="12.5" x14ac:dyDescent="0.25">
      <c r="J970" s="641"/>
    </row>
    <row r="971" spans="10:10" ht="12.5" x14ac:dyDescent="0.25">
      <c r="J971" s="641"/>
    </row>
    <row r="972" spans="10:10" ht="12.5" x14ac:dyDescent="0.25">
      <c r="J972" s="641"/>
    </row>
    <row r="973" spans="10:10" ht="12.5" x14ac:dyDescent="0.25">
      <c r="J973" s="641"/>
    </row>
    <row r="974" spans="10:10" ht="12.5" x14ac:dyDescent="0.25">
      <c r="J974" s="641"/>
    </row>
    <row r="975" spans="10:10" ht="12.5" x14ac:dyDescent="0.25">
      <c r="J975" s="641"/>
    </row>
    <row r="976" spans="10:10" ht="12.5" x14ac:dyDescent="0.25">
      <c r="J976" s="641"/>
    </row>
    <row r="977" spans="10:10" ht="12.5" x14ac:dyDescent="0.25">
      <c r="J977" s="641"/>
    </row>
    <row r="978" spans="10:10" ht="12.5" x14ac:dyDescent="0.25">
      <c r="J978" s="641"/>
    </row>
    <row r="979" spans="10:10" ht="12.5" x14ac:dyDescent="0.25">
      <c r="J979" s="641"/>
    </row>
    <row r="980" spans="10:10" ht="12.5" x14ac:dyDescent="0.25">
      <c r="J980" s="641"/>
    </row>
    <row r="981" spans="10:10" ht="12.5" x14ac:dyDescent="0.25">
      <c r="J981" s="641"/>
    </row>
    <row r="982" spans="10:10" ht="12.5" x14ac:dyDescent="0.25">
      <c r="J982" s="641"/>
    </row>
    <row r="983" spans="10:10" ht="12.5" x14ac:dyDescent="0.25">
      <c r="J983" s="641"/>
    </row>
    <row r="984" spans="10:10" ht="12.5" x14ac:dyDescent="0.25">
      <c r="J984" s="641"/>
    </row>
    <row r="985" spans="10:10" ht="12.5" x14ac:dyDescent="0.25">
      <c r="J985" s="641"/>
    </row>
    <row r="986" spans="10:10" ht="12.5" x14ac:dyDescent="0.25">
      <c r="J986" s="641"/>
    </row>
    <row r="987" spans="10:10" ht="12.5" x14ac:dyDescent="0.25">
      <c r="J987" s="641"/>
    </row>
    <row r="988" spans="10:10" ht="12.5" x14ac:dyDescent="0.25">
      <c r="J988" s="641"/>
    </row>
    <row r="989" spans="10:10" ht="12.5" x14ac:dyDescent="0.25">
      <c r="J989" s="641"/>
    </row>
    <row r="990" spans="10:10" ht="12.5" x14ac:dyDescent="0.25">
      <c r="J990" s="641"/>
    </row>
    <row r="991" spans="10:10" ht="12.5" x14ac:dyDescent="0.25">
      <c r="J991" s="641"/>
    </row>
    <row r="992" spans="10:10" ht="12.5" x14ac:dyDescent="0.25">
      <c r="J992" s="641"/>
    </row>
    <row r="993" spans="10:10" ht="12.5" x14ac:dyDescent="0.25">
      <c r="J993" s="641"/>
    </row>
    <row r="994" spans="10:10" ht="12.5" x14ac:dyDescent="0.25">
      <c r="J994" s="641"/>
    </row>
    <row r="995" spans="10:10" ht="12.5" x14ac:dyDescent="0.25">
      <c r="J995" s="641"/>
    </row>
    <row r="996" spans="10:10" ht="12.5" x14ac:dyDescent="0.25">
      <c r="J996" s="641"/>
    </row>
    <row r="997" spans="10:10" ht="12.5" x14ac:dyDescent="0.25">
      <c r="J997" s="641"/>
    </row>
    <row r="998" spans="10:10" ht="12.5" x14ac:dyDescent="0.25">
      <c r="J998" s="641"/>
    </row>
    <row r="999" spans="10:10" ht="12.5" x14ac:dyDescent="0.25">
      <c r="J999" s="641"/>
    </row>
    <row r="1000" spans="10:10" ht="12.5" x14ac:dyDescent="0.25">
      <c r="J1000" s="641"/>
    </row>
    <row r="1001" spans="10:10" ht="12.5" x14ac:dyDescent="0.25">
      <c r="J1001" s="641"/>
    </row>
    <row r="1002" spans="10:10" ht="12.5" x14ac:dyDescent="0.25">
      <c r="J1002" s="641"/>
    </row>
    <row r="1003" spans="10:10" ht="12.5" x14ac:dyDescent="0.25">
      <c r="J1003" s="641"/>
    </row>
    <row r="1004" spans="10:10" ht="12.5" x14ac:dyDescent="0.25">
      <c r="J1004" s="641"/>
    </row>
    <row r="1005" spans="10:10" ht="12.5" x14ac:dyDescent="0.25">
      <c r="J1005" s="641"/>
    </row>
    <row r="1006" spans="10:10" ht="12.5" x14ac:dyDescent="0.25">
      <c r="J1006" s="641"/>
    </row>
    <row r="1007" spans="10:10" ht="12.5" x14ac:dyDescent="0.25">
      <c r="J1007" s="641"/>
    </row>
    <row r="1008" spans="10:10" ht="12.5" x14ac:dyDescent="0.25">
      <c r="J1008" s="641"/>
    </row>
    <row r="1009" spans="10:10" ht="12.5" x14ac:dyDescent="0.25">
      <c r="J1009" s="641"/>
    </row>
    <row r="1010" spans="10:10" ht="12.5" x14ac:dyDescent="0.25">
      <c r="J1010" s="641"/>
    </row>
    <row r="1011" spans="10:10" ht="12.5" x14ac:dyDescent="0.25">
      <c r="J1011" s="641"/>
    </row>
    <row r="1012" spans="10:10" ht="12.5" x14ac:dyDescent="0.25">
      <c r="J1012" s="641"/>
    </row>
    <row r="1013" spans="10:10" ht="12.5" x14ac:dyDescent="0.25">
      <c r="J1013" s="641"/>
    </row>
    <row r="1014" spans="10:10" ht="12.5" x14ac:dyDescent="0.25">
      <c r="J1014" s="641"/>
    </row>
    <row r="1015" spans="10:10" ht="12.5" x14ac:dyDescent="0.25">
      <c r="J1015" s="641"/>
    </row>
    <row r="1016" spans="10:10" ht="12.5" x14ac:dyDescent="0.25">
      <c r="J1016" s="641"/>
    </row>
    <row r="1017" spans="10:10" ht="12.5" x14ac:dyDescent="0.25">
      <c r="J1017" s="641"/>
    </row>
    <row r="1018" spans="10:10" ht="12.5" x14ac:dyDescent="0.25">
      <c r="J1018" s="641"/>
    </row>
    <row r="1019" spans="10:10" ht="12.5" x14ac:dyDescent="0.25">
      <c r="J1019" s="641"/>
    </row>
    <row r="1020" spans="10:10" ht="12.5" x14ac:dyDescent="0.25">
      <c r="J1020" s="641"/>
    </row>
    <row r="1021" spans="10:10" ht="12.5" x14ac:dyDescent="0.25">
      <c r="J1021" s="641"/>
    </row>
    <row r="1022" spans="10:10" ht="12.5" x14ac:dyDescent="0.25">
      <c r="J1022" s="641"/>
    </row>
    <row r="1023" spans="10:10" ht="12.5" x14ac:dyDescent="0.25">
      <c r="J1023" s="641"/>
    </row>
    <row r="1024" spans="10:10" ht="12.5" x14ac:dyDescent="0.25">
      <c r="J1024" s="641"/>
    </row>
    <row r="1025" spans="10:10" ht="12.5" x14ac:dyDescent="0.25">
      <c r="J1025" s="641"/>
    </row>
    <row r="1026" spans="10:10" ht="12.5" x14ac:dyDescent="0.25">
      <c r="J1026" s="641"/>
    </row>
    <row r="1027" spans="10:10" ht="12.5" x14ac:dyDescent="0.25">
      <c r="J1027" s="641"/>
    </row>
    <row r="1028" spans="10:10" ht="12.5" x14ac:dyDescent="0.25">
      <c r="J1028" s="641"/>
    </row>
    <row r="1029" spans="10:10" ht="12.5" x14ac:dyDescent="0.25">
      <c r="J1029" s="641"/>
    </row>
    <row r="1030" spans="10:10" ht="12.5" x14ac:dyDescent="0.25">
      <c r="J1030" s="641"/>
    </row>
    <row r="1031" spans="10:10" ht="12.5" x14ac:dyDescent="0.25">
      <c r="J1031" s="641"/>
    </row>
    <row r="1032" spans="10:10" ht="12.5" x14ac:dyDescent="0.25">
      <c r="J1032" s="641"/>
    </row>
  </sheetData>
  <mergeCells count="25">
    <mergeCell ref="B30:G30"/>
    <mergeCell ref="B31:G31"/>
    <mergeCell ref="B32:G32"/>
    <mergeCell ref="B33:G33"/>
    <mergeCell ref="B22:I22"/>
    <mergeCell ref="B23:I23"/>
    <mergeCell ref="B24:I24"/>
    <mergeCell ref="B25:I25"/>
    <mergeCell ref="B26:I26"/>
    <mergeCell ref="B29:G29"/>
    <mergeCell ref="B21:I21"/>
    <mergeCell ref="C7:I7"/>
    <mergeCell ref="C8:I9"/>
    <mergeCell ref="C10:I10"/>
    <mergeCell ref="B19:I19"/>
    <mergeCell ref="B20:I20"/>
    <mergeCell ref="B43:G43"/>
    <mergeCell ref="B41:G41"/>
    <mergeCell ref="B42:G42"/>
    <mergeCell ref="B40:G40"/>
    <mergeCell ref="B34:G34"/>
    <mergeCell ref="B35:G35"/>
    <mergeCell ref="B37:G37"/>
    <mergeCell ref="B38:G38"/>
    <mergeCell ref="B39:G39"/>
  </mergeCells>
  <hyperlinks>
    <hyperlink ref="B8" r:id="rId1"/>
    <hyperlink ref="B9" r:id="rId2"/>
    <hyperlink ref="B10" r:id="rId3"/>
    <hyperlink ref="D14" location="ECT_EfficiencyCostMaxAnnUF_Ref!A1" display="ECT_EfficiencyCostMaxAnnualUF.csv"/>
    <hyperlink ref="D15" location="ECT_EfficiencyCostMaxAnnUF_PRS!A1" display="ECT_EfficiencyCostMaxAnnualUF.csv"/>
    <hyperlink ref="H29" r:id="rId4"/>
    <hyperlink ref="H30" r:id="rId5"/>
    <hyperlink ref="H31" r:id="rId6"/>
    <hyperlink ref="H32" r:id="rId7"/>
    <hyperlink ref="H33" r:id="rId8"/>
    <hyperlink ref="H35" r:id="rId9"/>
    <hyperlink ref="H38" r:id="rId10"/>
    <hyperlink ref="H37" r:id="rId11"/>
    <hyperlink ref="H42" r:id="rId12"/>
    <hyperlink ref="H40" r:id="rId13"/>
  </hyperlinks>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zoomScaleNormal="100" workbookViewId="0"/>
  </sheetViews>
  <sheetFormatPr defaultColWidth="9.26953125" defaultRowHeight="14.5" x14ac:dyDescent="0.35"/>
  <cols>
    <col min="1" max="1" width="29.453125" style="304" customWidth="1"/>
    <col min="2" max="2" width="23.26953125" style="304" customWidth="1"/>
    <col min="3" max="3" width="17.54296875" style="304" customWidth="1"/>
    <col min="4" max="4" width="9.26953125" style="304"/>
    <col min="5" max="5" width="23.26953125" style="304" customWidth="1"/>
    <col min="6" max="6" width="18.26953125" style="304" customWidth="1"/>
    <col min="7" max="16384" width="9.26953125" style="304"/>
  </cols>
  <sheetData>
    <row r="1" spans="1:10" x14ac:dyDescent="0.35">
      <c r="A1" s="675" t="s">
        <v>1607</v>
      </c>
      <c r="B1" s="29" t="s">
        <v>1662</v>
      </c>
      <c r="C1" s="675" t="s">
        <v>1663</v>
      </c>
      <c r="E1" s="485" t="s">
        <v>1662</v>
      </c>
      <c r="F1" s="485" t="s">
        <v>1563</v>
      </c>
      <c r="H1" t="s">
        <v>1563</v>
      </c>
      <c r="J1" t="s">
        <v>1647</v>
      </c>
    </row>
    <row r="2" spans="1:10" x14ac:dyDescent="0.35">
      <c r="A2" s="304" t="s">
        <v>1664</v>
      </c>
      <c r="B2" s="304" t="s">
        <v>1665</v>
      </c>
      <c r="C2" s="304" t="s">
        <v>1666</v>
      </c>
      <c r="E2" s="537" t="s">
        <v>1667</v>
      </c>
      <c r="F2" s="304" t="s">
        <v>644</v>
      </c>
      <c r="H2" t="s">
        <v>1046</v>
      </c>
      <c r="J2">
        <v>2021</v>
      </c>
    </row>
    <row r="3" spans="1:10" x14ac:dyDescent="0.35">
      <c r="A3" s="304" t="s">
        <v>1610</v>
      </c>
      <c r="B3" s="304" t="s">
        <v>1665</v>
      </c>
      <c r="C3" s="304" t="s">
        <v>1666</v>
      </c>
      <c r="E3" s="537" t="s">
        <v>1667</v>
      </c>
      <c r="F3" s="304" t="s">
        <v>628</v>
      </c>
      <c r="H3" t="s">
        <v>644</v>
      </c>
      <c r="J3">
        <v>2022</v>
      </c>
    </row>
    <row r="4" spans="1:10" x14ac:dyDescent="0.35">
      <c r="A4" s="304" t="s">
        <v>1668</v>
      </c>
      <c r="B4" s="304" t="s">
        <v>1665</v>
      </c>
      <c r="C4" s="304" t="s">
        <v>1666</v>
      </c>
      <c r="E4" s="537" t="s">
        <v>1667</v>
      </c>
      <c r="F4" s="304" t="s">
        <v>1046</v>
      </c>
      <c r="H4" t="s">
        <v>628</v>
      </c>
      <c r="J4" s="304">
        <v>2023</v>
      </c>
    </row>
    <row r="5" spans="1:10" x14ac:dyDescent="0.35">
      <c r="A5" s="304" t="s">
        <v>1669</v>
      </c>
      <c r="B5" s="304" t="s">
        <v>1665</v>
      </c>
      <c r="C5" s="304" t="s">
        <v>1666</v>
      </c>
      <c r="E5" s="537" t="s">
        <v>1667</v>
      </c>
      <c r="F5" s="304" t="s">
        <v>1051</v>
      </c>
      <c r="H5" t="s">
        <v>1051</v>
      </c>
      <c r="J5" s="304">
        <v>2024</v>
      </c>
    </row>
    <row r="6" spans="1:10" x14ac:dyDescent="0.35">
      <c r="A6" s="304" t="s">
        <v>1670</v>
      </c>
      <c r="B6" s="304" t="s">
        <v>1665</v>
      </c>
      <c r="C6" s="304" t="s">
        <v>1666</v>
      </c>
      <c r="E6" s="537" t="s">
        <v>1667</v>
      </c>
      <c r="F6" s="304" t="s">
        <v>1054</v>
      </c>
      <c r="H6" t="s">
        <v>1054</v>
      </c>
      <c r="J6" s="304">
        <v>2025</v>
      </c>
    </row>
    <row r="7" spans="1:10" x14ac:dyDescent="0.35">
      <c r="A7" s="304" t="s">
        <v>1516</v>
      </c>
      <c r="B7" s="304" t="s">
        <v>1665</v>
      </c>
      <c r="C7" s="304" t="s">
        <v>1666</v>
      </c>
      <c r="J7" s="304">
        <v>2026</v>
      </c>
    </row>
    <row r="8" spans="1:10" x14ac:dyDescent="0.35">
      <c r="A8" s="304" t="s">
        <v>1671</v>
      </c>
      <c r="B8" s="304" t="s">
        <v>1665</v>
      </c>
      <c r="C8" s="304" t="s">
        <v>1666</v>
      </c>
      <c r="J8" s="304">
        <v>2027</v>
      </c>
    </row>
    <row r="9" spans="1:10" x14ac:dyDescent="0.35">
      <c r="A9" s="304" t="s">
        <v>1672</v>
      </c>
      <c r="B9" s="304" t="s">
        <v>1665</v>
      </c>
      <c r="C9" s="304" t="s">
        <v>1666</v>
      </c>
      <c r="J9" s="304">
        <v>2028</v>
      </c>
    </row>
    <row r="10" spans="1:10" x14ac:dyDescent="0.35">
      <c r="A10" s="304" t="s">
        <v>1673</v>
      </c>
      <c r="B10" s="304" t="s">
        <v>1665</v>
      </c>
      <c r="C10" s="304" t="s">
        <v>1666</v>
      </c>
      <c r="J10" s="304">
        <v>2029</v>
      </c>
    </row>
    <row r="11" spans="1:10" x14ac:dyDescent="0.35">
      <c r="A11" s="538" t="s">
        <v>1674</v>
      </c>
      <c r="B11" s="539" t="s">
        <v>1667</v>
      </c>
      <c r="C11" s="540" t="s">
        <v>1666</v>
      </c>
      <c r="J11" s="304">
        <v>2030</v>
      </c>
    </row>
    <row r="12" spans="1:10" x14ac:dyDescent="0.35">
      <c r="A12" s="538" t="s">
        <v>1608</v>
      </c>
      <c r="B12" s="539" t="s">
        <v>1667</v>
      </c>
      <c r="C12" s="540" t="s">
        <v>1666</v>
      </c>
      <c r="J12" s="304">
        <v>2031</v>
      </c>
    </row>
    <row r="13" spans="1:10" x14ac:dyDescent="0.35">
      <c r="A13" s="538" t="s">
        <v>1675</v>
      </c>
      <c r="B13" s="539" t="s">
        <v>1667</v>
      </c>
      <c r="C13" s="540" t="s">
        <v>1666</v>
      </c>
    </row>
    <row r="16" spans="1:10" x14ac:dyDescent="0.35">
      <c r="A16" s="304" t="s">
        <v>1676</v>
      </c>
    </row>
    <row r="17" spans="1:7" x14ac:dyDescent="0.35">
      <c r="A17" s="764" t="s">
        <v>1677</v>
      </c>
      <c r="B17" s="764"/>
      <c r="C17" s="764"/>
      <c r="D17" s="764"/>
      <c r="E17" s="764"/>
      <c r="F17" s="541"/>
      <c r="G17" s="541"/>
    </row>
    <row r="18" spans="1:7" x14ac:dyDescent="0.35">
      <c r="A18" s="765" t="s">
        <v>1678</v>
      </c>
      <c r="B18" s="765"/>
      <c r="C18" s="765"/>
      <c r="D18" s="765"/>
      <c r="E18" s="765"/>
      <c r="F18" s="541"/>
      <c r="G18" s="541"/>
    </row>
    <row r="19" spans="1:7" x14ac:dyDescent="0.35">
      <c r="A19" s="766" t="s">
        <v>1679</v>
      </c>
      <c r="B19" s="542" t="s">
        <v>154</v>
      </c>
      <c r="C19" s="542" t="s">
        <v>1680</v>
      </c>
      <c r="D19" s="767" t="s">
        <v>1681</v>
      </c>
      <c r="E19" s="768" t="s">
        <v>1682</v>
      </c>
      <c r="F19" s="541"/>
      <c r="G19" s="541"/>
    </row>
    <row r="20" spans="1:7" x14ac:dyDescent="0.35">
      <c r="A20" s="766"/>
      <c r="B20" s="542" t="s">
        <v>1999</v>
      </c>
      <c r="C20" s="542" t="s">
        <v>1683</v>
      </c>
      <c r="D20" s="767"/>
      <c r="E20" s="768"/>
      <c r="F20" s="541"/>
      <c r="G20" s="541"/>
    </row>
    <row r="21" spans="1:7" x14ac:dyDescent="0.35">
      <c r="A21" s="543" t="s">
        <v>1684</v>
      </c>
      <c r="B21" s="544">
        <v>1</v>
      </c>
      <c r="C21" s="545">
        <v>1.411</v>
      </c>
      <c r="D21" s="546">
        <v>8.5</v>
      </c>
      <c r="E21" s="543">
        <v>0.98319999999999996</v>
      </c>
      <c r="F21" s="541"/>
      <c r="G21" s="541">
        <f t="shared" ref="G21:G28" si="0">1/C21</f>
        <v>0.7087172218284904</v>
      </c>
    </row>
    <row r="22" spans="1:7" x14ac:dyDescent="0.35">
      <c r="A22" s="543" t="s">
        <v>1045</v>
      </c>
      <c r="B22" s="544">
        <v>1</v>
      </c>
      <c r="C22" s="545">
        <v>1.21</v>
      </c>
      <c r="D22" s="546">
        <v>7.45</v>
      </c>
      <c r="E22" s="543">
        <v>0.9879</v>
      </c>
      <c r="F22" s="541"/>
      <c r="G22" s="541">
        <f t="shared" si="0"/>
        <v>0.82644628099173556</v>
      </c>
    </row>
    <row r="23" spans="1:7" x14ac:dyDescent="0.35">
      <c r="A23" s="543" t="s">
        <v>1685</v>
      </c>
      <c r="B23" s="544">
        <v>1</v>
      </c>
      <c r="C23" s="545">
        <v>1.2849999999999999</v>
      </c>
      <c r="D23" s="546">
        <v>7.9</v>
      </c>
      <c r="E23" s="543">
        <v>0.98640000000000005</v>
      </c>
      <c r="F23" s="541"/>
      <c r="G23" s="541">
        <f t="shared" si="0"/>
        <v>0.77821011673151752</v>
      </c>
    </row>
    <row r="24" spans="1:7" x14ac:dyDescent="0.35">
      <c r="A24" s="543" t="s">
        <v>1672</v>
      </c>
      <c r="B24" s="544">
        <v>1</v>
      </c>
      <c r="C24" s="545">
        <v>1.288</v>
      </c>
      <c r="D24" s="546">
        <v>8.1</v>
      </c>
      <c r="E24" s="543">
        <v>0.98619999999999997</v>
      </c>
      <c r="F24" s="541"/>
      <c r="G24" s="541">
        <f t="shared" si="0"/>
        <v>0.77639751552795033</v>
      </c>
    </row>
    <row r="25" spans="1:7" x14ac:dyDescent="0.35">
      <c r="A25" s="543" t="s">
        <v>1686</v>
      </c>
      <c r="B25" s="544">
        <v>1</v>
      </c>
      <c r="C25" s="545">
        <v>1.1719999999999999</v>
      </c>
      <c r="D25" s="546">
        <v>7.37</v>
      </c>
      <c r="E25" s="543">
        <v>0.98770000000000002</v>
      </c>
      <c r="F25" s="541"/>
      <c r="G25" s="541">
        <f t="shared" si="0"/>
        <v>0.85324232081911267</v>
      </c>
    </row>
    <row r="26" spans="1:7" x14ac:dyDescent="0.35">
      <c r="A26" s="543" t="s">
        <v>1687</v>
      </c>
      <c r="B26" s="544">
        <v>1</v>
      </c>
      <c r="C26" s="545">
        <v>1.071</v>
      </c>
      <c r="D26" s="546">
        <v>6.74</v>
      </c>
      <c r="E26" s="543">
        <v>0.9899</v>
      </c>
      <c r="F26" s="541"/>
      <c r="G26" s="541">
        <f t="shared" si="0"/>
        <v>0.93370681605975725</v>
      </c>
    </row>
    <row r="27" spans="1:7" x14ac:dyDescent="0.35">
      <c r="A27" s="543" t="s">
        <v>1688</v>
      </c>
      <c r="B27" s="544">
        <v>1</v>
      </c>
      <c r="C27" s="545">
        <v>1.17</v>
      </c>
      <c r="D27" s="546">
        <v>7.33</v>
      </c>
      <c r="E27" s="543"/>
      <c r="F27" s="541"/>
      <c r="G27" s="541">
        <f t="shared" si="0"/>
        <v>0.85470085470085477</v>
      </c>
    </row>
    <row r="28" spans="1:7" x14ac:dyDescent="0.35">
      <c r="A28" s="547" t="s">
        <v>1671</v>
      </c>
      <c r="B28" s="548">
        <v>1</v>
      </c>
      <c r="C28" s="549">
        <v>1.8440000000000001</v>
      </c>
      <c r="D28" s="550">
        <v>11.6</v>
      </c>
      <c r="E28" s="547"/>
      <c r="F28" s="541"/>
      <c r="G28" s="541">
        <f t="shared" si="0"/>
        <v>0.54229934924078094</v>
      </c>
    </row>
    <row r="29" spans="1:7" x14ac:dyDescent="0.35">
      <c r="A29" s="547" t="s">
        <v>1689</v>
      </c>
      <c r="B29" s="548"/>
      <c r="C29" s="549"/>
      <c r="D29" s="550"/>
      <c r="E29" s="547"/>
      <c r="F29" s="541"/>
      <c r="G29" s="541"/>
    </row>
    <row r="30" spans="1:7" x14ac:dyDescent="0.35">
      <c r="A30" s="547" t="s">
        <v>1690</v>
      </c>
      <c r="B30" s="548"/>
      <c r="C30" s="549"/>
      <c r="D30" s="550"/>
      <c r="E30" s="547"/>
      <c r="F30" s="541"/>
      <c r="G30" s="541"/>
    </row>
    <row r="31" spans="1:7" ht="15.75" customHeight="1" x14ac:dyDescent="0.35"/>
    <row r="32" spans="1:7" x14ac:dyDescent="0.35">
      <c r="A32" s="547" t="s">
        <v>1691</v>
      </c>
    </row>
    <row r="33" spans="1:8" x14ac:dyDescent="0.35">
      <c r="A33" s="10"/>
      <c r="B33" s="10" t="s">
        <v>1495</v>
      </c>
      <c r="C33" s="10" t="s">
        <v>1496</v>
      </c>
      <c r="D33" s="10" t="s">
        <v>1493</v>
      </c>
      <c r="E33" s="10" t="s">
        <v>1494</v>
      </c>
      <c r="F33" s="10" t="s">
        <v>1550</v>
      </c>
      <c r="G33" s="10" t="s">
        <v>1551</v>
      </c>
      <c r="H33" s="10" t="s">
        <v>1692</v>
      </c>
    </row>
    <row r="34" spans="1:8" x14ac:dyDescent="0.35">
      <c r="A34" s="3" t="s">
        <v>1693</v>
      </c>
      <c r="B34" s="3">
        <v>228.28526963402925</v>
      </c>
      <c r="C34" s="3">
        <v>237.17194257563904</v>
      </c>
      <c r="D34" s="3">
        <v>245.90596632523025</v>
      </c>
      <c r="E34" s="3">
        <v>254.65958996483329</v>
      </c>
      <c r="F34" s="3">
        <v>265.04497323089169</v>
      </c>
      <c r="G34" s="3">
        <v>274.29250127053189</v>
      </c>
      <c r="H34" s="3">
        <v>284.3670778109306</v>
      </c>
    </row>
    <row r="35" spans="1:8" x14ac:dyDescent="0.35">
      <c r="E35" s="303"/>
      <c r="F35" s="303"/>
      <c r="G35" s="303"/>
      <c r="H35" s="303"/>
    </row>
    <row r="37" spans="1:8" x14ac:dyDescent="0.35">
      <c r="A37" s="29" t="s">
        <v>1694</v>
      </c>
    </row>
    <row r="38" spans="1:8" x14ac:dyDescent="0.35">
      <c r="A38" s="304" t="s">
        <v>1664</v>
      </c>
      <c r="B38" s="551">
        <v>43.132328308207704</v>
      </c>
      <c r="C38" s="304" t="s">
        <v>1695</v>
      </c>
      <c r="D38" s="149" t="s">
        <v>2000</v>
      </c>
      <c r="F38" s="552"/>
    </row>
    <row r="39" spans="1:8" x14ac:dyDescent="0.35">
      <c r="A39" s="304" t="s">
        <v>1670</v>
      </c>
      <c r="B39" s="551">
        <v>44.798760000000001</v>
      </c>
      <c r="C39" s="304" t="s">
        <v>1695</v>
      </c>
      <c r="F39" s="552"/>
    </row>
    <row r="40" spans="1:8" x14ac:dyDescent="0.35">
      <c r="A40" s="304" t="s">
        <v>1516</v>
      </c>
      <c r="B40" s="551">
        <v>43.333379999999998</v>
      </c>
      <c r="C40" s="304" t="s">
        <v>1695</v>
      </c>
      <c r="F40" s="552"/>
    </row>
    <row r="41" spans="1:8" x14ac:dyDescent="0.35">
      <c r="A41" s="304" t="s">
        <v>1672</v>
      </c>
      <c r="B41" s="551">
        <v>44.589419999999997</v>
      </c>
      <c r="C41" s="304" t="s">
        <v>1695</v>
      </c>
      <c r="F41" s="552"/>
    </row>
    <row r="42" spans="1:8" x14ac:dyDescent="0.35">
      <c r="A42" s="304" t="s">
        <v>1671</v>
      </c>
      <c r="B42" s="551">
        <v>47.310839999999999</v>
      </c>
      <c r="C42" s="304" t="s">
        <v>1695</v>
      </c>
      <c r="F42" s="552"/>
    </row>
    <row r="43" spans="1:8" x14ac:dyDescent="0.35">
      <c r="A43" s="304" t="s">
        <v>1673</v>
      </c>
      <c r="B43" s="551">
        <v>40.193280000000001</v>
      </c>
      <c r="C43" s="304" t="s">
        <v>1695</v>
      </c>
      <c r="F43" s="552"/>
    </row>
  </sheetData>
  <mergeCells count="5">
    <mergeCell ref="A17:E17"/>
    <mergeCell ref="A18:E18"/>
    <mergeCell ref="A19:A20"/>
    <mergeCell ref="D19:D20"/>
    <mergeCell ref="E19:E20"/>
  </mergeCells>
  <pageMargins left="0.7" right="0.7" top="0.75" bottom="0.75" header="0.3" footer="0.3"/>
  <pageSetup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V53"/>
  <sheetViews>
    <sheetView topLeftCell="A13" zoomScaleNormal="100" workbookViewId="0"/>
  </sheetViews>
  <sheetFormatPr defaultColWidth="9.26953125" defaultRowHeight="14.5" x14ac:dyDescent="0.35"/>
  <cols>
    <col min="1" max="1" width="2.7265625" style="304" customWidth="1"/>
    <col min="2" max="2" width="6.453125" style="304" customWidth="1"/>
    <col min="3" max="3" width="11.7265625" style="304" customWidth="1"/>
    <col min="4" max="4" width="13" style="304" customWidth="1"/>
    <col min="5" max="5" width="13.7265625" style="304" customWidth="1"/>
    <col min="6" max="6" width="13.453125" style="304" customWidth="1"/>
    <col min="7" max="7" width="14" style="304" customWidth="1"/>
    <col min="8" max="8" width="14.453125" style="304" customWidth="1"/>
    <col min="9" max="9" width="13.7265625" style="304" customWidth="1"/>
    <col min="10" max="10" width="15" style="304" customWidth="1"/>
    <col min="11" max="11" width="13.7265625" style="304" customWidth="1"/>
    <col min="12" max="12" width="13.26953125" style="304" customWidth="1"/>
    <col min="13" max="13" width="13.7265625" style="304" customWidth="1"/>
    <col min="14" max="14" width="15.7265625" style="304" customWidth="1"/>
    <col min="15" max="15" width="15" style="304" customWidth="1"/>
    <col min="16" max="16" width="16.453125" style="304" customWidth="1"/>
    <col min="17" max="17" width="15.54296875" style="304" customWidth="1"/>
    <col min="18" max="18" width="15.7265625" style="304" customWidth="1"/>
    <col min="19" max="19" width="18.26953125" style="304" customWidth="1"/>
    <col min="20" max="20" width="15" style="304" customWidth="1"/>
    <col min="21" max="21" width="15.54296875" style="304" customWidth="1"/>
    <col min="22" max="22" width="17.26953125" style="304" customWidth="1"/>
    <col min="23" max="23" width="15.7265625" style="304" customWidth="1"/>
    <col min="24" max="16384" width="9.26953125" style="304"/>
  </cols>
  <sheetData>
    <row r="2" spans="2:20" x14ac:dyDescent="0.35">
      <c r="B2" s="304" t="s">
        <v>1870</v>
      </c>
      <c r="C2" s="223" t="s">
        <v>1751</v>
      </c>
      <c r="P2" s="150"/>
      <c r="Q2" s="150"/>
      <c r="R2" s="150"/>
      <c r="S2" s="150"/>
    </row>
    <row r="3" spans="2:20" x14ac:dyDescent="0.35">
      <c r="C3" s="304" t="s">
        <v>1975</v>
      </c>
      <c r="P3" s="150"/>
      <c r="Q3" s="150"/>
      <c r="R3" s="150"/>
      <c r="S3" s="150"/>
    </row>
    <row r="4" spans="2:20" ht="43.5" x14ac:dyDescent="0.35">
      <c r="C4" s="748" t="s">
        <v>180</v>
      </c>
      <c r="D4" s="748" t="s">
        <v>1961</v>
      </c>
      <c r="E4" s="748" t="s">
        <v>1752</v>
      </c>
      <c r="F4" s="748" t="s">
        <v>1753</v>
      </c>
      <c r="G4" s="748" t="s">
        <v>1754</v>
      </c>
      <c r="H4" s="745" t="s">
        <v>1755</v>
      </c>
      <c r="I4" s="748" t="s">
        <v>1756</v>
      </c>
      <c r="J4" s="748" t="s">
        <v>1757</v>
      </c>
      <c r="K4" s="748" t="s">
        <v>1758</v>
      </c>
      <c r="L4" s="748" t="s">
        <v>1962</v>
      </c>
      <c r="M4" s="748" t="s">
        <v>1759</v>
      </c>
      <c r="N4" s="748" t="s">
        <v>1760</v>
      </c>
      <c r="O4" s="748" t="s">
        <v>1761</v>
      </c>
      <c r="P4" s="605" t="s">
        <v>1762</v>
      </c>
      <c r="Q4" s="605" t="s">
        <v>1763</v>
      </c>
      <c r="R4" s="749" t="s">
        <v>1764</v>
      </c>
      <c r="S4" s="605" t="s">
        <v>1765</v>
      </c>
    </row>
    <row r="5" spans="2:20" ht="25.5" customHeight="1" x14ac:dyDescent="0.35">
      <c r="C5" s="4" t="s">
        <v>739</v>
      </c>
      <c r="D5" s="4">
        <v>226498</v>
      </c>
      <c r="E5" s="606">
        <f>D5*1000*Maps!$D$27/10^6</f>
        <v>1660.2303400000001</v>
      </c>
      <c r="F5" s="4">
        <v>111915</v>
      </c>
      <c r="G5" s="4">
        <v>783183</v>
      </c>
      <c r="H5" s="606">
        <f>G5*10^7/F5/10^6</f>
        <v>69.980163516954846</v>
      </c>
      <c r="I5" s="4">
        <v>69.88</v>
      </c>
      <c r="J5" s="607">
        <f>H5*I5</f>
        <v>4890.2138265648045</v>
      </c>
      <c r="K5" s="608">
        <f>G5*10^7/D5/1000</f>
        <v>34577.921217847397</v>
      </c>
      <c r="L5" s="3">
        <v>34203</v>
      </c>
      <c r="M5" s="11">
        <f>K5*L5*1000/10^7</f>
        <v>118266.86394140347</v>
      </c>
      <c r="N5" s="3">
        <f>F$14+G$14+H$14</f>
        <v>52</v>
      </c>
      <c r="O5" s="11">
        <f>D5*1000*N5/10^7</f>
        <v>1177.7896000000001</v>
      </c>
      <c r="P5" s="11">
        <f>M5*10%</f>
        <v>11826.686394140348</v>
      </c>
      <c r="Q5" s="11">
        <f>I$14+I$14*J$14+H$14</f>
        <v>51.2</v>
      </c>
      <c r="R5" s="146">
        <f>L5*1000*Q5/10^7</f>
        <v>175.11936</v>
      </c>
      <c r="S5" s="11">
        <f>M5*20%</f>
        <v>23653.372788280696</v>
      </c>
    </row>
    <row r="6" spans="2:20" ht="23.25" customHeight="1" x14ac:dyDescent="0.35">
      <c r="C6" s="4" t="s">
        <v>1421</v>
      </c>
      <c r="D6" s="4">
        <v>226955</v>
      </c>
      <c r="E6" s="606">
        <f>D6*1000*Maps!$D$27/10^6</f>
        <v>1663.58015</v>
      </c>
      <c r="F6" s="4">
        <v>101376</v>
      </c>
      <c r="G6" s="4">
        <v>717001</v>
      </c>
      <c r="H6" s="609">
        <f>G6*10^7/F6/10^6</f>
        <v>70.72689788510101</v>
      </c>
      <c r="I6" s="3">
        <v>60.47</v>
      </c>
      <c r="J6" s="607">
        <f>H6*I6</f>
        <v>4276.8555151120581</v>
      </c>
      <c r="K6" s="608">
        <f>G6*10^7/D6/1000</f>
        <v>31592.209909453413</v>
      </c>
      <c r="L6" s="3">
        <v>32169</v>
      </c>
      <c r="M6" s="11">
        <f>K6*L6*1000/10^7</f>
        <v>101628.98005772069</v>
      </c>
      <c r="N6" s="3">
        <f>F$14+G$14+H$14</f>
        <v>52</v>
      </c>
      <c r="O6" s="11">
        <f>D6*1000*N6/10^7</f>
        <v>1180.1659999999999</v>
      </c>
      <c r="P6" s="11">
        <f>M6*10%</f>
        <v>10162.898005772069</v>
      </c>
      <c r="Q6" s="11">
        <f>I$14+I$14*J$14+H$14</f>
        <v>51.2</v>
      </c>
      <c r="R6" s="146">
        <f>L6*1000*Q6/10^7</f>
        <v>164.70527999999999</v>
      </c>
      <c r="S6" s="11">
        <f>M6*20%</f>
        <v>20325.796011544138</v>
      </c>
    </row>
    <row r="7" spans="2:20" ht="22.5" customHeight="1" x14ac:dyDescent="0.35">
      <c r="C7" s="4" t="s">
        <v>1696</v>
      </c>
      <c r="D7" s="4">
        <v>198111</v>
      </c>
      <c r="E7" s="606">
        <f>D7*1000*Maps!$D$27/10^6</f>
        <v>1452.15363</v>
      </c>
      <c r="F7" s="4">
        <v>62711</v>
      </c>
      <c r="G7" s="4">
        <v>462996</v>
      </c>
      <c r="H7" s="609">
        <f>G7*10^7/F7/10^6</f>
        <v>73.830109550158667</v>
      </c>
      <c r="I7" s="11">
        <f>F7/E7</f>
        <v>43.184824735107398</v>
      </c>
      <c r="J7" s="607">
        <f>H7*I7</f>
        <v>3188.340341097381</v>
      </c>
      <c r="K7" s="608">
        <f>G7*10^7/D7/1000</f>
        <v>23370.534700243799</v>
      </c>
      <c r="L7" s="3">
        <v>30500</v>
      </c>
      <c r="M7" s="11">
        <f>K7*L7*1000/10^7</f>
        <v>71280.130835743577</v>
      </c>
      <c r="N7" s="3">
        <f>F$14+G$14+H$14</f>
        <v>52</v>
      </c>
      <c r="O7" s="11">
        <f>D7*1000*N7/10^7</f>
        <v>1030.1772000000001</v>
      </c>
      <c r="P7" s="11">
        <f>M7*10%</f>
        <v>7128.0130835743585</v>
      </c>
      <c r="Q7" s="3">
        <f>I$14+I$14*J$14+H$14</f>
        <v>51.2</v>
      </c>
      <c r="R7" s="146">
        <f>L7*1000*Q7/10^7</f>
        <v>156.16</v>
      </c>
      <c r="S7" s="11">
        <f>M7*20%</f>
        <v>14256.026167148717</v>
      </c>
    </row>
    <row r="8" spans="2:20" ht="22.5" customHeight="1" x14ac:dyDescent="0.35">
      <c r="C8" s="747" t="s">
        <v>2029</v>
      </c>
      <c r="D8" s="676"/>
      <c r="E8" s="677"/>
      <c r="F8" s="676"/>
      <c r="G8" s="676"/>
      <c r="H8" s="678"/>
      <c r="I8" s="453"/>
      <c r="J8" s="679"/>
      <c r="K8" s="680"/>
      <c r="L8" s="418"/>
    </row>
    <row r="9" spans="2:20" x14ac:dyDescent="0.35">
      <c r="L9" s="150"/>
      <c r="M9" s="228"/>
      <c r="P9" s="585"/>
      <c r="Q9" s="533"/>
      <c r="R9" s="533"/>
      <c r="S9" s="585"/>
    </row>
    <row r="10" spans="2:20" x14ac:dyDescent="0.35">
      <c r="B10" s="304" t="s">
        <v>1870</v>
      </c>
      <c r="C10" s="304" t="s">
        <v>1905</v>
      </c>
    </row>
    <row r="11" spans="2:20" x14ac:dyDescent="0.35">
      <c r="C11" s="223" t="s">
        <v>1750</v>
      </c>
      <c r="L11" s="149"/>
      <c r="O11" s="149"/>
      <c r="R11" s="149"/>
    </row>
    <row r="12" spans="2:20" ht="46.5" x14ac:dyDescent="0.35">
      <c r="C12" s="13"/>
      <c r="D12" s="769" t="s">
        <v>1766</v>
      </c>
      <c r="E12" s="769"/>
      <c r="F12" s="13" t="s">
        <v>1767</v>
      </c>
      <c r="G12" s="13" t="s">
        <v>1977</v>
      </c>
      <c r="H12" s="13" t="s">
        <v>1768</v>
      </c>
      <c r="I12" s="13" t="s">
        <v>1769</v>
      </c>
      <c r="J12" s="13" t="s">
        <v>1770</v>
      </c>
      <c r="K12" s="13" t="s">
        <v>1771</v>
      </c>
      <c r="M12" s="579" t="s">
        <v>1964</v>
      </c>
      <c r="N12" s="579" t="s">
        <v>1772</v>
      </c>
      <c r="O12" s="579" t="s">
        <v>1963</v>
      </c>
      <c r="P12" s="579" t="s">
        <v>1773</v>
      </c>
      <c r="Q12" s="579" t="s">
        <v>1965</v>
      </c>
      <c r="R12" s="579" t="s">
        <v>1966</v>
      </c>
      <c r="S12" s="610" t="s">
        <v>1967</v>
      </c>
    </row>
    <row r="13" spans="2:20" ht="21" customHeight="1" x14ac:dyDescent="0.35">
      <c r="C13" s="4"/>
      <c r="D13" s="4" t="s">
        <v>1774</v>
      </c>
      <c r="E13" s="4" t="s">
        <v>1775</v>
      </c>
      <c r="F13" s="4"/>
      <c r="G13" s="4"/>
      <c r="H13" s="4"/>
      <c r="I13" s="4"/>
      <c r="J13" s="4"/>
      <c r="K13" s="3"/>
      <c r="L13" s="532">
        <v>2019</v>
      </c>
      <c r="M13" s="689">
        <f>L5*1000</f>
        <v>34203000</v>
      </c>
      <c r="N13" s="690">
        <f>M5+P5+R5+S5</f>
        <v>153922.04248382451</v>
      </c>
      <c r="O13" s="689">
        <f>D5*1000</f>
        <v>226498000</v>
      </c>
      <c r="P13" s="690">
        <f>G5+O5</f>
        <v>784360.78960000002</v>
      </c>
      <c r="Q13" s="690">
        <f>N13/M13*10^7</f>
        <v>45002.497583201621</v>
      </c>
      <c r="R13" s="690">
        <f>P13/O13*10^7</f>
        <v>34629.921217847404</v>
      </c>
      <c r="S13" s="691">
        <f>(Q13*M13+R13*O13)/(M13+O13)</f>
        <v>35990.764595602799</v>
      </c>
      <c r="T13" s="150"/>
    </row>
    <row r="14" spans="2:20" ht="19.5" customHeight="1" x14ac:dyDescent="0.35">
      <c r="C14" s="4" t="s">
        <v>1776</v>
      </c>
      <c r="D14" s="611">
        <v>0.125</v>
      </c>
      <c r="E14" s="611">
        <v>7.4999999999999997E-2</v>
      </c>
      <c r="F14" s="4">
        <v>1</v>
      </c>
      <c r="G14" s="4">
        <v>1</v>
      </c>
      <c r="H14" s="4">
        <v>50</v>
      </c>
      <c r="I14" s="4">
        <v>1</v>
      </c>
      <c r="J14" s="612">
        <v>0.2</v>
      </c>
      <c r="K14" s="3"/>
      <c r="L14" s="681">
        <v>2020</v>
      </c>
      <c r="M14" s="689">
        <f>L6*1000</f>
        <v>32169000</v>
      </c>
      <c r="N14" s="690">
        <f>M6+P6+R6+S6</f>
        <v>132282.37935503689</v>
      </c>
      <c r="O14" s="689">
        <f>D6*1000</f>
        <v>226955000</v>
      </c>
      <c r="P14" s="690">
        <f>G6+O6</f>
        <v>718181.16599999997</v>
      </c>
      <c r="Q14" s="690">
        <f>N14/M14*10^7</f>
        <v>41121.072882289438</v>
      </c>
      <c r="R14" s="690">
        <f>P14/O14*10^7</f>
        <v>31644.209909453417</v>
      </c>
      <c r="S14" s="691">
        <f>(Q14*M14+R14*O14)/(M14+O14)</f>
        <v>32820.716929155031</v>
      </c>
      <c r="T14" s="150"/>
    </row>
    <row r="15" spans="2:20" ht="19.5" customHeight="1" x14ac:dyDescent="0.35">
      <c r="C15" s="4" t="s">
        <v>970</v>
      </c>
      <c r="D15" s="612">
        <v>0.1</v>
      </c>
      <c r="E15" s="611">
        <v>7.4999999999999997E-2</v>
      </c>
      <c r="F15" s="4"/>
      <c r="G15" s="4"/>
      <c r="H15" s="4"/>
      <c r="I15" s="4"/>
      <c r="J15" s="4"/>
      <c r="K15" s="22">
        <v>2.5000000000000001E-2</v>
      </c>
      <c r="L15" s="532">
        <v>2021</v>
      </c>
      <c r="M15" s="689">
        <f>L7*1000</f>
        <v>30500000</v>
      </c>
      <c r="N15" s="690">
        <f>M7+P7+R7+S7</f>
        <v>92820.330086466653</v>
      </c>
      <c r="O15" s="689">
        <f>D7*1000</f>
        <v>198111000</v>
      </c>
      <c r="P15" s="690">
        <f>G7+O7</f>
        <v>464026.17719999998</v>
      </c>
      <c r="Q15" s="690">
        <f>N15/M15*10^7</f>
        <v>30432.895110316935</v>
      </c>
      <c r="R15" s="690">
        <f>P15/O15*10^7</f>
        <v>23422.534700243799</v>
      </c>
      <c r="S15" s="691">
        <f>(Q15*M15+R15*O15)/(M15+O15)</f>
        <v>24357.817746585537</v>
      </c>
      <c r="T15" s="150"/>
    </row>
    <row r="16" spans="2:20" x14ac:dyDescent="0.35">
      <c r="D16" s="613"/>
      <c r="E16" s="614"/>
      <c r="F16" s="20"/>
      <c r="G16" s="20"/>
      <c r="H16" s="20"/>
      <c r="I16" s="20"/>
      <c r="J16" s="20"/>
      <c r="K16" s="140"/>
    </row>
    <row r="17" spans="3:22" x14ac:dyDescent="0.35">
      <c r="D17" s="613"/>
      <c r="E17" s="614"/>
      <c r="F17" s="20"/>
      <c r="G17" s="20"/>
      <c r="H17" s="20"/>
      <c r="I17" s="20"/>
      <c r="J17" s="20"/>
      <c r="K17" s="140"/>
      <c r="O17" s="29"/>
    </row>
    <row r="19" spans="3:22" x14ac:dyDescent="0.35">
      <c r="C19" s="304" t="s">
        <v>1974</v>
      </c>
    </row>
    <row r="20" spans="3:22" x14ac:dyDescent="0.35">
      <c r="C20" s="304" t="s">
        <v>1976</v>
      </c>
    </row>
    <row r="21" spans="3:22" ht="42.65" customHeight="1" x14ac:dyDescent="0.35">
      <c r="C21" s="3" t="s">
        <v>1421</v>
      </c>
      <c r="D21" s="534" t="s">
        <v>1777</v>
      </c>
      <c r="E21" s="562" t="s">
        <v>1973</v>
      </c>
      <c r="F21" s="562" t="s">
        <v>1968</v>
      </c>
      <c r="G21" s="562" t="s">
        <v>1969</v>
      </c>
      <c r="H21" s="562" t="s">
        <v>1970</v>
      </c>
      <c r="I21" s="562" t="s">
        <v>1971</v>
      </c>
      <c r="J21" s="562" t="s">
        <v>1972</v>
      </c>
      <c r="K21" s="533"/>
      <c r="M21" s="692"/>
    </row>
    <row r="22" spans="3:22" ht="18.75" customHeight="1" x14ac:dyDescent="0.35">
      <c r="C22" s="3"/>
      <c r="D22" s="534" t="s">
        <v>1778</v>
      </c>
      <c r="E22" s="534">
        <v>16003</v>
      </c>
      <c r="F22" s="534">
        <v>31604</v>
      </c>
      <c r="G22" s="534">
        <v>2819</v>
      </c>
      <c r="H22" s="534">
        <v>5254</v>
      </c>
      <c r="I22" s="534">
        <v>1077</v>
      </c>
      <c r="J22" s="534">
        <f>F22+G22+H22+I22</f>
        <v>40754</v>
      </c>
      <c r="K22" s="533"/>
      <c r="M22" s="692"/>
      <c r="T22" s="601"/>
      <c r="U22" s="601"/>
      <c r="V22" s="601"/>
    </row>
    <row r="23" spans="3:22" ht="18" customHeight="1" x14ac:dyDescent="0.35">
      <c r="C23" s="3"/>
      <c r="D23" s="534" t="s">
        <v>1779</v>
      </c>
      <c r="E23" s="534">
        <v>16166</v>
      </c>
      <c r="F23" s="534">
        <v>30488</v>
      </c>
      <c r="G23" s="534">
        <v>4781</v>
      </c>
      <c r="H23" s="534">
        <v>5157</v>
      </c>
      <c r="I23" s="534">
        <v>1570</v>
      </c>
      <c r="J23" s="534">
        <f>F23+G23+H23+I23</f>
        <v>41996</v>
      </c>
      <c r="K23" s="533"/>
      <c r="M23" s="692"/>
      <c r="R23" s="601"/>
      <c r="S23" s="601"/>
      <c r="T23" s="601"/>
      <c r="U23" s="601"/>
      <c r="V23" s="601"/>
    </row>
    <row r="24" spans="3:22" ht="30" customHeight="1" x14ac:dyDescent="0.35">
      <c r="C24" s="3"/>
      <c r="D24" s="562" t="s">
        <v>1780</v>
      </c>
      <c r="E24" s="534">
        <f>SUM(E22:E23)</f>
        <v>32169</v>
      </c>
      <c r="F24" s="534">
        <v>31237</v>
      </c>
      <c r="G24" s="534">
        <v>3464</v>
      </c>
      <c r="H24" s="534">
        <v>5222</v>
      </c>
      <c r="I24" s="534">
        <v>1239</v>
      </c>
      <c r="J24" s="534">
        <f>F24+G24+H24+I24</f>
        <v>41162</v>
      </c>
      <c r="K24" s="533"/>
      <c r="R24" s="601"/>
      <c r="S24" s="601"/>
      <c r="T24" s="601"/>
      <c r="U24" s="601"/>
      <c r="V24" s="601"/>
    </row>
    <row r="25" spans="3:22" x14ac:dyDescent="0.35">
      <c r="C25" s="304" t="s">
        <v>1781</v>
      </c>
      <c r="G25" s="304" t="s">
        <v>1782</v>
      </c>
      <c r="I25" s="304" t="s">
        <v>1782</v>
      </c>
      <c r="R25" s="601"/>
      <c r="S25" s="601"/>
      <c r="T25" s="601"/>
      <c r="U25" s="601"/>
      <c r="V25" s="601"/>
    </row>
    <row r="26" spans="3:22" x14ac:dyDescent="0.35">
      <c r="R26" s="601"/>
      <c r="S26" s="601"/>
      <c r="T26" s="601"/>
      <c r="U26" s="601"/>
      <c r="V26" s="601"/>
    </row>
    <row r="27" spans="3:22" x14ac:dyDescent="0.35">
      <c r="R27" s="601"/>
      <c r="S27" s="601"/>
      <c r="T27" s="601"/>
      <c r="U27" s="601"/>
      <c r="V27" s="601"/>
    </row>
    <row r="28" spans="3:22" x14ac:dyDescent="0.35">
      <c r="R28" s="601"/>
      <c r="S28" s="601"/>
      <c r="T28" s="601"/>
      <c r="U28" s="601"/>
      <c r="V28" s="601"/>
    </row>
    <row r="29" spans="3:22" x14ac:dyDescent="0.35">
      <c r="R29" s="601"/>
      <c r="S29" s="601"/>
      <c r="T29" s="601"/>
      <c r="U29" s="601"/>
      <c r="V29" s="601"/>
    </row>
    <row r="30" spans="3:22" x14ac:dyDescent="0.35">
      <c r="R30" s="601"/>
      <c r="S30" s="601"/>
      <c r="T30" s="601"/>
      <c r="U30" s="601"/>
      <c r="V30" s="601"/>
    </row>
    <row r="31" spans="3:22" x14ac:dyDescent="0.35">
      <c r="R31" s="601"/>
      <c r="S31" s="601"/>
      <c r="T31" s="601"/>
      <c r="U31" s="601"/>
      <c r="V31" s="601"/>
    </row>
    <row r="32" spans="3:22" x14ac:dyDescent="0.35">
      <c r="R32" s="601"/>
      <c r="S32" s="601"/>
      <c r="T32" s="601"/>
      <c r="U32" s="601"/>
      <c r="V32" s="601"/>
    </row>
    <row r="33" spans="10:22" x14ac:dyDescent="0.35">
      <c r="R33" s="601"/>
      <c r="S33" s="601"/>
      <c r="T33" s="601"/>
      <c r="U33" s="601"/>
      <c r="V33" s="601"/>
    </row>
    <row r="34" spans="10:22" x14ac:dyDescent="0.35">
      <c r="R34" s="601"/>
      <c r="S34" s="601"/>
      <c r="T34" s="601"/>
      <c r="U34" s="601"/>
      <c r="V34" s="601"/>
    </row>
    <row r="35" spans="10:22" x14ac:dyDescent="0.35">
      <c r="M35" s="533"/>
      <c r="R35" s="601"/>
      <c r="S35" s="601"/>
    </row>
    <row r="36" spans="10:22" x14ac:dyDescent="0.35">
      <c r="M36" s="533"/>
    </row>
    <row r="44" spans="10:22" ht="32.25" customHeight="1" x14ac:dyDescent="0.35">
      <c r="J44" s="20"/>
    </row>
    <row r="52" spans="4:4" x14ac:dyDescent="0.35">
      <c r="D52" s="377"/>
    </row>
    <row r="53" spans="4:4" x14ac:dyDescent="0.35">
      <c r="D53" s="377"/>
    </row>
  </sheetData>
  <mergeCells count="1">
    <mergeCell ref="D12:E12"/>
  </mergeCells>
  <hyperlinks>
    <hyperlink ref="C2" r:id="rId1"/>
    <hyperlink ref="C11" r:id="rId2"/>
  </hyperlinks>
  <pageMargins left="0.7" right="0.7" top="0.75" bottom="0.75" header="0.3" footer="0.3"/>
  <pageSetup orientation="portrait" r:id="rId3"/>
  <drawing r:id="rId4"/>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topLeftCell="A13" workbookViewId="0"/>
  </sheetViews>
  <sheetFormatPr defaultRowHeight="14.5" x14ac:dyDescent="0.35"/>
  <cols>
    <col min="1" max="1" width="24.7265625" customWidth="1"/>
    <col min="5" max="6" width="10.453125" bestFit="1" customWidth="1"/>
    <col min="7" max="7" width="13.7265625" customWidth="1"/>
    <col min="8" max="8" width="14.7265625" customWidth="1"/>
  </cols>
  <sheetData>
    <row r="1" spans="1:8" x14ac:dyDescent="0.35">
      <c r="A1" s="29" t="s">
        <v>1671</v>
      </c>
    </row>
    <row r="3" spans="1:8" ht="15" thickBot="1" x14ac:dyDescent="0.4">
      <c r="A3" s="173" t="s">
        <v>1697</v>
      </c>
      <c r="B3" s="304" t="s">
        <v>1978</v>
      </c>
      <c r="C3" s="29"/>
      <c r="D3" s="173" t="s">
        <v>1706</v>
      </c>
      <c r="E3" s="29"/>
      <c r="F3" s="304"/>
      <c r="G3" s="304"/>
      <c r="H3" s="20"/>
    </row>
    <row r="4" spans="1:8" ht="29" x14ac:dyDescent="0.35">
      <c r="A4" s="553"/>
      <c r="B4" s="554" t="s">
        <v>1698</v>
      </c>
      <c r="C4" s="554" t="s">
        <v>1699</v>
      </c>
      <c r="D4" s="554" t="s">
        <v>1700</v>
      </c>
      <c r="E4" s="554" t="s">
        <v>1701</v>
      </c>
      <c r="F4" s="554" t="s">
        <v>1702</v>
      </c>
      <c r="G4" s="555" t="s">
        <v>1703</v>
      </c>
      <c r="H4" s="556" t="s">
        <v>1704</v>
      </c>
    </row>
    <row r="5" spans="1:8" ht="29.5" thickBot="1" x14ac:dyDescent="0.4">
      <c r="A5" s="557" t="s">
        <v>1705</v>
      </c>
      <c r="B5" s="558">
        <v>646.73</v>
      </c>
      <c r="C5" s="558">
        <v>675.78</v>
      </c>
      <c r="D5" s="558">
        <v>618.64</v>
      </c>
      <c r="E5" s="558">
        <v>663.4</v>
      </c>
      <c r="F5" s="559">
        <f>AVERAGE(B5:E5)</f>
        <v>651.13750000000005</v>
      </c>
      <c r="G5" s="559">
        <f>F5/14.2</f>
        <v>45.854753521126767</v>
      </c>
      <c r="H5" s="560">
        <f>G5/(Maps!G34/Maps!F34)</f>
        <v>44.308801236710572</v>
      </c>
    </row>
    <row r="8" spans="1:8" x14ac:dyDescent="0.35">
      <c r="A8" s="29" t="s">
        <v>1670</v>
      </c>
    </row>
    <row r="10" spans="1:8" x14ac:dyDescent="0.35">
      <c r="A10" s="563" t="s">
        <v>1980</v>
      </c>
      <c r="B10" s="304"/>
      <c r="C10" s="304"/>
      <c r="D10" s="304"/>
      <c r="E10" s="304"/>
      <c r="F10" s="304"/>
      <c r="G10" s="304"/>
      <c r="H10" s="304"/>
    </row>
    <row r="11" spans="1:8" ht="15" thickBot="1" x14ac:dyDescent="0.4">
      <c r="A11" s="563" t="s">
        <v>1707</v>
      </c>
      <c r="B11" s="304"/>
      <c r="C11" s="304"/>
      <c r="D11" s="304"/>
      <c r="E11" s="304"/>
      <c r="F11" s="304"/>
      <c r="G11" s="304"/>
      <c r="H11" s="304"/>
    </row>
    <row r="12" spans="1:8" ht="43.5" x14ac:dyDescent="0.35">
      <c r="A12" s="564"/>
      <c r="B12" s="565" t="s">
        <v>1698</v>
      </c>
      <c r="C12" s="565" t="s">
        <v>1708</v>
      </c>
      <c r="D12" s="565" t="s">
        <v>1709</v>
      </c>
      <c r="E12" s="565" t="s">
        <v>1701</v>
      </c>
      <c r="F12" s="566" t="s">
        <v>1710</v>
      </c>
      <c r="G12" s="567" t="s">
        <v>1711</v>
      </c>
      <c r="H12" s="568" t="s">
        <v>1712</v>
      </c>
    </row>
    <row r="13" spans="1:8" ht="15" thickBot="1" x14ac:dyDescent="0.4">
      <c r="A13" s="569" t="s">
        <v>1713</v>
      </c>
      <c r="B13" s="570">
        <v>27.96</v>
      </c>
      <c r="C13" s="570">
        <v>31.27</v>
      </c>
      <c r="D13" s="570">
        <v>28.01</v>
      </c>
      <c r="E13" s="570">
        <v>28.01</v>
      </c>
      <c r="F13" s="571">
        <f>AVERAGE(B13:E13)</f>
        <v>28.812500000000004</v>
      </c>
      <c r="G13" s="571">
        <f>F13/Maps!$G$21</f>
        <v>40.654437500000007</v>
      </c>
      <c r="H13" s="572">
        <f>G13/(Maps!$G$34/Maps!$F$34)</f>
        <v>39.283809251048162</v>
      </c>
    </row>
    <row r="16" spans="1:8" x14ac:dyDescent="0.35">
      <c r="A16" s="29" t="s">
        <v>1516</v>
      </c>
    </row>
    <row r="17" spans="1:8" x14ac:dyDescent="0.35">
      <c r="A17" s="563" t="s">
        <v>1979</v>
      </c>
    </row>
    <row r="18" spans="1:8" ht="15" thickBot="1" x14ac:dyDescent="0.4">
      <c r="A18" s="563" t="s">
        <v>1714</v>
      </c>
      <c r="B18" s="304"/>
      <c r="C18" s="304"/>
      <c r="D18" s="304"/>
      <c r="E18" s="304"/>
      <c r="F18" s="304"/>
      <c r="G18" s="304"/>
      <c r="H18" s="304"/>
    </row>
    <row r="19" spans="1:8" ht="43.5" x14ac:dyDescent="0.35">
      <c r="A19" s="564"/>
      <c r="B19" s="565" t="s">
        <v>1698</v>
      </c>
      <c r="C19" s="565" t="s">
        <v>1708</v>
      </c>
      <c r="D19" s="565" t="s">
        <v>1709</v>
      </c>
      <c r="E19" s="565" t="s">
        <v>1701</v>
      </c>
      <c r="F19" s="566" t="s">
        <v>1710</v>
      </c>
      <c r="G19" s="567" t="s">
        <v>1711</v>
      </c>
      <c r="H19" s="568" t="s">
        <v>1715</v>
      </c>
    </row>
    <row r="20" spans="1:8" ht="15" thickBot="1" x14ac:dyDescent="0.4">
      <c r="A20" s="569" t="s">
        <v>1713</v>
      </c>
      <c r="B20" s="570">
        <v>31.49</v>
      </c>
      <c r="C20" s="570">
        <v>33.79</v>
      </c>
      <c r="D20" s="570">
        <v>31.52</v>
      </c>
      <c r="E20" s="570">
        <v>31.51</v>
      </c>
      <c r="F20" s="571">
        <f>AVERAGE(B20:E20)</f>
        <v>32.077500000000001</v>
      </c>
      <c r="G20" s="571">
        <f>F20/Maps!$G$22</f>
        <v>38.813775</v>
      </c>
      <c r="H20" s="572">
        <f>G20/(Maps!$G$34/Maps!$F$34)</f>
        <v>37.505203052264626</v>
      </c>
    </row>
    <row r="23" spans="1:8" x14ac:dyDescent="0.35">
      <c r="A23" s="29" t="s">
        <v>1672</v>
      </c>
    </row>
    <row r="24" spans="1:8" x14ac:dyDescent="0.35">
      <c r="A24" s="563" t="s">
        <v>1732</v>
      </c>
    </row>
    <row r="25" spans="1:8" ht="15.5" x14ac:dyDescent="0.35">
      <c r="A25" s="706" t="s">
        <v>1981</v>
      </c>
      <c r="B25" s="304"/>
      <c r="C25" s="304"/>
      <c r="D25" s="304"/>
      <c r="E25" s="304"/>
      <c r="F25" s="304"/>
      <c r="G25" s="304"/>
      <c r="H25" s="304"/>
    </row>
    <row r="26" spans="1:8" ht="43.5" x14ac:dyDescent="0.35">
      <c r="A26" s="561"/>
      <c r="B26" s="534" t="s">
        <v>1698</v>
      </c>
      <c r="C26" s="534" t="s">
        <v>1708</v>
      </c>
      <c r="D26" s="534" t="s">
        <v>1709</v>
      </c>
      <c r="E26" s="534" t="s">
        <v>1701</v>
      </c>
      <c r="F26" s="562" t="s">
        <v>1716</v>
      </c>
      <c r="G26" s="562" t="s">
        <v>1717</v>
      </c>
      <c r="H26" s="573" t="s">
        <v>1718</v>
      </c>
    </row>
    <row r="27" spans="1:8" x14ac:dyDescent="0.35">
      <c r="A27" s="574" t="s">
        <v>1713</v>
      </c>
      <c r="B27" s="575">
        <f>(B33-B28)/(1+C42+C43)</f>
        <v>42044.557228948805</v>
      </c>
      <c r="C27" s="575">
        <f>(C33-C28)/(1+E42+E43)</f>
        <v>40187.586198891673</v>
      </c>
      <c r="D27" s="575">
        <f>(D33-D28)/(1+G42+G43)</f>
        <v>40658.417010709614</v>
      </c>
      <c r="E27" s="575">
        <f>(E33-E28)/(1+I42+I43)</f>
        <v>41708.702511529904</v>
      </c>
      <c r="F27" s="576">
        <f>AVERAGE(B27:E27)</f>
        <v>41149.815737519995</v>
      </c>
      <c r="G27" s="576">
        <f>F27/Maps!$G$24</f>
        <v>53000.96266992575</v>
      </c>
      <c r="H27" s="576">
        <f>G27/(Maps!$H$34/Maps!$F$34)</f>
        <v>49399.666234928663</v>
      </c>
    </row>
    <row r="28" spans="1:8" x14ac:dyDescent="0.35">
      <c r="A28" s="577" t="s">
        <v>1719</v>
      </c>
      <c r="B28" s="578">
        <f>B40</f>
        <v>3688.47</v>
      </c>
      <c r="C28" s="578">
        <f>D40</f>
        <v>5579.35</v>
      </c>
      <c r="D28" s="578">
        <f>F40</f>
        <v>3754.64</v>
      </c>
      <c r="E28" s="578">
        <f>H40</f>
        <v>3666.13</v>
      </c>
      <c r="F28" s="578">
        <f>AVERAGE(B28:E28)</f>
        <v>4172.1475</v>
      </c>
      <c r="G28" s="578">
        <f>F28/Maps!$G$24</f>
        <v>5373.7259800000002</v>
      </c>
      <c r="H28" s="578">
        <f>G28/(Maps!$H$34/Maps!$F$34)</f>
        <v>5008.5933627880049</v>
      </c>
    </row>
    <row r="29" spans="1:8" ht="29" x14ac:dyDescent="0.35">
      <c r="A29" s="579" t="s">
        <v>1720</v>
      </c>
      <c r="B29" s="575">
        <f>SUM(B27:B28)</f>
        <v>45733.027228948806</v>
      </c>
      <c r="C29" s="575">
        <f t="shared" ref="C29:H29" si="0">SUM(C27:C28)</f>
        <v>45766.936198891672</v>
      </c>
      <c r="D29" s="575">
        <f t="shared" si="0"/>
        <v>44413.057010709614</v>
      </c>
      <c r="E29" s="575">
        <f t="shared" si="0"/>
        <v>45374.832511529901</v>
      </c>
      <c r="F29" s="575">
        <f t="shared" si="0"/>
        <v>45321.963237519994</v>
      </c>
      <c r="G29" s="575">
        <f t="shared" si="0"/>
        <v>58374.688649925753</v>
      </c>
      <c r="H29" s="575">
        <f t="shared" si="0"/>
        <v>54408.259597716671</v>
      </c>
    </row>
    <row r="30" spans="1:8" x14ac:dyDescent="0.35">
      <c r="A30" s="577" t="s">
        <v>1721</v>
      </c>
      <c r="B30" s="578">
        <f>B27*C42</f>
        <v>5404.194954595122</v>
      </c>
      <c r="C30" s="578">
        <f>C27*E42</f>
        <v>5812.555369970205</v>
      </c>
      <c r="D30" s="578">
        <f>D27*G42</f>
        <v>5252.7387340773694</v>
      </c>
      <c r="E30" s="578">
        <f>E27*I42</f>
        <v>5348.3491597142502</v>
      </c>
      <c r="F30" s="578">
        <f>AVERAGE(B30:E30)</f>
        <v>5454.4595545892371</v>
      </c>
      <c r="G30" s="578">
        <f>F30/Maps!$G$24</f>
        <v>7025.3439063109372</v>
      </c>
      <c r="H30" s="578">
        <f>G30/(Maps!$H$34/Maps!$F$34)</f>
        <v>6547.9875586161015</v>
      </c>
    </row>
    <row r="31" spans="1:8" x14ac:dyDescent="0.35">
      <c r="A31" s="577" t="s">
        <v>1722</v>
      </c>
      <c r="B31" s="578">
        <f>B27*C43</f>
        <v>13633.307816456063</v>
      </c>
      <c r="C31" s="578">
        <f>C27*E43</f>
        <v>17316.368431138137</v>
      </c>
      <c r="D31" s="578">
        <f>D27*G43</f>
        <v>13251.224255213017</v>
      </c>
      <c r="E31" s="578">
        <f>E27*I43</f>
        <v>15651.228328755855</v>
      </c>
      <c r="F31" s="578">
        <f>AVERAGE(B31:E31)</f>
        <v>14963.032207890768</v>
      </c>
      <c r="G31" s="578">
        <f>F31/Maps!$G$24</f>
        <v>19272.385483763308</v>
      </c>
      <c r="H31" s="578">
        <f>G31/(Maps!$H$34/Maps!$F$34)</f>
        <v>17962.870153470089</v>
      </c>
    </row>
    <row r="32" spans="1:8" x14ac:dyDescent="0.35">
      <c r="A32" s="580" t="s">
        <v>1723</v>
      </c>
      <c r="B32" s="575">
        <f t="shared" ref="B32:H32" si="1">SUM(B30:B31)</f>
        <v>19037.502771051186</v>
      </c>
      <c r="C32" s="575">
        <f t="shared" si="1"/>
        <v>23128.923801108343</v>
      </c>
      <c r="D32" s="575">
        <f t="shared" si="1"/>
        <v>18503.962989290387</v>
      </c>
      <c r="E32" s="575">
        <f t="shared" si="1"/>
        <v>20999.577488470106</v>
      </c>
      <c r="F32" s="575">
        <f t="shared" si="1"/>
        <v>20417.491762480007</v>
      </c>
      <c r="G32" s="575">
        <f t="shared" si="1"/>
        <v>26297.729390074244</v>
      </c>
      <c r="H32" s="575">
        <f t="shared" si="1"/>
        <v>24510.857712086188</v>
      </c>
    </row>
    <row r="33" spans="1:9" x14ac:dyDescent="0.35">
      <c r="A33" s="574" t="s">
        <v>1724</v>
      </c>
      <c r="B33" s="575">
        <v>64770.53</v>
      </c>
      <c r="C33" s="575">
        <v>68895.86</v>
      </c>
      <c r="D33" s="575">
        <v>62917.02</v>
      </c>
      <c r="E33" s="575">
        <v>66374.41</v>
      </c>
      <c r="F33" s="575">
        <f>F29+F32</f>
        <v>65739.455000000002</v>
      </c>
      <c r="G33" s="575">
        <f>G29+G32</f>
        <v>84672.41803999999</v>
      </c>
      <c r="H33" s="575">
        <f>H29+H32</f>
        <v>78919.117309802852</v>
      </c>
    </row>
    <row r="34" spans="1:9" x14ac:dyDescent="0.35">
      <c r="A34" s="304" t="s">
        <v>1725</v>
      </c>
      <c r="B34" s="304"/>
      <c r="C34" s="304"/>
      <c r="D34" s="304"/>
      <c r="E34" s="304"/>
      <c r="F34" s="304"/>
      <c r="G34" s="304"/>
      <c r="H34" s="304"/>
    </row>
    <row r="36" spans="1:9" ht="18.5" x14ac:dyDescent="0.35">
      <c r="A36" s="581" t="s">
        <v>1726</v>
      </c>
      <c r="B36" s="304"/>
      <c r="C36" s="304"/>
      <c r="D36" s="304"/>
      <c r="E36" s="304"/>
      <c r="F36" s="304"/>
      <c r="G36" s="304"/>
      <c r="H36" s="304"/>
      <c r="I36" s="304"/>
    </row>
    <row r="37" spans="1:9" x14ac:dyDescent="0.35">
      <c r="A37" s="582" t="s">
        <v>1727</v>
      </c>
      <c r="B37" s="304"/>
      <c r="C37" s="304"/>
      <c r="D37" s="304"/>
      <c r="E37" s="304"/>
      <c r="F37" s="304"/>
      <c r="G37" s="304"/>
      <c r="H37" s="304"/>
      <c r="I37" s="304"/>
    </row>
    <row r="38" spans="1:9" x14ac:dyDescent="0.35">
      <c r="A38" s="3"/>
      <c r="B38" s="534" t="s">
        <v>1698</v>
      </c>
      <c r="C38" s="583" t="s">
        <v>770</v>
      </c>
      <c r="D38" s="534" t="s">
        <v>1708</v>
      </c>
      <c r="E38" s="583" t="s">
        <v>1708</v>
      </c>
      <c r="F38" s="534" t="s">
        <v>1709</v>
      </c>
      <c r="G38" s="583" t="s">
        <v>1709</v>
      </c>
      <c r="H38" s="534" t="s">
        <v>1701</v>
      </c>
      <c r="I38" s="583" t="s">
        <v>1701</v>
      </c>
    </row>
    <row r="39" spans="1:9" x14ac:dyDescent="0.35">
      <c r="A39" s="10" t="s">
        <v>1713</v>
      </c>
      <c r="B39" s="584">
        <v>21890</v>
      </c>
      <c r="C39" s="583" t="s">
        <v>1728</v>
      </c>
      <c r="D39" s="584">
        <v>22420</v>
      </c>
      <c r="E39" s="583" t="s">
        <v>1728</v>
      </c>
      <c r="F39" s="584">
        <v>21520</v>
      </c>
      <c r="G39" s="585" t="s">
        <v>1728</v>
      </c>
      <c r="H39" s="584">
        <v>22120</v>
      </c>
      <c r="I39" s="583" t="s">
        <v>1728</v>
      </c>
    </row>
    <row r="40" spans="1:9" x14ac:dyDescent="0.35">
      <c r="A40" s="3" t="s">
        <v>1719</v>
      </c>
      <c r="B40" s="586">
        <v>3688.47</v>
      </c>
      <c r="C40" s="583"/>
      <c r="D40" s="586">
        <v>5579.35</v>
      </c>
      <c r="E40" s="583"/>
      <c r="F40" s="586">
        <v>3754.64</v>
      </c>
      <c r="G40" s="587"/>
      <c r="H40" s="586">
        <v>3666.13</v>
      </c>
      <c r="I40" s="587"/>
    </row>
    <row r="41" spans="1:9" ht="29" x14ac:dyDescent="0.35">
      <c r="A41" s="579" t="s">
        <v>1729</v>
      </c>
      <c r="B41" s="575">
        <f>SUM(B39:B40)</f>
        <v>25578.47</v>
      </c>
      <c r="C41" s="583"/>
      <c r="D41" s="575">
        <f>SUM(D39:D40)</f>
        <v>27999.35</v>
      </c>
      <c r="E41" s="583"/>
      <c r="F41" s="575">
        <f>SUM(F39:F40)</f>
        <v>25274.639999999999</v>
      </c>
      <c r="G41" s="588"/>
      <c r="H41" s="575">
        <f>SUM(H39:H40)</f>
        <v>25786.13</v>
      </c>
      <c r="I41" s="588"/>
    </row>
    <row r="42" spans="1:9" x14ac:dyDescent="0.35">
      <c r="A42" s="3" t="s">
        <v>1730</v>
      </c>
      <c r="B42" s="586">
        <v>2813.63</v>
      </c>
      <c r="C42" s="589">
        <f>B42/B39</f>
        <v>0.12853494746459571</v>
      </c>
      <c r="D42" s="586">
        <v>3242.73</v>
      </c>
      <c r="E42" s="589">
        <f>D42/D39</f>
        <v>0.14463559322033898</v>
      </c>
      <c r="F42" s="586">
        <v>2780.21</v>
      </c>
      <c r="G42" s="589">
        <f>F42/F39</f>
        <v>0.12919191449814127</v>
      </c>
      <c r="H42" s="586">
        <v>2836.47</v>
      </c>
      <c r="I42" s="589">
        <f>H42/H39</f>
        <v>0.12823101265822784</v>
      </c>
    </row>
    <row r="43" spans="1:9" x14ac:dyDescent="0.35">
      <c r="A43" s="3" t="s">
        <v>1722</v>
      </c>
      <c r="B43" s="586">
        <v>7098.02</v>
      </c>
      <c r="C43" s="589">
        <f>B43/B39</f>
        <v>0.32425856555504801</v>
      </c>
      <c r="D43" s="586">
        <v>9660.52</v>
      </c>
      <c r="E43" s="589">
        <f>D43/D39</f>
        <v>0.43088849241748439</v>
      </c>
      <c r="F43" s="586">
        <v>7013.71</v>
      </c>
      <c r="G43" s="590">
        <f>F43/F39</f>
        <v>0.32591589219330858</v>
      </c>
      <c r="H43" s="586">
        <v>8300.5499999999993</v>
      </c>
      <c r="I43" s="589">
        <f>H43/H39</f>
        <v>0.37525090415913198</v>
      </c>
    </row>
    <row r="44" spans="1:9" x14ac:dyDescent="0.35">
      <c r="A44" s="580" t="s">
        <v>1731</v>
      </c>
      <c r="B44" s="575">
        <f>SUM(B42:B43)</f>
        <v>9911.6500000000015</v>
      </c>
      <c r="C44" s="583"/>
      <c r="D44" s="575">
        <f>SUM(D42:D43)</f>
        <v>12903.25</v>
      </c>
      <c r="E44" s="583"/>
      <c r="F44" s="575">
        <f>SUM(F42:F43)</f>
        <v>9793.92</v>
      </c>
      <c r="G44" s="588"/>
      <c r="H44" s="575">
        <f>SUM(H42:H43)</f>
        <v>11137.019999999999</v>
      </c>
      <c r="I44" s="588"/>
    </row>
    <row r="45" spans="1:9" x14ac:dyDescent="0.35">
      <c r="A45" s="10" t="s">
        <v>1724</v>
      </c>
      <c r="B45" s="575">
        <f>B41+B44</f>
        <v>35490.120000000003</v>
      </c>
      <c r="C45" s="583"/>
      <c r="D45" s="575">
        <f>D41+D44</f>
        <v>40902.6</v>
      </c>
      <c r="E45" s="583"/>
      <c r="F45" s="575">
        <f>F41+F44</f>
        <v>35068.559999999998</v>
      </c>
      <c r="G45" s="588"/>
      <c r="H45" s="575">
        <f>H41+H44</f>
        <v>36923.15</v>
      </c>
      <c r="I45" s="588"/>
    </row>
    <row r="46" spans="1:9" x14ac:dyDescent="0.35">
      <c r="A46" s="591" t="s">
        <v>1732</v>
      </c>
    </row>
    <row r="48" spans="1:9" s="304" customFormat="1" x14ac:dyDescent="0.35"/>
    <row r="49" spans="1:12" x14ac:dyDescent="0.35">
      <c r="A49" s="29" t="s">
        <v>1986</v>
      </c>
    </row>
    <row r="50" spans="1:12" x14ac:dyDescent="0.35">
      <c r="A50" t="s">
        <v>1984</v>
      </c>
    </row>
    <row r="51" spans="1:12" x14ac:dyDescent="0.35">
      <c r="A51" s="223" t="s">
        <v>1733</v>
      </c>
      <c r="B51" s="29" t="s">
        <v>1734</v>
      </c>
      <c r="C51" s="304"/>
      <c r="D51" s="29"/>
      <c r="E51" s="304"/>
      <c r="F51" s="304"/>
      <c r="G51" s="304"/>
      <c r="H51" s="304"/>
      <c r="I51" s="304"/>
      <c r="J51" s="304"/>
      <c r="K51" s="304" t="s">
        <v>1735</v>
      </c>
      <c r="L51" s="304" t="s">
        <v>1735</v>
      </c>
    </row>
    <row r="52" spans="1:12" ht="73.5" x14ac:dyDescent="0.45">
      <c r="A52" s="592" t="s">
        <v>1985</v>
      </c>
      <c r="B52" s="3"/>
      <c r="C52" s="4" t="s">
        <v>1983</v>
      </c>
      <c r="D52" s="4" t="s">
        <v>1736</v>
      </c>
      <c r="E52" s="593">
        <v>43647</v>
      </c>
      <c r="F52" s="594">
        <v>43770</v>
      </c>
      <c r="G52" s="594">
        <v>43846</v>
      </c>
      <c r="H52" s="594">
        <v>43906</v>
      </c>
      <c r="I52" s="593" t="s">
        <v>1737</v>
      </c>
      <c r="J52" s="593" t="s">
        <v>1738</v>
      </c>
      <c r="K52" s="20" t="s">
        <v>1739</v>
      </c>
      <c r="L52" s="20" t="s">
        <v>1740</v>
      </c>
    </row>
    <row r="53" spans="1:12" x14ac:dyDescent="0.35">
      <c r="A53" s="3" t="s">
        <v>1741</v>
      </c>
      <c r="B53" s="595">
        <f>C53/C58</f>
        <v>2.3028436358427048E-2</v>
      </c>
      <c r="C53" s="596">
        <v>643</v>
      </c>
      <c r="D53" s="597">
        <v>42290</v>
      </c>
      <c r="E53" s="578">
        <v>40990</v>
      </c>
      <c r="F53" s="596">
        <v>40580</v>
      </c>
      <c r="G53" s="596">
        <v>43390</v>
      </c>
      <c r="H53" s="596">
        <v>35080</v>
      </c>
      <c r="I53" s="597">
        <f>AVERAGE(D53:H53)</f>
        <v>40466</v>
      </c>
      <c r="J53" s="578">
        <f>I53/Maps!G25</f>
        <v>47426.151999999995</v>
      </c>
      <c r="K53" s="598">
        <f>(C53*J53+C54*J54+C55*J55)/(C53+C54+C55)</f>
        <v>44172.694646280455</v>
      </c>
      <c r="L53" s="576">
        <f>K53/(Maps!G34/Maps!F34)</f>
        <v>42683.451482738572</v>
      </c>
    </row>
    <row r="54" spans="1:12" x14ac:dyDescent="0.35">
      <c r="A54" s="3" t="s">
        <v>1742</v>
      </c>
      <c r="B54" s="595">
        <f>C54/C58</f>
        <v>0.11249194183797723</v>
      </c>
      <c r="C54" s="596">
        <v>3141</v>
      </c>
      <c r="D54" s="597"/>
      <c r="E54" s="578"/>
      <c r="F54" s="596">
        <v>58474</v>
      </c>
      <c r="G54" s="596">
        <v>59700</v>
      </c>
      <c r="H54" s="596">
        <v>53544</v>
      </c>
      <c r="I54" s="597">
        <f>AVERAGE(D54:H54)</f>
        <v>57239.333333333336</v>
      </c>
      <c r="J54" s="578">
        <f>I54/Maps!G23</f>
        <v>73552.543333333335</v>
      </c>
      <c r="K54" s="599"/>
      <c r="L54" s="600"/>
    </row>
    <row r="55" spans="1:12" ht="29" x14ac:dyDescent="0.35">
      <c r="A55" s="4" t="s">
        <v>1743</v>
      </c>
      <c r="B55" s="595">
        <f>C55/C58</f>
        <v>0.30835900007162809</v>
      </c>
      <c r="C55" s="596">
        <v>8610</v>
      </c>
      <c r="D55" s="597">
        <v>35300</v>
      </c>
      <c r="E55" s="578">
        <v>32720</v>
      </c>
      <c r="F55" s="596">
        <v>27230</v>
      </c>
      <c r="G55" s="596">
        <v>31420</v>
      </c>
      <c r="H55" s="596">
        <v>28380</v>
      </c>
      <c r="I55" s="597">
        <f>AVERAGE(D55:H55)</f>
        <v>31010</v>
      </c>
      <c r="J55" s="578">
        <f>I55/Maps!G26</f>
        <v>33211.71</v>
      </c>
      <c r="K55" s="599"/>
      <c r="L55" s="600"/>
    </row>
    <row r="56" spans="1:12" ht="43.5" x14ac:dyDescent="0.35">
      <c r="A56" s="304"/>
      <c r="B56" s="601"/>
      <c r="C56" s="601"/>
      <c r="D56" s="601"/>
      <c r="E56" s="601"/>
      <c r="F56" s="601"/>
      <c r="G56" s="601"/>
      <c r="H56" s="601"/>
      <c r="I56" s="602" t="s">
        <v>1744</v>
      </c>
      <c r="J56" s="601"/>
      <c r="K56" s="304"/>
      <c r="L56" s="304"/>
    </row>
    <row r="57" spans="1:12" x14ac:dyDescent="0.35">
      <c r="A57" s="3" t="s">
        <v>1745</v>
      </c>
      <c r="B57" s="595">
        <f>C57/C58</f>
        <v>0.55612062173196763</v>
      </c>
      <c r="C57" s="596">
        <v>15528</v>
      </c>
      <c r="D57" s="597"/>
      <c r="E57" s="596"/>
      <c r="F57" s="596">
        <v>6410</v>
      </c>
      <c r="G57" s="596">
        <v>5740</v>
      </c>
      <c r="H57" s="596">
        <v>7350</v>
      </c>
      <c r="I57" s="597">
        <f>AVERAGE(D57:H57)</f>
        <v>6500</v>
      </c>
      <c r="J57" s="596"/>
      <c r="K57" s="304"/>
      <c r="L57" s="304"/>
    </row>
    <row r="58" spans="1:12" ht="29" x14ac:dyDescent="0.35">
      <c r="A58" s="4" t="s">
        <v>1746</v>
      </c>
      <c r="B58" s="603">
        <v>1</v>
      </c>
      <c r="C58" s="578">
        <f>SUM(C53:C57)</f>
        <v>27922</v>
      </c>
      <c r="D58" s="603"/>
      <c r="E58" s="596"/>
      <c r="F58" s="596"/>
      <c r="G58" s="596"/>
      <c r="H58" s="596"/>
      <c r="I58" s="596"/>
      <c r="J58" s="596"/>
      <c r="K58" s="304"/>
      <c r="L58" s="304"/>
    </row>
    <row r="59" spans="1:12" x14ac:dyDescent="0.35">
      <c r="A59" s="304" t="s">
        <v>1747</v>
      </c>
      <c r="B59" s="304"/>
      <c r="C59" s="304"/>
      <c r="D59" s="304"/>
      <c r="E59" s="304"/>
      <c r="F59" s="304"/>
      <c r="G59" s="304"/>
      <c r="H59" s="304"/>
      <c r="I59" s="304"/>
      <c r="J59" s="304"/>
      <c r="K59" s="304"/>
      <c r="L59" s="304"/>
    </row>
    <row r="60" spans="1:12" x14ac:dyDescent="0.35">
      <c r="A60" s="304" t="s">
        <v>1748</v>
      </c>
      <c r="B60" s="304"/>
      <c r="C60" s="304"/>
      <c r="D60" s="304"/>
      <c r="E60" s="304"/>
      <c r="F60" s="304"/>
      <c r="G60" s="304"/>
      <c r="H60" s="304"/>
      <c r="I60" s="304"/>
      <c r="J60" s="304"/>
      <c r="K60" s="304"/>
      <c r="L60" s="304"/>
    </row>
    <row r="61" spans="1:12" x14ac:dyDescent="0.35">
      <c r="A61" s="304" t="s">
        <v>1749</v>
      </c>
      <c r="B61" s="304"/>
      <c r="C61" s="304"/>
      <c r="D61" s="304"/>
      <c r="E61" s="304"/>
      <c r="F61" s="304"/>
      <c r="G61" s="304"/>
      <c r="H61" s="304"/>
      <c r="I61" s="304"/>
      <c r="J61" s="304"/>
      <c r="K61" s="304"/>
      <c r="L61" s="304"/>
    </row>
  </sheetData>
  <hyperlinks>
    <hyperlink ref="A51" r:id="rId1"/>
  </hyperlinks>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
  <sheetViews>
    <sheetView zoomScaleNormal="100" workbookViewId="0"/>
  </sheetViews>
  <sheetFormatPr defaultColWidth="9.26953125" defaultRowHeight="14.5" x14ac:dyDescent="0.35"/>
  <cols>
    <col min="1" max="1" width="18.453125" style="51" customWidth="1"/>
    <col min="2" max="2" width="13.26953125" style="51" customWidth="1"/>
    <col min="3" max="3" width="16.453125" style="51" customWidth="1"/>
    <col min="4" max="4" width="14.7265625" style="51" customWidth="1"/>
    <col min="5" max="5" width="12.54296875" style="51" customWidth="1"/>
    <col min="6" max="6" width="13.26953125" style="51" bestFit="1" customWidth="1"/>
    <col min="7" max="7" width="9.26953125" style="51"/>
    <col min="8" max="8" width="9.26953125" style="51" bestFit="1" customWidth="1"/>
    <col min="9" max="9" width="13.26953125" style="51" customWidth="1"/>
    <col min="10" max="10" width="11.26953125" style="51" customWidth="1"/>
    <col min="11" max="11" width="12.26953125" style="51" customWidth="1"/>
    <col min="12" max="12" width="13.26953125" style="51" bestFit="1" customWidth="1"/>
    <col min="13" max="13" width="12.453125" style="51" bestFit="1" customWidth="1"/>
    <col min="14" max="14" width="10.453125" style="51" customWidth="1"/>
    <col min="15" max="15" width="19.26953125" style="51" customWidth="1"/>
    <col min="16" max="16384" width="9.26953125" style="51"/>
  </cols>
  <sheetData>
    <row r="1" spans="1:15" x14ac:dyDescent="0.35">
      <c r="A1" s="183" t="s">
        <v>1783</v>
      </c>
      <c r="L1" s="752" t="s">
        <v>1784</v>
      </c>
      <c r="M1" s="752">
        <v>120</v>
      </c>
      <c r="N1" s="752" t="s">
        <v>1785</v>
      </c>
      <c r="O1" s="770" t="s">
        <v>1786</v>
      </c>
    </row>
    <row r="2" spans="1:15" x14ac:dyDescent="0.35">
      <c r="D2" s="51" t="s">
        <v>1787</v>
      </c>
      <c r="G2" s="51">
        <v>7.33</v>
      </c>
      <c r="H2" s="51" t="s">
        <v>1788</v>
      </c>
      <c r="L2" s="752" t="s">
        <v>1789</v>
      </c>
      <c r="M2" s="753">
        <f>10%</f>
        <v>0.1</v>
      </c>
      <c r="N2" s="752" t="s">
        <v>1422</v>
      </c>
      <c r="O2" s="770"/>
    </row>
    <row r="3" spans="1:15" x14ac:dyDescent="0.35">
      <c r="A3" s="51" t="s">
        <v>1790</v>
      </c>
      <c r="D3" s="51" t="s">
        <v>1791</v>
      </c>
      <c r="E3" s="51" t="s">
        <v>1792</v>
      </c>
      <c r="F3" s="51" t="s">
        <v>1702</v>
      </c>
      <c r="O3" s="770"/>
    </row>
    <row r="4" spans="1:15" x14ac:dyDescent="0.35">
      <c r="A4" s="51" t="s">
        <v>1793</v>
      </c>
      <c r="D4" s="51">
        <v>22700</v>
      </c>
      <c r="E4" s="51">
        <v>26700</v>
      </c>
      <c r="F4" s="51">
        <f>AVERAGE(D4:E4)</f>
        <v>24700</v>
      </c>
      <c r="H4" s="51" t="s">
        <v>1794</v>
      </c>
      <c r="I4" s="99" t="s">
        <v>1817</v>
      </c>
      <c r="L4" s="51" t="s">
        <v>1795</v>
      </c>
      <c r="M4" s="51">
        <v>69.89</v>
      </c>
      <c r="O4" s="770"/>
    </row>
    <row r="5" spans="1:15" x14ac:dyDescent="0.35">
      <c r="H5" s="51">
        <v>1</v>
      </c>
      <c r="I5" s="615">
        <f>H5/G2*365/10^6</f>
        <v>4.9795361527967258E-5</v>
      </c>
    </row>
    <row r="6" spans="1:15" x14ac:dyDescent="0.35">
      <c r="A6" s="51" t="s">
        <v>1796</v>
      </c>
      <c r="H6" s="157">
        <f>I6*10^6*G2/365</f>
        <v>20082.191780821919</v>
      </c>
      <c r="I6" s="51">
        <v>1</v>
      </c>
      <c r="L6" s="51" t="s">
        <v>743</v>
      </c>
      <c r="M6" s="616">
        <v>1</v>
      </c>
      <c r="O6" s="51" t="s">
        <v>1797</v>
      </c>
    </row>
    <row r="7" spans="1:15" x14ac:dyDescent="0.35">
      <c r="A7" s="51" t="s">
        <v>1798</v>
      </c>
      <c r="D7" s="51">
        <v>5900000</v>
      </c>
      <c r="E7" s="51">
        <v>8900000</v>
      </c>
      <c r="F7" s="51">
        <f>AVERAGE(D7:E7)</f>
        <v>7400000</v>
      </c>
      <c r="L7" s="51" t="s">
        <v>1649</v>
      </c>
      <c r="M7" s="77">
        <f>ECT_EfficiencyCost_RF!N12</f>
        <v>0.98</v>
      </c>
    </row>
    <row r="8" spans="1:15" x14ac:dyDescent="0.35">
      <c r="A8" s="51" t="s">
        <v>1799</v>
      </c>
      <c r="D8" s="51">
        <f>D4*50000</f>
        <v>1135000000</v>
      </c>
      <c r="E8" s="51">
        <f>E4*50000</f>
        <v>1335000000</v>
      </c>
      <c r="F8" s="51">
        <f>F4*50000</f>
        <v>1235000000</v>
      </c>
      <c r="H8" s="51">
        <f>F4</f>
        <v>24700</v>
      </c>
      <c r="I8" s="51">
        <f>H5/G2</f>
        <v>0.13642564802182811</v>
      </c>
      <c r="J8" s="51" t="s">
        <v>1800</v>
      </c>
    </row>
    <row r="9" spans="1:15" x14ac:dyDescent="0.35">
      <c r="A9" s="51" t="s">
        <v>1801</v>
      </c>
      <c r="D9" s="750">
        <f>D7/D8</f>
        <v>5.1982378854625554E-3</v>
      </c>
      <c r="E9" s="750">
        <f>E7/E8</f>
        <v>6.6666666666666671E-3</v>
      </c>
      <c r="F9" s="750">
        <f>F7/F8</f>
        <v>5.9919028340080973E-3</v>
      </c>
    </row>
    <row r="10" spans="1:15" x14ac:dyDescent="0.35">
      <c r="E10" s="617"/>
    </row>
    <row r="11" spans="1:15" x14ac:dyDescent="0.35">
      <c r="A11" s="51" t="s">
        <v>1802</v>
      </c>
      <c r="D11" s="51">
        <v>1</v>
      </c>
      <c r="E11" s="99" t="s">
        <v>1817</v>
      </c>
    </row>
    <row r="12" spans="1:15" x14ac:dyDescent="0.35">
      <c r="D12" s="751">
        <f>D11*H6*F4</f>
        <v>496030136.98630136</v>
      </c>
      <c r="E12" s="51" t="s">
        <v>1803</v>
      </c>
    </row>
    <row r="13" spans="1:15" x14ac:dyDescent="0.35">
      <c r="D13" s="77">
        <f>D12*M4/10^7</f>
        <v>3466.7546273972603</v>
      </c>
      <c r="E13" s="51" t="s">
        <v>1804</v>
      </c>
    </row>
    <row r="14" spans="1:15" x14ac:dyDescent="0.35">
      <c r="A14" s="51" t="s">
        <v>1805</v>
      </c>
      <c r="D14" s="618">
        <f>-PMT(M2/12,M1,D13,0,0)*12*10</f>
        <v>5497.6101431856605</v>
      </c>
      <c r="F14" s="51" t="s">
        <v>1806</v>
      </c>
    </row>
    <row r="15" spans="1:15" x14ac:dyDescent="0.35">
      <c r="A15" s="51" t="s">
        <v>1807</v>
      </c>
      <c r="D15" s="157">
        <f>F9*D13*10</f>
        <v>207.72456876712329</v>
      </c>
      <c r="E15" s="619"/>
      <c r="F15" s="51" t="s">
        <v>1808</v>
      </c>
    </row>
    <row r="16" spans="1:15" x14ac:dyDescent="0.35">
      <c r="A16" s="99" t="s">
        <v>2030</v>
      </c>
      <c r="D16" s="618">
        <f>D14+D15</f>
        <v>5705.3347119527834</v>
      </c>
      <c r="F16" s="51" t="s">
        <v>1809</v>
      </c>
    </row>
    <row r="18" spans="1:15" x14ac:dyDescent="0.35">
      <c r="A18" s="51" t="s">
        <v>1810</v>
      </c>
      <c r="B18" s="77">
        <f>Maps!B38</f>
        <v>43.132328308207704</v>
      </c>
      <c r="C18" s="51" t="s">
        <v>777</v>
      </c>
    </row>
    <row r="19" spans="1:15" x14ac:dyDescent="0.35">
      <c r="A19" s="51" t="s">
        <v>1811</v>
      </c>
      <c r="B19" s="77">
        <f>B18*M6*M7</f>
        <v>42.269681742043552</v>
      </c>
      <c r="C19" s="51" t="s">
        <v>777</v>
      </c>
    </row>
    <row r="20" spans="1:15" x14ac:dyDescent="0.35">
      <c r="A20" s="51" t="s">
        <v>1812</v>
      </c>
      <c r="B20" s="618">
        <f>D16</f>
        <v>5705.3347119527834</v>
      </c>
      <c r="I20" s="223" t="s">
        <v>1813</v>
      </c>
    </row>
    <row r="21" spans="1:15" x14ac:dyDescent="0.35">
      <c r="I21" s="223" t="s">
        <v>1814</v>
      </c>
    </row>
    <row r="22" spans="1:15" ht="29" x14ac:dyDescent="0.35">
      <c r="B22" s="51" t="s">
        <v>1815</v>
      </c>
      <c r="C22" s="64" t="s">
        <v>1816</v>
      </c>
      <c r="I22" s="51" t="s">
        <v>1817</v>
      </c>
      <c r="J22" s="51" t="s">
        <v>1818</v>
      </c>
      <c r="K22" s="51" t="s">
        <v>1819</v>
      </c>
      <c r="L22" s="51" t="s">
        <v>1820</v>
      </c>
      <c r="M22" s="64" t="s">
        <v>1821</v>
      </c>
      <c r="N22" s="64" t="s">
        <v>1822</v>
      </c>
      <c r="O22" s="64" t="s">
        <v>1823</v>
      </c>
    </row>
    <row r="23" spans="1:15" x14ac:dyDescent="0.35">
      <c r="A23" s="51" t="s">
        <v>1670</v>
      </c>
      <c r="B23" s="77">
        <f>B$19/Maps!B39</f>
        <v>0.94354579774180247</v>
      </c>
      <c r="C23" s="619">
        <f>$B$20/B23</f>
        <v>6046.6961175678143</v>
      </c>
      <c r="I23" s="620">
        <v>60</v>
      </c>
      <c r="J23" s="620">
        <v>30</v>
      </c>
      <c r="K23" s="620">
        <f>J23*1000</f>
        <v>30000</v>
      </c>
      <c r="L23" s="620">
        <f>K23*M4/10</f>
        <v>209670</v>
      </c>
      <c r="M23" s="620">
        <f>K23/I23</f>
        <v>500</v>
      </c>
      <c r="N23" s="621">
        <f>L23/I23</f>
        <v>3494.5</v>
      </c>
      <c r="O23" s="51" t="s">
        <v>1824</v>
      </c>
    </row>
    <row r="24" spans="1:15" x14ac:dyDescent="0.35">
      <c r="A24" s="51" t="s">
        <v>1516</v>
      </c>
      <c r="B24" s="77">
        <f>B$19/Maps!B40</f>
        <v>0.97545314355915813</v>
      </c>
      <c r="C24" s="619">
        <f>$B$20/B24</f>
        <v>5848.9069922268109</v>
      </c>
      <c r="I24" s="620">
        <v>9</v>
      </c>
      <c r="J24" s="620"/>
      <c r="K24" s="620"/>
      <c r="L24" s="620">
        <v>29361</v>
      </c>
      <c r="M24" s="620"/>
      <c r="N24" s="621">
        <f t="shared" ref="N24:N31" si="0">L24/I24</f>
        <v>3262.3333333333335</v>
      </c>
      <c r="O24" s="51" t="s">
        <v>1825</v>
      </c>
    </row>
    <row r="25" spans="1:15" x14ac:dyDescent="0.35">
      <c r="A25" s="51" t="s">
        <v>1672</v>
      </c>
      <c r="B25" s="77">
        <f>B$19/Maps!B41</f>
        <v>0.94797559021946365</v>
      </c>
      <c r="C25" s="619">
        <f>$B$20/B25</f>
        <v>6018.4405282333846</v>
      </c>
      <c r="I25" s="620">
        <v>0.5</v>
      </c>
      <c r="J25" s="620"/>
      <c r="K25" s="620"/>
      <c r="L25" s="620">
        <v>4190</v>
      </c>
      <c r="M25" s="620"/>
      <c r="N25" s="621">
        <f t="shared" si="0"/>
        <v>8380</v>
      </c>
      <c r="O25" s="51" t="s">
        <v>1826</v>
      </c>
    </row>
    <row r="26" spans="1:15" x14ac:dyDescent="0.35">
      <c r="A26" s="51" t="s">
        <v>1671</v>
      </c>
      <c r="B26" s="77">
        <f>B$19/Maps!B42</f>
        <v>0.89344602087055636</v>
      </c>
      <c r="C26" s="619">
        <f>$B$20/B26</f>
        <v>6385.7631895809627</v>
      </c>
      <c r="I26" s="620">
        <v>3</v>
      </c>
      <c r="J26" s="620"/>
      <c r="K26" s="620"/>
      <c r="L26" s="620">
        <v>13148</v>
      </c>
      <c r="M26" s="620"/>
      <c r="N26" s="621">
        <f t="shared" si="0"/>
        <v>4382.666666666667</v>
      </c>
      <c r="O26" s="51" t="s">
        <v>1827</v>
      </c>
    </row>
    <row r="27" spans="1:15" x14ac:dyDescent="0.35">
      <c r="A27" s="51" t="s">
        <v>1673</v>
      </c>
      <c r="B27" s="77">
        <f>B$19/Maps!B43</f>
        <v>1.0516604203997173</v>
      </c>
      <c r="C27" s="619">
        <f>$B$20/B27</f>
        <v>5425.0731522103761</v>
      </c>
      <c r="I27" s="620">
        <v>4.3</v>
      </c>
      <c r="J27" s="620"/>
      <c r="K27" s="620"/>
      <c r="L27" s="620">
        <v>15034</v>
      </c>
      <c r="M27" s="620"/>
      <c r="N27" s="621">
        <f t="shared" si="0"/>
        <v>3496.2790697674418</v>
      </c>
      <c r="O27" s="51" t="s">
        <v>1828</v>
      </c>
    </row>
    <row r="28" spans="1:15" x14ac:dyDescent="0.35">
      <c r="I28" s="620">
        <v>1.2</v>
      </c>
      <c r="J28" s="620"/>
      <c r="K28" s="620"/>
      <c r="L28" s="620">
        <v>5645</v>
      </c>
      <c r="M28" s="620"/>
      <c r="N28" s="621">
        <f t="shared" si="0"/>
        <v>4704.166666666667</v>
      </c>
      <c r="O28" s="51" t="s">
        <v>1829</v>
      </c>
    </row>
    <row r="29" spans="1:15" x14ac:dyDescent="0.35">
      <c r="I29" s="620">
        <v>10</v>
      </c>
      <c r="J29" s="620"/>
      <c r="K29" s="620"/>
      <c r="L29" s="620">
        <v>23116</v>
      </c>
      <c r="M29" s="620"/>
      <c r="N29" s="621">
        <f t="shared" si="0"/>
        <v>2311.6</v>
      </c>
      <c r="O29" s="51" t="s">
        <v>1830</v>
      </c>
    </row>
    <row r="30" spans="1:15" x14ac:dyDescent="0.35">
      <c r="I30" s="620">
        <v>6.7</v>
      </c>
      <c r="J30" s="620"/>
      <c r="K30" s="620"/>
      <c r="L30" s="620">
        <v>20928</v>
      </c>
      <c r="M30" s="620"/>
      <c r="N30" s="621">
        <f t="shared" si="0"/>
        <v>3123.5820895522388</v>
      </c>
      <c r="O30" s="51" t="s">
        <v>1831</v>
      </c>
    </row>
    <row r="31" spans="1:15" x14ac:dyDescent="0.35">
      <c r="I31" s="620">
        <v>2</v>
      </c>
      <c r="J31" s="620"/>
      <c r="K31" s="620"/>
      <c r="L31" s="620">
        <v>5060</v>
      </c>
      <c r="M31" s="620"/>
      <c r="N31" s="621">
        <f t="shared" si="0"/>
        <v>2530</v>
      </c>
      <c r="O31" s="51" t="s">
        <v>1832</v>
      </c>
    </row>
    <row r="32" spans="1:15" x14ac:dyDescent="0.35">
      <c r="L32" s="61" t="s">
        <v>1833</v>
      </c>
      <c r="M32" s="622">
        <f>SUMPRODUCT(I23:I31,N23:N31)/SUM(I23:I31)</f>
        <v>3372.82316442606</v>
      </c>
      <c r="N32" s="157" t="s">
        <v>1834</v>
      </c>
    </row>
    <row r="33" spans="3:11" x14ac:dyDescent="0.35">
      <c r="K33" s="51" t="s">
        <v>1835</v>
      </c>
    </row>
    <row r="34" spans="3:11" x14ac:dyDescent="0.35">
      <c r="K34" s="51" t="s">
        <v>1836</v>
      </c>
    </row>
    <row r="38" spans="3:11" x14ac:dyDescent="0.35">
      <c r="C38" s="61"/>
      <c r="D38" s="157"/>
    </row>
    <row r="39" spans="3:11" x14ac:dyDescent="0.35">
      <c r="C39" s="61"/>
    </row>
    <row r="40" spans="3:11" x14ac:dyDescent="0.35">
      <c r="C40" s="61"/>
      <c r="D40" s="623"/>
      <c r="F40" s="59"/>
    </row>
    <row r="41" spans="3:11" x14ac:dyDescent="0.35">
      <c r="C41" s="61"/>
      <c r="D41" s="624"/>
      <c r="F41" s="59"/>
    </row>
  </sheetData>
  <mergeCells count="1">
    <mergeCell ref="O1:O4"/>
  </mergeCells>
  <hyperlinks>
    <hyperlink ref="I21" r:id="rId1"/>
    <hyperlink ref="I20" r:id="rId2"/>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2"/>
  <sheetViews>
    <sheetView zoomScaleNormal="100" workbookViewId="0"/>
  </sheetViews>
  <sheetFormatPr defaultColWidth="9.26953125" defaultRowHeight="14.5" x14ac:dyDescent="0.35"/>
  <cols>
    <col min="1" max="1" width="20.26953125" style="304" customWidth="1"/>
    <col min="2" max="3" width="15.7265625" style="304" customWidth="1"/>
    <col min="4" max="7" width="13.26953125" style="533" customWidth="1"/>
    <col min="8" max="8" width="15.26953125" style="533" customWidth="1"/>
    <col min="9" max="9" width="3.7265625" style="304" customWidth="1"/>
    <col min="10" max="10" width="10.54296875" style="304" customWidth="1"/>
    <col min="11" max="11" width="9" style="304" customWidth="1"/>
    <col min="12" max="12" width="10" style="304" customWidth="1"/>
    <col min="13" max="13" width="12.54296875" style="304" customWidth="1"/>
    <col min="14" max="14" width="16.7265625" style="304" customWidth="1"/>
    <col min="15" max="15" width="14.453125" style="304" customWidth="1"/>
    <col min="16" max="16" width="15.26953125" style="304" customWidth="1"/>
    <col min="17" max="17" width="15.453125" style="304" customWidth="1"/>
    <col min="18" max="18" width="15" style="304" customWidth="1"/>
    <col min="19" max="19" width="14.26953125" style="304" customWidth="1"/>
    <col min="20" max="16384" width="9.26953125" style="304"/>
  </cols>
  <sheetData>
    <row r="1" spans="1:19" x14ac:dyDescent="0.35">
      <c r="G1" s="533" t="s">
        <v>1837</v>
      </c>
      <c r="H1" s="533" t="s">
        <v>1838</v>
      </c>
    </row>
    <row r="2" spans="1:19" x14ac:dyDescent="0.35">
      <c r="A2" s="304" t="s">
        <v>1561</v>
      </c>
      <c r="B2" s="304" t="s">
        <v>1562</v>
      </c>
      <c r="C2" s="304" t="s">
        <v>1563</v>
      </c>
      <c r="D2" s="533" t="s">
        <v>1619</v>
      </c>
      <c r="E2" s="533" t="s">
        <v>180</v>
      </c>
      <c r="F2" s="533" t="s">
        <v>1649</v>
      </c>
      <c r="G2" s="533" t="s">
        <v>1646</v>
      </c>
      <c r="H2" s="533" t="s">
        <v>1648</v>
      </c>
      <c r="K2" s="304" t="s">
        <v>1839</v>
      </c>
    </row>
    <row r="3" spans="1:19" ht="17.149999999999999" customHeight="1" x14ac:dyDescent="0.35">
      <c r="A3" s="304" t="s">
        <v>1840</v>
      </c>
      <c r="B3" s="304" t="s">
        <v>1609</v>
      </c>
      <c r="D3" s="533">
        <v>2020</v>
      </c>
      <c r="E3" s="533">
        <v>2021</v>
      </c>
      <c r="F3" s="625">
        <f t="shared" ref="F3:F66" si="0">$N$12</f>
        <v>0.98</v>
      </c>
      <c r="G3" s="625">
        <f>RF_Capex_Opex!$D$16</f>
        <v>5705.3347119527834</v>
      </c>
      <c r="H3" s="625">
        <f>INDEX($O$10:$S$10,1,MATCH(ECT_EfficiencyCost_RF[[#This Row],[EnergyConvTech]],$O$8:$S$8,0))</f>
        <v>6889.2709138217533</v>
      </c>
    </row>
    <row r="4" spans="1:19" ht="58" x14ac:dyDescent="0.35">
      <c r="A4" s="304" t="s">
        <v>1840</v>
      </c>
      <c r="B4" s="304" t="s">
        <v>1609</v>
      </c>
      <c r="D4" s="629">
        <v>2020</v>
      </c>
      <c r="E4" s="629">
        <v>2022</v>
      </c>
      <c r="F4" s="625">
        <f t="shared" si="0"/>
        <v>0.98</v>
      </c>
      <c r="G4" s="625">
        <f>RF_Capex_Opex!$D$16</f>
        <v>5705.3347119527834</v>
      </c>
      <c r="H4" s="625">
        <f>INDEX($O$10:$S$10,1,MATCH(ECT_EfficiencyCost_RF[[#This Row],[EnergyConvTech]],$O$8:$S$8,0))</f>
        <v>6889.2709138217533</v>
      </c>
      <c r="J4" s="20" t="s">
        <v>1841</v>
      </c>
      <c r="K4" s="626"/>
      <c r="L4" s="562" t="s">
        <v>180</v>
      </c>
      <c r="M4" s="604"/>
      <c r="N4" s="604" t="s">
        <v>1842</v>
      </c>
      <c r="O4" s="604" t="s">
        <v>1843</v>
      </c>
      <c r="P4" s="604" t="s">
        <v>1844</v>
      </c>
      <c r="Q4" s="604" t="s">
        <v>1845</v>
      </c>
      <c r="R4" s="604" t="s">
        <v>1846</v>
      </c>
      <c r="S4" s="604" t="s">
        <v>1847</v>
      </c>
    </row>
    <row r="5" spans="1:19" ht="17.149999999999999" customHeight="1" x14ac:dyDescent="0.35">
      <c r="A5" s="304" t="s">
        <v>1840</v>
      </c>
      <c r="B5" s="304" t="s">
        <v>1609</v>
      </c>
      <c r="D5" s="629">
        <v>2020</v>
      </c>
      <c r="E5" s="629">
        <v>2023</v>
      </c>
      <c r="F5" s="625">
        <f t="shared" si="0"/>
        <v>0.98</v>
      </c>
      <c r="G5" s="625">
        <f>RF_Capex_Opex!$D$16</f>
        <v>5705.3347119527834</v>
      </c>
      <c r="H5" s="625">
        <f>INDEX($O$10:$S$10,1,MATCH(ECT_EfficiencyCost_RF[[#This Row],[EnergyConvTech]],$O$8:$S$8,0))</f>
        <v>6889.2709138217533</v>
      </c>
      <c r="J5" s="601">
        <v>2019</v>
      </c>
      <c r="K5" s="601"/>
      <c r="L5" s="534" t="s">
        <v>1421</v>
      </c>
      <c r="M5" s="596"/>
      <c r="N5" s="578">
        <f>Crude!S14/(Maps!$G$34/Maps!$F$34)</f>
        <v>31714.195610936033</v>
      </c>
      <c r="O5" s="578">
        <f>Products!H5*1000</f>
        <v>44308.801236710569</v>
      </c>
      <c r="P5" s="586">
        <f>Products!H13*1000</f>
        <v>39283.809251048158</v>
      </c>
      <c r="Q5" s="586">
        <f>Products!H20*1000</f>
        <v>37505.203052264624</v>
      </c>
      <c r="R5" s="586"/>
      <c r="S5" s="586">
        <f>Products!L53</f>
        <v>42683.451482738572</v>
      </c>
    </row>
    <row r="6" spans="1:19" ht="17.149999999999999" customHeight="1" x14ac:dyDescent="0.35">
      <c r="A6" s="304" t="s">
        <v>1840</v>
      </c>
      <c r="B6" s="304" t="s">
        <v>1609</v>
      </c>
      <c r="D6" s="629">
        <v>2020</v>
      </c>
      <c r="E6" s="629">
        <v>2024</v>
      </c>
      <c r="F6" s="625">
        <f t="shared" si="0"/>
        <v>0.98</v>
      </c>
      <c r="G6" s="625">
        <f>RF_Capex_Opex!$D$16</f>
        <v>5705.3347119527834</v>
      </c>
      <c r="H6" s="625">
        <f>INDEX($O$10:$S$10,1,MATCH(ECT_EfficiencyCost_RF[[#This Row],[EnergyConvTech]],$O$8:$S$8,0))</f>
        <v>6889.2709138217533</v>
      </c>
      <c r="J6" s="601">
        <v>2020</v>
      </c>
      <c r="K6" s="601"/>
      <c r="L6" s="534" t="s">
        <v>1696</v>
      </c>
      <c r="M6" s="578"/>
      <c r="N6" s="578">
        <f>Crude!S15/(Maps!$H$34/Maps!$F$34)</f>
        <v>22702.758709990681</v>
      </c>
      <c r="O6" s="578"/>
      <c r="P6" s="578"/>
      <c r="Q6" s="578"/>
      <c r="R6" s="578">
        <f>Products!H27</f>
        <v>49399.666234928663</v>
      </c>
      <c r="S6" s="578"/>
    </row>
    <row r="7" spans="1:19" ht="17.149999999999999" customHeight="1" x14ac:dyDescent="0.35">
      <c r="A7" s="304" t="s">
        <v>1840</v>
      </c>
      <c r="B7" s="304" t="s">
        <v>1609</v>
      </c>
      <c r="D7" s="629">
        <v>2020</v>
      </c>
      <c r="E7" s="629">
        <v>2025</v>
      </c>
      <c r="F7" s="625">
        <f t="shared" si="0"/>
        <v>0.98</v>
      </c>
      <c r="G7" s="625">
        <f>RF_Capex_Opex!$D$16</f>
        <v>5705.3347119527834</v>
      </c>
      <c r="H7" s="625">
        <f>INDEX($O$10:$S$10,1,MATCH(ECT_EfficiencyCost_RF[[#This Row],[EnergyConvTech]],$O$8:$S$8,0))</f>
        <v>6889.2709138217533</v>
      </c>
    </row>
    <row r="8" spans="1:19" ht="17.149999999999999" customHeight="1" x14ac:dyDescent="0.35">
      <c r="A8" s="304" t="s">
        <v>1840</v>
      </c>
      <c r="B8" s="304" t="s">
        <v>1609</v>
      </c>
      <c r="D8" s="629">
        <v>2020</v>
      </c>
      <c r="E8" s="629">
        <v>2026</v>
      </c>
      <c r="F8" s="625">
        <f t="shared" si="0"/>
        <v>0.98</v>
      </c>
      <c r="G8" s="625">
        <f>RF_Capex_Opex!$D$16</f>
        <v>5705.3347119527834</v>
      </c>
      <c r="H8" s="625">
        <f>INDEX($O$10:$S$10,1,MATCH(ECT_EfficiencyCost_RF[[#This Row],[EnergyConvTech]],$O$8:$S$8,0))</f>
        <v>6889.2709138217533</v>
      </c>
      <c r="J8" s="601"/>
      <c r="K8" s="601"/>
      <c r="O8" s="304" t="s">
        <v>1840</v>
      </c>
      <c r="P8" s="304" t="s">
        <v>1848</v>
      </c>
      <c r="Q8" s="304" t="s">
        <v>1849</v>
      </c>
      <c r="R8" s="304" t="s">
        <v>1850</v>
      </c>
      <c r="S8" s="304" t="s">
        <v>1851</v>
      </c>
    </row>
    <row r="9" spans="1:19" ht="17.149999999999999" customHeight="1" x14ac:dyDescent="0.35">
      <c r="A9" s="304" t="s">
        <v>1840</v>
      </c>
      <c r="B9" s="304" t="s">
        <v>1609</v>
      </c>
      <c r="D9" s="629">
        <v>2020</v>
      </c>
      <c r="E9" s="629">
        <v>2027</v>
      </c>
      <c r="F9" s="625">
        <f t="shared" si="0"/>
        <v>0.98</v>
      </c>
      <c r="G9" s="625">
        <f>RF_Capex_Opex!$D$16</f>
        <v>5705.3347119527834</v>
      </c>
      <c r="H9" s="625">
        <f>INDEX($O$10:$S$10,1,MATCH(ECT_EfficiencyCost_RF[[#This Row],[EnergyConvTech]],$O$8:$S$8,0))</f>
        <v>6889.2709138217533</v>
      </c>
      <c r="J9" s="601"/>
      <c r="K9" s="601"/>
      <c r="L9" s="627" t="s">
        <v>1852</v>
      </c>
      <c r="O9" s="150">
        <f>O5-$N5</f>
        <v>12594.605625774537</v>
      </c>
      <c r="P9" s="150">
        <f>P5-$N5</f>
        <v>7569.6136401121257</v>
      </c>
      <c r="Q9" s="150">
        <f>Q5-$N5</f>
        <v>5791.0074413285911</v>
      </c>
      <c r="R9" s="150">
        <f>R6-$N6</f>
        <v>26696.907524937982</v>
      </c>
      <c r="S9" s="150">
        <f>S5-$N5</f>
        <v>10969.255871802539</v>
      </c>
    </row>
    <row r="10" spans="1:19" ht="17.149999999999999" customHeight="1" x14ac:dyDescent="0.35">
      <c r="A10" s="304" t="s">
        <v>1840</v>
      </c>
      <c r="B10" s="304" t="s">
        <v>1609</v>
      </c>
      <c r="D10" s="629">
        <v>2020</v>
      </c>
      <c r="E10" s="629">
        <v>2028</v>
      </c>
      <c r="F10" s="625">
        <f t="shared" si="0"/>
        <v>0.98</v>
      </c>
      <c r="G10" s="625">
        <f>RF_Capex_Opex!$D$16</f>
        <v>5705.3347119527834</v>
      </c>
      <c r="H10" s="625">
        <f>INDEX($O$10:$S$10,1,MATCH(ECT_EfficiencyCost_RF[[#This Row],[EnergyConvTech]],$O$8:$S$8,0))</f>
        <v>6889.2709138217533</v>
      </c>
      <c r="J10" s="601"/>
      <c r="K10" s="601"/>
      <c r="L10" s="627" t="s">
        <v>1853</v>
      </c>
      <c r="O10" s="150">
        <f>O9-RF_Capex_Opex!$D$16</f>
        <v>6889.2709138217533</v>
      </c>
      <c r="P10" s="150">
        <f>P9-RF_Capex_Opex!$D$16</f>
        <v>1864.2789281593423</v>
      </c>
      <c r="Q10" s="150">
        <f>Q9-RF_Capex_Opex!$D$16</f>
        <v>85.672729375807648</v>
      </c>
      <c r="R10" s="150">
        <f>R9-RF_Capex_Opex!$D$16</f>
        <v>20991.5728129852</v>
      </c>
      <c r="S10" s="150">
        <f>S9-RF_Capex_Opex!$D$16</f>
        <v>5263.9211598497559</v>
      </c>
    </row>
    <row r="11" spans="1:19" ht="17.149999999999999" customHeight="1" x14ac:dyDescent="0.35">
      <c r="A11" s="304" t="s">
        <v>1840</v>
      </c>
      <c r="B11" s="304" t="s">
        <v>1609</v>
      </c>
      <c r="D11" s="629">
        <v>2020</v>
      </c>
      <c r="E11" s="629">
        <v>2029</v>
      </c>
      <c r="F11" s="625">
        <f t="shared" si="0"/>
        <v>0.98</v>
      </c>
      <c r="G11" s="625">
        <f>RF_Capex_Opex!$D$16</f>
        <v>5705.3347119527834</v>
      </c>
      <c r="H11" s="625">
        <f>INDEX($O$10:$S$10,1,MATCH(ECT_EfficiencyCost_RF[[#This Row],[EnergyConvTech]],$O$8:$S$8,0))</f>
        <v>6889.2709138217533</v>
      </c>
      <c r="J11" s="601"/>
      <c r="K11" s="601"/>
      <c r="Q11" s="262"/>
      <c r="R11" s="262"/>
      <c r="S11" s="262"/>
    </row>
    <row r="12" spans="1:19" ht="17.149999999999999" customHeight="1" x14ac:dyDescent="0.35">
      <c r="A12" s="304" t="s">
        <v>1840</v>
      </c>
      <c r="B12" s="304" t="s">
        <v>1609</v>
      </c>
      <c r="D12" s="629">
        <v>2020</v>
      </c>
      <c r="E12" s="629">
        <v>2030</v>
      </c>
      <c r="F12" s="625">
        <f t="shared" si="0"/>
        <v>0.98</v>
      </c>
      <c r="G12" s="625">
        <f>RF_Capex_Opex!$D$16</f>
        <v>5705.3347119527834</v>
      </c>
      <c r="H12" s="625">
        <f>INDEX($O$10:$S$10,1,MATCH(ECT_EfficiencyCost_RF[[#This Row],[EnergyConvTech]],$O$8:$S$8,0))</f>
        <v>6889.2709138217533</v>
      </c>
      <c r="J12" s="601"/>
      <c r="K12" s="601"/>
      <c r="L12" s="304" t="s">
        <v>1854</v>
      </c>
      <c r="M12" s="262"/>
      <c r="N12" s="628">
        <v>0.98</v>
      </c>
    </row>
    <row r="13" spans="1:19" ht="17.149999999999999" customHeight="1" x14ac:dyDescent="0.35">
      <c r="A13" s="304" t="s">
        <v>1840</v>
      </c>
      <c r="B13" s="304" t="s">
        <v>1609</v>
      </c>
      <c r="D13" s="629">
        <v>2020</v>
      </c>
      <c r="E13" s="629">
        <v>2031</v>
      </c>
      <c r="F13" s="625">
        <f t="shared" si="0"/>
        <v>0.98</v>
      </c>
      <c r="G13" s="625">
        <f>RF_Capex_Opex!$D$16</f>
        <v>5705.3347119527834</v>
      </c>
      <c r="H13" s="625">
        <f>INDEX($O$10:$S$10,1,MATCH(ECT_EfficiencyCost_RF[[#This Row],[EnergyConvTech]],$O$8:$S$8,0))</f>
        <v>6889.2709138217533</v>
      </c>
      <c r="J13" s="601"/>
      <c r="K13" s="601"/>
      <c r="L13" s="149" t="s">
        <v>1855</v>
      </c>
    </row>
    <row r="14" spans="1:19" ht="17.149999999999999" customHeight="1" x14ac:dyDescent="0.35">
      <c r="A14" s="304" t="s">
        <v>1840</v>
      </c>
      <c r="B14" s="304" t="s">
        <v>1609</v>
      </c>
      <c r="D14" s="629">
        <v>2021</v>
      </c>
      <c r="E14" s="629">
        <v>2021</v>
      </c>
      <c r="F14" s="625">
        <f t="shared" si="0"/>
        <v>0.98</v>
      </c>
      <c r="G14" s="625">
        <f>RF_Capex_Opex!$D$16</f>
        <v>5705.3347119527834</v>
      </c>
      <c r="H14" s="625">
        <f>INDEX($O$10:$S$10,1,MATCH(ECT_EfficiencyCost_RF[[#This Row],[EnergyConvTech]],$O$8:$S$8,0))</f>
        <v>6889.2709138217533</v>
      </c>
      <c r="J14" s="601"/>
      <c r="K14" s="601"/>
    </row>
    <row r="15" spans="1:19" ht="17.149999999999999" customHeight="1" x14ac:dyDescent="0.35">
      <c r="A15" s="304" t="s">
        <v>1840</v>
      </c>
      <c r="B15" s="304" t="s">
        <v>1609</v>
      </c>
      <c r="D15" s="629">
        <v>2021</v>
      </c>
      <c r="E15" s="629">
        <v>2022</v>
      </c>
      <c r="F15" s="625">
        <f t="shared" si="0"/>
        <v>0.98</v>
      </c>
      <c r="G15" s="625">
        <f>RF_Capex_Opex!$D$16</f>
        <v>5705.3347119527834</v>
      </c>
      <c r="H15" s="625">
        <f>INDEX($O$10:$S$10,1,MATCH(ECT_EfficiencyCost_RF[[#This Row],[EnergyConvTech]],$O$8:$S$8,0))</f>
        <v>6889.2709138217533</v>
      </c>
      <c r="J15" s="601"/>
      <c r="K15" s="601"/>
    </row>
    <row r="16" spans="1:19" x14ac:dyDescent="0.35">
      <c r="A16" s="304" t="s">
        <v>1840</v>
      </c>
      <c r="B16" s="304" t="s">
        <v>1609</v>
      </c>
      <c r="D16" s="629">
        <v>2022</v>
      </c>
      <c r="E16" s="629">
        <v>2022</v>
      </c>
      <c r="F16" s="625">
        <f t="shared" si="0"/>
        <v>0.98</v>
      </c>
      <c r="G16" s="625">
        <f>RF_Capex_Opex!$D$16</f>
        <v>5705.3347119527834</v>
      </c>
      <c r="H16" s="625">
        <f>INDEX($O$10:$S$10,1,MATCH(ECT_EfficiencyCost_RF[[#This Row],[EnergyConvTech]],$O$8:$S$8,0))</f>
        <v>6889.2709138217533</v>
      </c>
      <c r="J16" s="601"/>
      <c r="K16" s="601"/>
    </row>
    <row r="17" spans="1:20" ht="17.149999999999999" customHeight="1" x14ac:dyDescent="0.35">
      <c r="A17" s="304" t="s">
        <v>1840</v>
      </c>
      <c r="B17" s="304" t="s">
        <v>1609</v>
      </c>
      <c r="D17" s="629">
        <v>2021</v>
      </c>
      <c r="E17" s="629">
        <v>2023</v>
      </c>
      <c r="F17" s="625">
        <f t="shared" si="0"/>
        <v>0.98</v>
      </c>
      <c r="G17" s="625">
        <f>RF_Capex_Opex!$D$16</f>
        <v>5705.3347119527834</v>
      </c>
      <c r="H17" s="625">
        <f>INDEX($O$10:$S$10,1,MATCH(ECT_EfficiencyCost_RF[[#This Row],[EnergyConvTech]],$O$8:$S$8,0))</f>
        <v>6889.2709138217533</v>
      </c>
      <c r="J17" s="601"/>
      <c r="K17" s="601"/>
    </row>
    <row r="18" spans="1:20" ht="17.149999999999999" customHeight="1" x14ac:dyDescent="0.35">
      <c r="A18" s="304" t="s">
        <v>1840</v>
      </c>
      <c r="B18" s="304" t="s">
        <v>1609</v>
      </c>
      <c r="D18" s="629">
        <v>2022</v>
      </c>
      <c r="E18" s="629">
        <v>2023</v>
      </c>
      <c r="F18" s="625">
        <f t="shared" si="0"/>
        <v>0.98</v>
      </c>
      <c r="G18" s="625">
        <f>RF_Capex_Opex!$D$16</f>
        <v>5705.3347119527834</v>
      </c>
      <c r="H18" s="625">
        <f>INDEX($O$10:$S$10,1,MATCH(ECT_EfficiencyCost_RF[[#This Row],[EnergyConvTech]],$O$8:$S$8,0))</f>
        <v>6889.2709138217533</v>
      </c>
      <c r="T18" s="150"/>
    </row>
    <row r="19" spans="1:20" ht="17.149999999999999" customHeight="1" x14ac:dyDescent="0.35">
      <c r="A19" s="304" t="s">
        <v>1840</v>
      </c>
      <c r="B19" s="304" t="s">
        <v>1609</v>
      </c>
      <c r="D19" s="629">
        <v>2023</v>
      </c>
      <c r="E19" s="629">
        <v>2023</v>
      </c>
      <c r="F19" s="625">
        <f t="shared" si="0"/>
        <v>0.98</v>
      </c>
      <c r="G19" s="625">
        <f>RF_Capex_Opex!$D$16</f>
        <v>5705.3347119527834</v>
      </c>
      <c r="H19" s="625">
        <f>INDEX($O$10:$S$10,1,MATCH(ECT_EfficiencyCost_RF[[#This Row],[EnergyConvTech]],$O$8:$S$8,0))</f>
        <v>6889.2709138217533</v>
      </c>
      <c r="T19" s="150"/>
    </row>
    <row r="20" spans="1:20" ht="17.149999999999999" customHeight="1" x14ac:dyDescent="0.35">
      <c r="A20" s="304" t="s">
        <v>1840</v>
      </c>
      <c r="B20" s="304" t="s">
        <v>1609</v>
      </c>
      <c r="D20" s="629">
        <v>2021</v>
      </c>
      <c r="E20" s="629">
        <v>2024</v>
      </c>
      <c r="F20" s="625">
        <f t="shared" si="0"/>
        <v>0.98</v>
      </c>
      <c r="G20" s="625">
        <f>RF_Capex_Opex!$D$16</f>
        <v>5705.3347119527834</v>
      </c>
      <c r="H20" s="625">
        <f>INDEX($O$10:$S$10,1,MATCH(ECT_EfficiencyCost_RF[[#This Row],[EnergyConvTech]],$O$8:$S$8,0))</f>
        <v>6889.2709138217533</v>
      </c>
      <c r="T20" s="150"/>
    </row>
    <row r="21" spans="1:20" ht="17.149999999999999" customHeight="1" x14ac:dyDescent="0.35">
      <c r="A21" s="304" t="s">
        <v>1840</v>
      </c>
      <c r="B21" s="304" t="s">
        <v>1609</v>
      </c>
      <c r="D21" s="629">
        <v>2022</v>
      </c>
      <c r="E21" s="629">
        <v>2024</v>
      </c>
      <c r="F21" s="625">
        <f t="shared" si="0"/>
        <v>0.98</v>
      </c>
      <c r="G21" s="625">
        <f>RF_Capex_Opex!$D$16</f>
        <v>5705.3347119527834</v>
      </c>
      <c r="H21" s="625">
        <f>INDEX($O$10:$S$10,1,MATCH(ECT_EfficiencyCost_RF[[#This Row],[EnergyConvTech]],$O$8:$S$8,0))</f>
        <v>6889.2709138217533</v>
      </c>
      <c r="T21" s="150"/>
    </row>
    <row r="22" spans="1:20" ht="17.149999999999999" customHeight="1" x14ac:dyDescent="0.35">
      <c r="A22" s="304" t="s">
        <v>1840</v>
      </c>
      <c r="B22" s="304" t="s">
        <v>1609</v>
      </c>
      <c r="D22" s="629">
        <v>2023</v>
      </c>
      <c r="E22" s="629">
        <v>2024</v>
      </c>
      <c r="F22" s="625">
        <f t="shared" si="0"/>
        <v>0.98</v>
      </c>
      <c r="G22" s="625">
        <f>RF_Capex_Opex!$D$16</f>
        <v>5705.3347119527834</v>
      </c>
      <c r="H22" s="625">
        <f>INDEX($O$10:$S$10,1,MATCH(ECT_EfficiencyCost_RF[[#This Row],[EnergyConvTech]],$O$8:$S$8,0))</f>
        <v>6889.2709138217533</v>
      </c>
      <c r="T22" s="150"/>
    </row>
    <row r="23" spans="1:20" ht="17.149999999999999" customHeight="1" x14ac:dyDescent="0.35">
      <c r="A23" s="304" t="s">
        <v>1840</v>
      </c>
      <c r="B23" s="304" t="s">
        <v>1609</v>
      </c>
      <c r="D23" s="629">
        <v>2024</v>
      </c>
      <c r="E23" s="629">
        <v>2024</v>
      </c>
      <c r="F23" s="625">
        <f t="shared" si="0"/>
        <v>0.98</v>
      </c>
      <c r="G23" s="625">
        <f>RF_Capex_Opex!$D$16</f>
        <v>5705.3347119527834</v>
      </c>
      <c r="H23" s="625">
        <f>INDEX($O$10:$S$10,1,MATCH(ECT_EfficiencyCost_RF[[#This Row],[EnergyConvTech]],$O$8:$S$8,0))</f>
        <v>6889.2709138217533</v>
      </c>
      <c r="T23" s="150"/>
    </row>
    <row r="24" spans="1:20" ht="17.149999999999999" customHeight="1" x14ac:dyDescent="0.35">
      <c r="A24" s="304" t="s">
        <v>1840</v>
      </c>
      <c r="B24" s="304" t="s">
        <v>1609</v>
      </c>
      <c r="D24" s="629">
        <v>2021</v>
      </c>
      <c r="E24" s="629">
        <v>2025</v>
      </c>
      <c r="F24" s="625">
        <f t="shared" si="0"/>
        <v>0.98</v>
      </c>
      <c r="G24" s="625">
        <f>RF_Capex_Opex!$D$16</f>
        <v>5705.3347119527834</v>
      </c>
      <c r="H24" s="625">
        <f>INDEX($O$10:$S$10,1,MATCH(ECT_EfficiencyCost_RF[[#This Row],[EnergyConvTech]],$O$8:$S$8,0))</f>
        <v>6889.2709138217533</v>
      </c>
      <c r="T24" s="150"/>
    </row>
    <row r="25" spans="1:20" ht="17.149999999999999" customHeight="1" x14ac:dyDescent="0.35">
      <c r="A25" s="304" t="s">
        <v>1840</v>
      </c>
      <c r="B25" s="304" t="s">
        <v>1609</v>
      </c>
      <c r="D25" s="629">
        <v>2022</v>
      </c>
      <c r="E25" s="629">
        <v>2025</v>
      </c>
      <c r="F25" s="625">
        <f t="shared" si="0"/>
        <v>0.98</v>
      </c>
      <c r="G25" s="625">
        <f>RF_Capex_Opex!$D$16</f>
        <v>5705.3347119527834</v>
      </c>
      <c r="H25" s="625">
        <f>INDEX($O$10:$S$10,1,MATCH(ECT_EfficiencyCost_RF[[#This Row],[EnergyConvTech]],$O$8:$S$8,0))</f>
        <v>6889.2709138217533</v>
      </c>
      <c r="T25" s="150"/>
    </row>
    <row r="26" spans="1:20" ht="17.149999999999999" customHeight="1" x14ac:dyDescent="0.35">
      <c r="A26" s="304" t="s">
        <v>1840</v>
      </c>
      <c r="B26" s="304" t="s">
        <v>1609</v>
      </c>
      <c r="D26" s="629">
        <v>2023</v>
      </c>
      <c r="E26" s="629">
        <v>2025</v>
      </c>
      <c r="F26" s="625">
        <f t="shared" si="0"/>
        <v>0.98</v>
      </c>
      <c r="G26" s="625">
        <f>RF_Capex_Opex!$D$16</f>
        <v>5705.3347119527834</v>
      </c>
      <c r="H26" s="625">
        <f>INDEX($O$10:$S$10,1,MATCH(ECT_EfficiencyCost_RF[[#This Row],[EnergyConvTech]],$O$8:$S$8,0))</f>
        <v>6889.2709138217533</v>
      </c>
      <c r="T26" s="150"/>
    </row>
    <row r="27" spans="1:20" ht="17.149999999999999" customHeight="1" x14ac:dyDescent="0.35">
      <c r="A27" s="304" t="s">
        <v>1840</v>
      </c>
      <c r="B27" s="304" t="s">
        <v>1609</v>
      </c>
      <c r="D27" s="629">
        <v>2024</v>
      </c>
      <c r="E27" s="629">
        <v>2025</v>
      </c>
      <c r="F27" s="625">
        <f t="shared" si="0"/>
        <v>0.98</v>
      </c>
      <c r="G27" s="625">
        <f>RF_Capex_Opex!$D$16</f>
        <v>5705.3347119527834</v>
      </c>
      <c r="H27" s="625">
        <f>INDEX($O$10:$S$10,1,MATCH(ECT_EfficiencyCost_RF[[#This Row],[EnergyConvTech]],$O$8:$S$8,0))</f>
        <v>6889.2709138217533</v>
      </c>
      <c r="O27" s="150"/>
      <c r="T27" s="150"/>
    </row>
    <row r="28" spans="1:20" ht="17.149999999999999" customHeight="1" x14ac:dyDescent="0.35">
      <c r="A28" s="304" t="s">
        <v>1840</v>
      </c>
      <c r="B28" s="304" t="s">
        <v>1609</v>
      </c>
      <c r="D28" s="629">
        <v>2025</v>
      </c>
      <c r="E28" s="629">
        <v>2025</v>
      </c>
      <c r="F28" s="625">
        <f t="shared" si="0"/>
        <v>0.98</v>
      </c>
      <c r="G28" s="625">
        <f>RF_Capex_Opex!$D$16</f>
        <v>5705.3347119527834</v>
      </c>
      <c r="H28" s="625">
        <f>INDEX($O$10:$S$10,1,MATCH(ECT_EfficiencyCost_RF[[#This Row],[EnergyConvTech]],$O$8:$S$8,0))</f>
        <v>6889.2709138217533</v>
      </c>
      <c r="T28" s="150"/>
    </row>
    <row r="29" spans="1:20" ht="17.149999999999999" customHeight="1" x14ac:dyDescent="0.35">
      <c r="A29" s="304" t="s">
        <v>1840</v>
      </c>
      <c r="B29" s="304" t="s">
        <v>1609</v>
      </c>
      <c r="D29" s="629">
        <v>2021</v>
      </c>
      <c r="E29" s="629">
        <v>2026</v>
      </c>
      <c r="F29" s="625">
        <f t="shared" si="0"/>
        <v>0.98</v>
      </c>
      <c r="G29" s="625">
        <f>RF_Capex_Opex!$D$16</f>
        <v>5705.3347119527834</v>
      </c>
      <c r="H29" s="625">
        <f>INDEX($O$10:$S$10,1,MATCH(ECT_EfficiencyCost_RF[[#This Row],[EnergyConvTech]],$O$8:$S$8,0))</f>
        <v>6889.2709138217533</v>
      </c>
      <c r="T29" s="150"/>
    </row>
    <row r="30" spans="1:20" ht="17.149999999999999" customHeight="1" x14ac:dyDescent="0.35">
      <c r="A30" s="304" t="s">
        <v>1840</v>
      </c>
      <c r="B30" s="304" t="s">
        <v>1609</v>
      </c>
      <c r="D30" s="629">
        <v>2022</v>
      </c>
      <c r="E30" s="629">
        <v>2026</v>
      </c>
      <c r="F30" s="625">
        <f t="shared" si="0"/>
        <v>0.98</v>
      </c>
      <c r="G30" s="625">
        <f>RF_Capex_Opex!$D$16</f>
        <v>5705.3347119527834</v>
      </c>
      <c r="H30" s="625">
        <f>INDEX($O$10:$S$10,1,MATCH(ECT_EfficiencyCost_RF[[#This Row],[EnergyConvTech]],$O$8:$S$8,0))</f>
        <v>6889.2709138217533</v>
      </c>
    </row>
    <row r="31" spans="1:20" ht="17.149999999999999" customHeight="1" x14ac:dyDescent="0.35">
      <c r="A31" s="304" t="s">
        <v>1840</v>
      </c>
      <c r="B31" s="304" t="s">
        <v>1609</v>
      </c>
      <c r="D31" s="629">
        <v>2023</v>
      </c>
      <c r="E31" s="629">
        <v>2026</v>
      </c>
      <c r="F31" s="625">
        <f t="shared" si="0"/>
        <v>0.98</v>
      </c>
      <c r="G31" s="625">
        <f>RF_Capex_Opex!$D$16</f>
        <v>5705.3347119527834</v>
      </c>
      <c r="H31" s="625">
        <f>INDEX($O$10:$S$10,1,MATCH(ECT_EfficiencyCost_RF[[#This Row],[EnergyConvTech]],$O$8:$S$8,0))</f>
        <v>6889.2709138217533</v>
      </c>
    </row>
    <row r="32" spans="1:20" ht="17.149999999999999" customHeight="1" x14ac:dyDescent="0.35">
      <c r="A32" s="304" t="s">
        <v>1840</v>
      </c>
      <c r="B32" s="304" t="s">
        <v>1609</v>
      </c>
      <c r="D32" s="629">
        <v>2024</v>
      </c>
      <c r="E32" s="629">
        <v>2026</v>
      </c>
      <c r="F32" s="625">
        <f t="shared" si="0"/>
        <v>0.98</v>
      </c>
      <c r="G32" s="625">
        <f>RF_Capex_Opex!$D$16</f>
        <v>5705.3347119527834</v>
      </c>
      <c r="H32" s="625">
        <f>INDEX($O$10:$S$10,1,MATCH(ECT_EfficiencyCost_RF[[#This Row],[EnergyConvTech]],$O$8:$S$8,0))</f>
        <v>6889.2709138217533</v>
      </c>
    </row>
    <row r="33" spans="1:20" ht="17.149999999999999" customHeight="1" x14ac:dyDescent="0.35">
      <c r="A33" s="304" t="s">
        <v>1840</v>
      </c>
      <c r="B33" s="304" t="s">
        <v>1609</v>
      </c>
      <c r="D33" s="629">
        <v>2025</v>
      </c>
      <c r="E33" s="629">
        <v>2026</v>
      </c>
      <c r="F33" s="625">
        <f t="shared" si="0"/>
        <v>0.98</v>
      </c>
      <c r="G33" s="625">
        <f>RF_Capex_Opex!$D$16</f>
        <v>5705.3347119527834</v>
      </c>
      <c r="H33" s="625">
        <f>INDEX($O$10:$S$10,1,MATCH(ECT_EfficiencyCost_RF[[#This Row],[EnergyConvTech]],$O$8:$S$8,0))</f>
        <v>6889.2709138217533</v>
      </c>
      <c r="T33" s="387"/>
    </row>
    <row r="34" spans="1:20" ht="17.149999999999999" customHeight="1" x14ac:dyDescent="0.35">
      <c r="A34" s="304" t="s">
        <v>1840</v>
      </c>
      <c r="B34" s="304" t="s">
        <v>1609</v>
      </c>
      <c r="D34" s="629">
        <v>2026</v>
      </c>
      <c r="E34" s="629">
        <v>2026</v>
      </c>
      <c r="F34" s="625">
        <f t="shared" si="0"/>
        <v>0.98</v>
      </c>
      <c r="G34" s="625">
        <f>RF_Capex_Opex!$D$16</f>
        <v>5705.3347119527834</v>
      </c>
      <c r="H34" s="625">
        <f>INDEX($O$10:$S$10,1,MATCH(ECT_EfficiencyCost_RF[[#This Row],[EnergyConvTech]],$O$8:$S$8,0))</f>
        <v>6889.2709138217533</v>
      </c>
    </row>
    <row r="35" spans="1:20" ht="17.149999999999999" customHeight="1" x14ac:dyDescent="0.35">
      <c r="A35" s="304" t="s">
        <v>1840</v>
      </c>
      <c r="B35" s="304" t="s">
        <v>1609</v>
      </c>
      <c r="D35" s="629">
        <v>2021</v>
      </c>
      <c r="E35" s="629">
        <v>2027</v>
      </c>
      <c r="F35" s="625">
        <f t="shared" si="0"/>
        <v>0.98</v>
      </c>
      <c r="G35" s="625">
        <f>RF_Capex_Opex!$D$16</f>
        <v>5705.3347119527834</v>
      </c>
      <c r="H35" s="625">
        <f>INDEX($O$10:$S$10,1,MATCH(ECT_EfficiencyCost_RF[[#This Row],[EnergyConvTech]],$O$8:$S$8,0))</f>
        <v>6889.2709138217533</v>
      </c>
    </row>
    <row r="36" spans="1:20" ht="17.149999999999999" customHeight="1" x14ac:dyDescent="0.35">
      <c r="A36" s="304" t="s">
        <v>1840</v>
      </c>
      <c r="B36" s="304" t="s">
        <v>1609</v>
      </c>
      <c r="D36" s="629">
        <v>2022</v>
      </c>
      <c r="E36" s="629">
        <v>2027</v>
      </c>
      <c r="F36" s="625">
        <f t="shared" si="0"/>
        <v>0.98</v>
      </c>
      <c r="G36" s="625">
        <f>RF_Capex_Opex!$D$16</f>
        <v>5705.3347119527834</v>
      </c>
      <c r="H36" s="625">
        <f>INDEX($O$10:$S$10,1,MATCH(ECT_EfficiencyCost_RF[[#This Row],[EnergyConvTech]],$O$8:$S$8,0))</f>
        <v>6889.2709138217533</v>
      </c>
    </row>
    <row r="37" spans="1:20" ht="17.149999999999999" customHeight="1" x14ac:dyDescent="0.35">
      <c r="A37" s="304" t="s">
        <v>1840</v>
      </c>
      <c r="B37" s="304" t="s">
        <v>1609</v>
      </c>
      <c r="D37" s="629">
        <v>2023</v>
      </c>
      <c r="E37" s="629">
        <v>2027</v>
      </c>
      <c r="F37" s="625">
        <f t="shared" si="0"/>
        <v>0.98</v>
      </c>
      <c r="G37" s="625">
        <f>RF_Capex_Opex!$D$16</f>
        <v>5705.3347119527834</v>
      </c>
      <c r="H37" s="625">
        <f>INDEX($O$10:$S$10,1,MATCH(ECT_EfficiencyCost_RF[[#This Row],[EnergyConvTech]],$O$8:$S$8,0))</f>
        <v>6889.2709138217533</v>
      </c>
    </row>
    <row r="38" spans="1:20" ht="17.149999999999999" customHeight="1" x14ac:dyDescent="0.35">
      <c r="A38" s="304" t="s">
        <v>1840</v>
      </c>
      <c r="B38" s="304" t="s">
        <v>1609</v>
      </c>
      <c r="D38" s="629">
        <v>2024</v>
      </c>
      <c r="E38" s="629">
        <v>2027</v>
      </c>
      <c r="F38" s="625">
        <f t="shared" si="0"/>
        <v>0.98</v>
      </c>
      <c r="G38" s="625">
        <f>RF_Capex_Opex!$D$16</f>
        <v>5705.3347119527834</v>
      </c>
      <c r="H38" s="625">
        <f>INDEX($O$10:$S$10,1,MATCH(ECT_EfficiencyCost_RF[[#This Row],[EnergyConvTech]],$O$8:$S$8,0))</f>
        <v>6889.2709138217533</v>
      </c>
    </row>
    <row r="39" spans="1:20" ht="17.149999999999999" customHeight="1" x14ac:dyDescent="0.35">
      <c r="A39" s="304" t="s">
        <v>1840</v>
      </c>
      <c r="B39" s="304" t="s">
        <v>1609</v>
      </c>
      <c r="D39" s="629">
        <v>2025</v>
      </c>
      <c r="E39" s="629">
        <v>2027</v>
      </c>
      <c r="F39" s="625">
        <f t="shared" si="0"/>
        <v>0.98</v>
      </c>
      <c r="G39" s="625">
        <f>RF_Capex_Opex!$D$16</f>
        <v>5705.3347119527834</v>
      </c>
      <c r="H39" s="625">
        <f>INDEX($O$10:$S$10,1,MATCH(ECT_EfficiencyCost_RF[[#This Row],[EnergyConvTech]],$O$8:$S$8,0))</f>
        <v>6889.2709138217533</v>
      </c>
    </row>
    <row r="40" spans="1:20" ht="17.149999999999999" customHeight="1" x14ac:dyDescent="0.35">
      <c r="A40" s="304" t="s">
        <v>1840</v>
      </c>
      <c r="B40" s="304" t="s">
        <v>1609</v>
      </c>
      <c r="D40" s="629">
        <v>2026</v>
      </c>
      <c r="E40" s="629">
        <v>2027</v>
      </c>
      <c r="F40" s="625">
        <f t="shared" si="0"/>
        <v>0.98</v>
      </c>
      <c r="G40" s="625">
        <f>RF_Capex_Opex!$D$16</f>
        <v>5705.3347119527834</v>
      </c>
      <c r="H40" s="625">
        <f>INDEX($O$10:$S$10,1,MATCH(ECT_EfficiencyCost_RF[[#This Row],[EnergyConvTech]],$O$8:$S$8,0))</f>
        <v>6889.2709138217533</v>
      </c>
    </row>
    <row r="41" spans="1:20" ht="17.149999999999999" customHeight="1" x14ac:dyDescent="0.35">
      <c r="A41" s="304" t="s">
        <v>1840</v>
      </c>
      <c r="B41" s="304" t="s">
        <v>1609</v>
      </c>
      <c r="D41" s="629">
        <v>2027</v>
      </c>
      <c r="E41" s="629">
        <v>2027</v>
      </c>
      <c r="F41" s="625">
        <f t="shared" si="0"/>
        <v>0.98</v>
      </c>
      <c r="G41" s="625">
        <f>RF_Capex_Opex!$D$16</f>
        <v>5705.3347119527834</v>
      </c>
      <c r="H41" s="625">
        <f>INDEX($O$10:$S$10,1,MATCH(ECT_EfficiencyCost_RF[[#This Row],[EnergyConvTech]],$O$8:$S$8,0))</f>
        <v>6889.2709138217533</v>
      </c>
    </row>
    <row r="42" spans="1:20" ht="17.149999999999999" customHeight="1" x14ac:dyDescent="0.35">
      <c r="A42" s="304" t="s">
        <v>1840</v>
      </c>
      <c r="B42" s="304" t="s">
        <v>1609</v>
      </c>
      <c r="D42" s="629">
        <v>2021</v>
      </c>
      <c r="E42" s="629">
        <v>2028</v>
      </c>
      <c r="F42" s="625">
        <f t="shared" si="0"/>
        <v>0.98</v>
      </c>
      <c r="G42" s="625">
        <f>RF_Capex_Opex!$D$16</f>
        <v>5705.3347119527834</v>
      </c>
      <c r="H42" s="625">
        <f>INDEX($O$10:$S$10,1,MATCH(ECT_EfficiencyCost_RF[[#This Row],[EnergyConvTech]],$O$8:$S$8,0))</f>
        <v>6889.2709138217533</v>
      </c>
    </row>
    <row r="43" spans="1:20" ht="17.149999999999999" customHeight="1" x14ac:dyDescent="0.35">
      <c r="A43" s="304" t="s">
        <v>1840</v>
      </c>
      <c r="B43" s="304" t="s">
        <v>1609</v>
      </c>
      <c r="D43" s="629">
        <v>2022</v>
      </c>
      <c r="E43" s="629">
        <v>2028</v>
      </c>
      <c r="F43" s="625">
        <f t="shared" si="0"/>
        <v>0.98</v>
      </c>
      <c r="G43" s="625">
        <f>RF_Capex_Opex!$D$16</f>
        <v>5705.3347119527834</v>
      </c>
      <c r="H43" s="625">
        <f>INDEX($O$10:$S$10,1,MATCH(ECT_EfficiencyCost_RF[[#This Row],[EnergyConvTech]],$O$8:$S$8,0))</f>
        <v>6889.2709138217533</v>
      </c>
    </row>
    <row r="44" spans="1:20" ht="17.149999999999999" customHeight="1" x14ac:dyDescent="0.35">
      <c r="A44" s="304" t="s">
        <v>1840</v>
      </c>
      <c r="B44" s="304" t="s">
        <v>1609</v>
      </c>
      <c r="D44" s="629">
        <v>2023</v>
      </c>
      <c r="E44" s="629">
        <v>2028</v>
      </c>
      <c r="F44" s="625">
        <f t="shared" si="0"/>
        <v>0.98</v>
      </c>
      <c r="G44" s="625">
        <f>RF_Capex_Opex!$D$16</f>
        <v>5705.3347119527834</v>
      </c>
      <c r="H44" s="625">
        <f>INDEX($O$10:$S$10,1,MATCH(ECT_EfficiencyCost_RF[[#This Row],[EnergyConvTech]],$O$8:$S$8,0))</f>
        <v>6889.2709138217533</v>
      </c>
    </row>
    <row r="45" spans="1:20" ht="17.149999999999999" customHeight="1" x14ac:dyDescent="0.35">
      <c r="A45" s="304" t="s">
        <v>1840</v>
      </c>
      <c r="B45" s="304" t="s">
        <v>1609</v>
      </c>
      <c r="D45" s="629">
        <v>2024</v>
      </c>
      <c r="E45" s="629">
        <v>2028</v>
      </c>
      <c r="F45" s="625">
        <f t="shared" si="0"/>
        <v>0.98</v>
      </c>
      <c r="G45" s="625">
        <f>RF_Capex_Opex!$D$16</f>
        <v>5705.3347119527834</v>
      </c>
      <c r="H45" s="625">
        <f>INDEX($O$10:$S$10,1,MATCH(ECT_EfficiencyCost_RF[[#This Row],[EnergyConvTech]],$O$8:$S$8,0))</f>
        <v>6889.2709138217533</v>
      </c>
    </row>
    <row r="46" spans="1:20" ht="17.149999999999999" customHeight="1" x14ac:dyDescent="0.35">
      <c r="A46" s="304" t="s">
        <v>1840</v>
      </c>
      <c r="B46" s="304" t="s">
        <v>1609</v>
      </c>
      <c r="D46" s="629">
        <v>2025</v>
      </c>
      <c r="E46" s="629">
        <v>2028</v>
      </c>
      <c r="F46" s="625">
        <f t="shared" si="0"/>
        <v>0.98</v>
      </c>
      <c r="G46" s="625">
        <f>RF_Capex_Opex!$D$16</f>
        <v>5705.3347119527834</v>
      </c>
      <c r="H46" s="625">
        <f>INDEX($O$10:$S$10,1,MATCH(ECT_EfficiencyCost_RF[[#This Row],[EnergyConvTech]],$O$8:$S$8,0))</f>
        <v>6889.2709138217533</v>
      </c>
    </row>
    <row r="47" spans="1:20" ht="17.149999999999999" customHeight="1" x14ac:dyDescent="0.35">
      <c r="A47" s="304" t="s">
        <v>1840</v>
      </c>
      <c r="B47" s="304" t="s">
        <v>1609</v>
      </c>
      <c r="D47" s="629">
        <v>2026</v>
      </c>
      <c r="E47" s="629">
        <v>2028</v>
      </c>
      <c r="F47" s="625">
        <f t="shared" si="0"/>
        <v>0.98</v>
      </c>
      <c r="G47" s="625">
        <f>RF_Capex_Opex!$D$16</f>
        <v>5705.3347119527834</v>
      </c>
      <c r="H47" s="625">
        <f>INDEX($O$10:$S$10,1,MATCH(ECT_EfficiencyCost_RF[[#This Row],[EnergyConvTech]],$O$8:$S$8,0))</f>
        <v>6889.2709138217533</v>
      </c>
    </row>
    <row r="48" spans="1:20" ht="17.149999999999999" customHeight="1" x14ac:dyDescent="0.35">
      <c r="A48" s="304" t="s">
        <v>1840</v>
      </c>
      <c r="B48" s="304" t="s">
        <v>1609</v>
      </c>
      <c r="D48" s="629">
        <v>2027</v>
      </c>
      <c r="E48" s="629">
        <v>2028</v>
      </c>
      <c r="F48" s="625">
        <f t="shared" si="0"/>
        <v>0.98</v>
      </c>
      <c r="G48" s="625">
        <f>RF_Capex_Opex!$D$16</f>
        <v>5705.3347119527834</v>
      </c>
      <c r="H48" s="625">
        <f>INDEX($O$10:$S$10,1,MATCH(ECT_EfficiencyCost_RF[[#This Row],[EnergyConvTech]],$O$8:$S$8,0))</f>
        <v>6889.2709138217533</v>
      </c>
    </row>
    <row r="49" spans="1:8" ht="17.149999999999999" customHeight="1" x14ac:dyDescent="0.35">
      <c r="A49" s="304" t="s">
        <v>1840</v>
      </c>
      <c r="B49" s="304" t="s">
        <v>1609</v>
      </c>
      <c r="D49" s="629">
        <v>2028</v>
      </c>
      <c r="E49" s="629">
        <v>2028</v>
      </c>
      <c r="F49" s="625">
        <f t="shared" si="0"/>
        <v>0.98</v>
      </c>
      <c r="G49" s="625">
        <f>RF_Capex_Opex!$D$16</f>
        <v>5705.3347119527834</v>
      </c>
      <c r="H49" s="625">
        <f>INDEX($O$10:$S$10,1,MATCH(ECT_EfficiencyCost_RF[[#This Row],[EnergyConvTech]],$O$8:$S$8,0))</f>
        <v>6889.2709138217533</v>
      </c>
    </row>
    <row r="50" spans="1:8" ht="17.149999999999999" customHeight="1" x14ac:dyDescent="0.35">
      <c r="A50" s="304" t="s">
        <v>1840</v>
      </c>
      <c r="B50" s="304" t="s">
        <v>1609</v>
      </c>
      <c r="D50" s="629">
        <v>2021</v>
      </c>
      <c r="E50" s="629">
        <v>2029</v>
      </c>
      <c r="F50" s="625">
        <f t="shared" si="0"/>
        <v>0.98</v>
      </c>
      <c r="G50" s="625">
        <f>RF_Capex_Opex!$D$16</f>
        <v>5705.3347119527834</v>
      </c>
      <c r="H50" s="625">
        <f>INDEX($O$10:$S$10,1,MATCH(ECT_EfficiencyCost_RF[[#This Row],[EnergyConvTech]],$O$8:$S$8,0))</f>
        <v>6889.2709138217533</v>
      </c>
    </row>
    <row r="51" spans="1:8" ht="17.149999999999999" customHeight="1" x14ac:dyDescent="0.35">
      <c r="A51" s="304" t="s">
        <v>1840</v>
      </c>
      <c r="B51" s="304" t="s">
        <v>1609</v>
      </c>
      <c r="D51" s="629">
        <v>2022</v>
      </c>
      <c r="E51" s="629">
        <v>2029</v>
      </c>
      <c r="F51" s="625">
        <f t="shared" si="0"/>
        <v>0.98</v>
      </c>
      <c r="G51" s="625">
        <f>RF_Capex_Opex!$D$16</f>
        <v>5705.3347119527834</v>
      </c>
      <c r="H51" s="625">
        <f>INDEX($O$10:$S$10,1,MATCH(ECT_EfficiencyCost_RF[[#This Row],[EnergyConvTech]],$O$8:$S$8,0))</f>
        <v>6889.2709138217533</v>
      </c>
    </row>
    <row r="52" spans="1:8" ht="17.149999999999999" customHeight="1" x14ac:dyDescent="0.35">
      <c r="A52" s="304" t="s">
        <v>1840</v>
      </c>
      <c r="B52" s="304" t="s">
        <v>1609</v>
      </c>
      <c r="D52" s="629">
        <v>2023</v>
      </c>
      <c r="E52" s="629">
        <v>2029</v>
      </c>
      <c r="F52" s="625">
        <f t="shared" si="0"/>
        <v>0.98</v>
      </c>
      <c r="G52" s="625">
        <f>RF_Capex_Opex!$D$16</f>
        <v>5705.3347119527834</v>
      </c>
      <c r="H52" s="625">
        <f>INDEX($O$10:$S$10,1,MATCH(ECT_EfficiencyCost_RF[[#This Row],[EnergyConvTech]],$O$8:$S$8,0))</f>
        <v>6889.2709138217533</v>
      </c>
    </row>
    <row r="53" spans="1:8" ht="17.149999999999999" customHeight="1" x14ac:dyDescent="0.35">
      <c r="A53" s="304" t="s">
        <v>1840</v>
      </c>
      <c r="B53" s="304" t="s">
        <v>1609</v>
      </c>
      <c r="D53" s="629">
        <v>2024</v>
      </c>
      <c r="E53" s="629">
        <v>2029</v>
      </c>
      <c r="F53" s="625">
        <f t="shared" si="0"/>
        <v>0.98</v>
      </c>
      <c r="G53" s="625">
        <f>RF_Capex_Opex!$D$16</f>
        <v>5705.3347119527834</v>
      </c>
      <c r="H53" s="625">
        <f>INDEX($O$10:$S$10,1,MATCH(ECT_EfficiencyCost_RF[[#This Row],[EnergyConvTech]],$O$8:$S$8,0))</f>
        <v>6889.2709138217533</v>
      </c>
    </row>
    <row r="54" spans="1:8" ht="17.149999999999999" customHeight="1" x14ac:dyDescent="0.35">
      <c r="A54" s="304" t="s">
        <v>1840</v>
      </c>
      <c r="B54" s="304" t="s">
        <v>1609</v>
      </c>
      <c r="D54" s="629">
        <v>2025</v>
      </c>
      <c r="E54" s="629">
        <v>2029</v>
      </c>
      <c r="F54" s="625">
        <f t="shared" si="0"/>
        <v>0.98</v>
      </c>
      <c r="G54" s="625">
        <f>RF_Capex_Opex!$D$16</f>
        <v>5705.3347119527834</v>
      </c>
      <c r="H54" s="625">
        <f>INDEX($O$10:$S$10,1,MATCH(ECT_EfficiencyCost_RF[[#This Row],[EnergyConvTech]],$O$8:$S$8,0))</f>
        <v>6889.2709138217533</v>
      </c>
    </row>
    <row r="55" spans="1:8" ht="17.149999999999999" customHeight="1" x14ac:dyDescent="0.35">
      <c r="A55" s="304" t="s">
        <v>1840</v>
      </c>
      <c r="B55" s="304" t="s">
        <v>1609</v>
      </c>
      <c r="D55" s="629">
        <v>2026</v>
      </c>
      <c r="E55" s="629">
        <v>2029</v>
      </c>
      <c r="F55" s="625">
        <f t="shared" si="0"/>
        <v>0.98</v>
      </c>
      <c r="G55" s="625">
        <f>RF_Capex_Opex!$D$16</f>
        <v>5705.3347119527834</v>
      </c>
      <c r="H55" s="625">
        <f>INDEX($O$10:$S$10,1,MATCH(ECT_EfficiencyCost_RF[[#This Row],[EnergyConvTech]],$O$8:$S$8,0))</f>
        <v>6889.2709138217533</v>
      </c>
    </row>
    <row r="56" spans="1:8" ht="17.149999999999999" customHeight="1" x14ac:dyDescent="0.35">
      <c r="A56" s="304" t="s">
        <v>1840</v>
      </c>
      <c r="B56" s="304" t="s">
        <v>1609</v>
      </c>
      <c r="D56" s="629">
        <v>2027</v>
      </c>
      <c r="E56" s="629">
        <v>2029</v>
      </c>
      <c r="F56" s="625">
        <f t="shared" si="0"/>
        <v>0.98</v>
      </c>
      <c r="G56" s="625">
        <f>RF_Capex_Opex!$D$16</f>
        <v>5705.3347119527834</v>
      </c>
      <c r="H56" s="625">
        <f>INDEX($O$10:$S$10,1,MATCH(ECT_EfficiencyCost_RF[[#This Row],[EnergyConvTech]],$O$8:$S$8,0))</f>
        <v>6889.2709138217533</v>
      </c>
    </row>
    <row r="57" spans="1:8" ht="17.149999999999999" customHeight="1" x14ac:dyDescent="0.35">
      <c r="A57" s="304" t="s">
        <v>1840</v>
      </c>
      <c r="B57" s="304" t="s">
        <v>1609</v>
      </c>
      <c r="D57" s="629">
        <v>2028</v>
      </c>
      <c r="E57" s="629">
        <v>2029</v>
      </c>
      <c r="F57" s="625">
        <f t="shared" si="0"/>
        <v>0.98</v>
      </c>
      <c r="G57" s="625">
        <f>RF_Capex_Opex!$D$16</f>
        <v>5705.3347119527834</v>
      </c>
      <c r="H57" s="625">
        <f>INDEX($O$10:$S$10,1,MATCH(ECT_EfficiencyCost_RF[[#This Row],[EnergyConvTech]],$O$8:$S$8,0))</f>
        <v>6889.2709138217533</v>
      </c>
    </row>
    <row r="58" spans="1:8" ht="17.149999999999999" customHeight="1" x14ac:dyDescent="0.35">
      <c r="A58" s="304" t="s">
        <v>1840</v>
      </c>
      <c r="B58" s="304" t="s">
        <v>1609</v>
      </c>
      <c r="D58" s="629">
        <v>2029</v>
      </c>
      <c r="E58" s="629">
        <v>2029</v>
      </c>
      <c r="F58" s="625">
        <f t="shared" si="0"/>
        <v>0.98</v>
      </c>
      <c r="G58" s="625">
        <f>RF_Capex_Opex!$D$16</f>
        <v>5705.3347119527834</v>
      </c>
      <c r="H58" s="625">
        <f>INDEX($O$10:$S$10,1,MATCH(ECT_EfficiencyCost_RF[[#This Row],[EnergyConvTech]],$O$8:$S$8,0))</f>
        <v>6889.2709138217533</v>
      </c>
    </row>
    <row r="59" spans="1:8" ht="17.149999999999999" customHeight="1" x14ac:dyDescent="0.35">
      <c r="A59" s="304" t="s">
        <v>1840</v>
      </c>
      <c r="B59" s="304" t="s">
        <v>1609</v>
      </c>
      <c r="D59" s="629">
        <v>2021</v>
      </c>
      <c r="E59" s="629">
        <v>2030</v>
      </c>
      <c r="F59" s="625">
        <f t="shared" si="0"/>
        <v>0.98</v>
      </c>
      <c r="G59" s="625">
        <f>RF_Capex_Opex!$D$16</f>
        <v>5705.3347119527834</v>
      </c>
      <c r="H59" s="625">
        <f>INDEX($O$10:$S$10,1,MATCH(ECT_EfficiencyCost_RF[[#This Row],[EnergyConvTech]],$O$8:$S$8,0))</f>
        <v>6889.2709138217533</v>
      </c>
    </row>
    <row r="60" spans="1:8" ht="17.149999999999999" customHeight="1" x14ac:dyDescent="0.35">
      <c r="A60" s="304" t="s">
        <v>1840</v>
      </c>
      <c r="B60" s="304" t="s">
        <v>1609</v>
      </c>
      <c r="D60" s="629">
        <v>2022</v>
      </c>
      <c r="E60" s="629">
        <v>2030</v>
      </c>
      <c r="F60" s="625">
        <f t="shared" si="0"/>
        <v>0.98</v>
      </c>
      <c r="G60" s="625">
        <f>RF_Capex_Opex!$D$16</f>
        <v>5705.3347119527834</v>
      </c>
      <c r="H60" s="625">
        <f>INDEX($O$10:$S$10,1,MATCH(ECT_EfficiencyCost_RF[[#This Row],[EnergyConvTech]],$O$8:$S$8,0))</f>
        <v>6889.2709138217533</v>
      </c>
    </row>
    <row r="61" spans="1:8" ht="17.149999999999999" customHeight="1" x14ac:dyDescent="0.35">
      <c r="A61" s="304" t="s">
        <v>1840</v>
      </c>
      <c r="B61" s="304" t="s">
        <v>1609</v>
      </c>
      <c r="D61" s="629">
        <v>2023</v>
      </c>
      <c r="E61" s="629">
        <v>2030</v>
      </c>
      <c r="F61" s="625">
        <f t="shared" si="0"/>
        <v>0.98</v>
      </c>
      <c r="G61" s="625">
        <f>RF_Capex_Opex!$D$16</f>
        <v>5705.3347119527834</v>
      </c>
      <c r="H61" s="625">
        <f>INDEX($O$10:$S$10,1,MATCH(ECT_EfficiencyCost_RF[[#This Row],[EnergyConvTech]],$O$8:$S$8,0))</f>
        <v>6889.2709138217533</v>
      </c>
    </row>
    <row r="62" spans="1:8" ht="17.149999999999999" customHeight="1" x14ac:dyDescent="0.35">
      <c r="A62" s="304" t="s">
        <v>1840</v>
      </c>
      <c r="B62" s="304" t="s">
        <v>1609</v>
      </c>
      <c r="D62" s="629">
        <v>2024</v>
      </c>
      <c r="E62" s="629">
        <v>2030</v>
      </c>
      <c r="F62" s="625">
        <f t="shared" si="0"/>
        <v>0.98</v>
      </c>
      <c r="G62" s="625">
        <f>RF_Capex_Opex!$D$16</f>
        <v>5705.3347119527834</v>
      </c>
      <c r="H62" s="625">
        <f>INDEX($O$10:$S$10,1,MATCH(ECT_EfficiencyCost_RF[[#This Row],[EnergyConvTech]],$O$8:$S$8,0))</f>
        <v>6889.2709138217533</v>
      </c>
    </row>
    <row r="63" spans="1:8" ht="17.149999999999999" customHeight="1" x14ac:dyDescent="0.35">
      <c r="A63" s="304" t="s">
        <v>1840</v>
      </c>
      <c r="B63" s="304" t="s">
        <v>1609</v>
      </c>
      <c r="D63" s="629">
        <v>2025</v>
      </c>
      <c r="E63" s="629">
        <v>2030</v>
      </c>
      <c r="F63" s="625">
        <f t="shared" si="0"/>
        <v>0.98</v>
      </c>
      <c r="G63" s="625">
        <f>RF_Capex_Opex!$D$16</f>
        <v>5705.3347119527834</v>
      </c>
      <c r="H63" s="625">
        <f>INDEX($O$10:$S$10,1,MATCH(ECT_EfficiencyCost_RF[[#This Row],[EnergyConvTech]],$O$8:$S$8,0))</f>
        <v>6889.2709138217533</v>
      </c>
    </row>
    <row r="64" spans="1:8" ht="17.149999999999999" customHeight="1" x14ac:dyDescent="0.35">
      <c r="A64" s="304" t="s">
        <v>1840</v>
      </c>
      <c r="B64" s="304" t="s">
        <v>1609</v>
      </c>
      <c r="D64" s="629">
        <v>2026</v>
      </c>
      <c r="E64" s="629">
        <v>2030</v>
      </c>
      <c r="F64" s="625">
        <f t="shared" si="0"/>
        <v>0.98</v>
      </c>
      <c r="G64" s="625">
        <f>RF_Capex_Opex!$D$16</f>
        <v>5705.3347119527834</v>
      </c>
      <c r="H64" s="625">
        <f>INDEX($O$10:$S$10,1,MATCH(ECT_EfficiencyCost_RF[[#This Row],[EnergyConvTech]],$O$8:$S$8,0))</f>
        <v>6889.2709138217533</v>
      </c>
    </row>
    <row r="65" spans="1:8" ht="17.149999999999999" customHeight="1" x14ac:dyDescent="0.35">
      <c r="A65" s="304" t="s">
        <v>1840</v>
      </c>
      <c r="B65" s="304" t="s">
        <v>1609</v>
      </c>
      <c r="D65" s="629">
        <v>2027</v>
      </c>
      <c r="E65" s="629">
        <v>2030</v>
      </c>
      <c r="F65" s="625">
        <f t="shared" si="0"/>
        <v>0.98</v>
      </c>
      <c r="G65" s="625">
        <f>RF_Capex_Opex!$D$16</f>
        <v>5705.3347119527834</v>
      </c>
      <c r="H65" s="625">
        <f>INDEX($O$10:$S$10,1,MATCH(ECT_EfficiencyCost_RF[[#This Row],[EnergyConvTech]],$O$8:$S$8,0))</f>
        <v>6889.2709138217533</v>
      </c>
    </row>
    <row r="66" spans="1:8" ht="17.149999999999999" customHeight="1" x14ac:dyDescent="0.35">
      <c r="A66" s="304" t="s">
        <v>1840</v>
      </c>
      <c r="B66" s="304" t="s">
        <v>1609</v>
      </c>
      <c r="D66" s="629">
        <v>2028</v>
      </c>
      <c r="E66" s="629">
        <v>2030</v>
      </c>
      <c r="F66" s="625">
        <f t="shared" si="0"/>
        <v>0.98</v>
      </c>
      <c r="G66" s="625">
        <f>RF_Capex_Opex!$D$16</f>
        <v>5705.3347119527834</v>
      </c>
      <c r="H66" s="625">
        <f>INDEX($O$10:$S$10,1,MATCH(ECT_EfficiencyCost_RF[[#This Row],[EnergyConvTech]],$O$8:$S$8,0))</f>
        <v>6889.2709138217533</v>
      </c>
    </row>
    <row r="67" spans="1:8" ht="17.149999999999999" customHeight="1" x14ac:dyDescent="0.35">
      <c r="A67" s="304" t="s">
        <v>1840</v>
      </c>
      <c r="B67" s="304" t="s">
        <v>1609</v>
      </c>
      <c r="D67" s="629">
        <v>2029</v>
      </c>
      <c r="E67" s="629">
        <v>2030</v>
      </c>
      <c r="F67" s="625">
        <f t="shared" ref="F67:F130" si="1">$N$12</f>
        <v>0.98</v>
      </c>
      <c r="G67" s="625">
        <f>RF_Capex_Opex!$D$16</f>
        <v>5705.3347119527834</v>
      </c>
      <c r="H67" s="625">
        <f>INDEX($O$10:$S$10,1,MATCH(ECT_EfficiencyCost_RF[[#This Row],[EnergyConvTech]],$O$8:$S$8,0))</f>
        <v>6889.2709138217533</v>
      </c>
    </row>
    <row r="68" spans="1:8" ht="17.149999999999999" customHeight="1" x14ac:dyDescent="0.35">
      <c r="A68" s="304" t="s">
        <v>1840</v>
      </c>
      <c r="B68" s="304" t="s">
        <v>1609</v>
      </c>
      <c r="D68" s="629">
        <v>2030</v>
      </c>
      <c r="E68" s="629">
        <v>2030</v>
      </c>
      <c r="F68" s="625">
        <f t="shared" si="1"/>
        <v>0.98</v>
      </c>
      <c r="G68" s="625">
        <f>RF_Capex_Opex!$D$16</f>
        <v>5705.3347119527834</v>
      </c>
      <c r="H68" s="625">
        <f>INDEX($O$10:$S$10,1,MATCH(ECT_EfficiencyCost_RF[[#This Row],[EnergyConvTech]],$O$8:$S$8,0))</f>
        <v>6889.2709138217533</v>
      </c>
    </row>
    <row r="69" spans="1:8" ht="17.149999999999999" customHeight="1" x14ac:dyDescent="0.35">
      <c r="A69" s="304" t="s">
        <v>1840</v>
      </c>
      <c r="B69" s="304" t="s">
        <v>1609</v>
      </c>
      <c r="D69" s="629">
        <v>2021</v>
      </c>
      <c r="E69" s="629">
        <v>2031</v>
      </c>
      <c r="F69" s="625">
        <f t="shared" si="1"/>
        <v>0.98</v>
      </c>
      <c r="G69" s="625">
        <f>RF_Capex_Opex!$D$16</f>
        <v>5705.3347119527834</v>
      </c>
      <c r="H69" s="625">
        <f>INDEX($O$10:$S$10,1,MATCH(ECT_EfficiencyCost_RF[[#This Row],[EnergyConvTech]],$O$8:$S$8,0))</f>
        <v>6889.2709138217533</v>
      </c>
    </row>
    <row r="70" spans="1:8" ht="17.149999999999999" customHeight="1" x14ac:dyDescent="0.35">
      <c r="A70" s="304" t="s">
        <v>1840</v>
      </c>
      <c r="B70" s="304" t="s">
        <v>1609</v>
      </c>
      <c r="D70" s="629">
        <v>2022</v>
      </c>
      <c r="E70" s="629">
        <v>2031</v>
      </c>
      <c r="F70" s="625">
        <f t="shared" si="1"/>
        <v>0.98</v>
      </c>
      <c r="G70" s="625">
        <f>RF_Capex_Opex!$D$16</f>
        <v>5705.3347119527834</v>
      </c>
      <c r="H70" s="625">
        <f>INDEX($O$10:$S$10,1,MATCH(ECT_EfficiencyCost_RF[[#This Row],[EnergyConvTech]],$O$8:$S$8,0))</f>
        <v>6889.2709138217533</v>
      </c>
    </row>
    <row r="71" spans="1:8" ht="17.149999999999999" customHeight="1" x14ac:dyDescent="0.35">
      <c r="A71" s="304" t="s">
        <v>1840</v>
      </c>
      <c r="B71" s="304" t="s">
        <v>1609</v>
      </c>
      <c r="D71" s="629">
        <v>2023</v>
      </c>
      <c r="E71" s="629">
        <v>2031</v>
      </c>
      <c r="F71" s="625">
        <f t="shared" si="1"/>
        <v>0.98</v>
      </c>
      <c r="G71" s="625">
        <f>RF_Capex_Opex!$D$16</f>
        <v>5705.3347119527834</v>
      </c>
      <c r="H71" s="625">
        <f>INDEX($O$10:$S$10,1,MATCH(ECT_EfficiencyCost_RF[[#This Row],[EnergyConvTech]],$O$8:$S$8,0))</f>
        <v>6889.2709138217533</v>
      </c>
    </row>
    <row r="72" spans="1:8" ht="17.149999999999999" customHeight="1" x14ac:dyDescent="0.35">
      <c r="A72" s="304" t="s">
        <v>1840</v>
      </c>
      <c r="B72" s="304" t="s">
        <v>1609</v>
      </c>
      <c r="D72" s="629">
        <v>2024</v>
      </c>
      <c r="E72" s="629">
        <v>2031</v>
      </c>
      <c r="F72" s="625">
        <f t="shared" si="1"/>
        <v>0.98</v>
      </c>
      <c r="G72" s="625">
        <f>RF_Capex_Opex!$D$16</f>
        <v>5705.3347119527834</v>
      </c>
      <c r="H72" s="625">
        <f>INDEX($O$10:$S$10,1,MATCH(ECT_EfficiencyCost_RF[[#This Row],[EnergyConvTech]],$O$8:$S$8,0))</f>
        <v>6889.2709138217533</v>
      </c>
    </row>
    <row r="73" spans="1:8" ht="17.149999999999999" customHeight="1" x14ac:dyDescent="0.35">
      <c r="A73" s="304" t="s">
        <v>1840</v>
      </c>
      <c r="B73" s="304" t="s">
        <v>1609</v>
      </c>
      <c r="D73" s="629">
        <v>2025</v>
      </c>
      <c r="E73" s="629">
        <v>2031</v>
      </c>
      <c r="F73" s="625">
        <f t="shared" si="1"/>
        <v>0.98</v>
      </c>
      <c r="G73" s="625">
        <f>RF_Capex_Opex!$D$16</f>
        <v>5705.3347119527834</v>
      </c>
      <c r="H73" s="625">
        <f>INDEX($O$10:$S$10,1,MATCH(ECT_EfficiencyCost_RF[[#This Row],[EnergyConvTech]],$O$8:$S$8,0))</f>
        <v>6889.2709138217533</v>
      </c>
    </row>
    <row r="74" spans="1:8" ht="17.149999999999999" customHeight="1" x14ac:dyDescent="0.35">
      <c r="A74" s="304" t="s">
        <v>1840</v>
      </c>
      <c r="B74" s="304" t="s">
        <v>1609</v>
      </c>
      <c r="D74" s="629">
        <v>2026</v>
      </c>
      <c r="E74" s="629">
        <v>2031</v>
      </c>
      <c r="F74" s="625">
        <f t="shared" si="1"/>
        <v>0.98</v>
      </c>
      <c r="G74" s="625">
        <f>RF_Capex_Opex!$D$16</f>
        <v>5705.3347119527834</v>
      </c>
      <c r="H74" s="625">
        <f>INDEX($O$10:$S$10,1,MATCH(ECT_EfficiencyCost_RF[[#This Row],[EnergyConvTech]],$O$8:$S$8,0))</f>
        <v>6889.2709138217533</v>
      </c>
    </row>
    <row r="75" spans="1:8" ht="17.149999999999999" customHeight="1" x14ac:dyDescent="0.35">
      <c r="A75" s="304" t="s">
        <v>1840</v>
      </c>
      <c r="B75" s="304" t="s">
        <v>1609</v>
      </c>
      <c r="D75" s="629">
        <v>2027</v>
      </c>
      <c r="E75" s="629">
        <v>2031</v>
      </c>
      <c r="F75" s="625">
        <f t="shared" si="1"/>
        <v>0.98</v>
      </c>
      <c r="G75" s="625">
        <f>RF_Capex_Opex!$D$16</f>
        <v>5705.3347119527834</v>
      </c>
      <c r="H75" s="625">
        <f>INDEX($O$10:$S$10,1,MATCH(ECT_EfficiencyCost_RF[[#This Row],[EnergyConvTech]],$O$8:$S$8,0))</f>
        <v>6889.2709138217533</v>
      </c>
    </row>
    <row r="76" spans="1:8" ht="17.149999999999999" customHeight="1" x14ac:dyDescent="0.35">
      <c r="A76" s="304" t="s">
        <v>1840</v>
      </c>
      <c r="B76" s="304" t="s">
        <v>1609</v>
      </c>
      <c r="D76" s="629">
        <v>2028</v>
      </c>
      <c r="E76" s="629">
        <v>2031</v>
      </c>
      <c r="F76" s="625">
        <f t="shared" si="1"/>
        <v>0.98</v>
      </c>
      <c r="G76" s="625">
        <f>RF_Capex_Opex!$D$16</f>
        <v>5705.3347119527834</v>
      </c>
      <c r="H76" s="625">
        <f>INDEX($O$10:$S$10,1,MATCH(ECT_EfficiencyCost_RF[[#This Row],[EnergyConvTech]],$O$8:$S$8,0))</f>
        <v>6889.2709138217533</v>
      </c>
    </row>
    <row r="77" spans="1:8" ht="17.149999999999999" customHeight="1" x14ac:dyDescent="0.35">
      <c r="A77" s="304" t="s">
        <v>1840</v>
      </c>
      <c r="B77" s="304" t="s">
        <v>1609</v>
      </c>
      <c r="D77" s="629">
        <v>2029</v>
      </c>
      <c r="E77" s="629">
        <v>2031</v>
      </c>
      <c r="F77" s="625">
        <f t="shared" si="1"/>
        <v>0.98</v>
      </c>
      <c r="G77" s="625">
        <f>RF_Capex_Opex!$D$16</f>
        <v>5705.3347119527834</v>
      </c>
      <c r="H77" s="625">
        <f>INDEX($O$10:$S$10,1,MATCH(ECT_EfficiencyCost_RF[[#This Row],[EnergyConvTech]],$O$8:$S$8,0))</f>
        <v>6889.2709138217533</v>
      </c>
    </row>
    <row r="78" spans="1:8" ht="17.149999999999999" customHeight="1" x14ac:dyDescent="0.35">
      <c r="A78" s="304" t="s">
        <v>1840</v>
      </c>
      <c r="B78" s="304" t="s">
        <v>1609</v>
      </c>
      <c r="D78" s="629">
        <v>2030</v>
      </c>
      <c r="E78" s="629">
        <v>2031</v>
      </c>
      <c r="F78" s="625">
        <f t="shared" si="1"/>
        <v>0.98</v>
      </c>
      <c r="G78" s="625">
        <f>RF_Capex_Opex!$D$16</f>
        <v>5705.3347119527834</v>
      </c>
      <c r="H78" s="625">
        <f>INDEX($O$10:$S$10,1,MATCH(ECT_EfficiencyCost_RF[[#This Row],[EnergyConvTech]],$O$8:$S$8,0))</f>
        <v>6889.2709138217533</v>
      </c>
    </row>
    <row r="79" spans="1:8" ht="17.149999999999999" customHeight="1" x14ac:dyDescent="0.35">
      <c r="A79" s="304" t="s">
        <v>1840</v>
      </c>
      <c r="B79" s="304" t="s">
        <v>1609</v>
      </c>
      <c r="D79" s="629">
        <v>2031</v>
      </c>
      <c r="E79" s="629">
        <v>2031</v>
      </c>
      <c r="F79" s="625">
        <f t="shared" si="1"/>
        <v>0.98</v>
      </c>
      <c r="G79" s="625">
        <f>RF_Capex_Opex!$D$16</f>
        <v>5705.3347119527834</v>
      </c>
      <c r="H79" s="625">
        <f>INDEX($O$10:$S$10,1,MATCH(ECT_EfficiencyCost_RF[[#This Row],[EnergyConvTech]],$O$8:$S$8,0))</f>
        <v>6889.2709138217533</v>
      </c>
    </row>
    <row r="80" spans="1:8" ht="17.149999999999999" customHeight="1" x14ac:dyDescent="0.35">
      <c r="A80" s="304" t="s">
        <v>1848</v>
      </c>
      <c r="B80" s="304" t="s">
        <v>1609</v>
      </c>
      <c r="D80" s="629">
        <v>2020</v>
      </c>
      <c r="E80" s="629">
        <v>2021</v>
      </c>
      <c r="F80" s="625">
        <f t="shared" si="1"/>
        <v>0.98</v>
      </c>
      <c r="G80" s="625">
        <f>RF_Capex_Opex!$D$16</f>
        <v>5705.3347119527834</v>
      </c>
      <c r="H80" s="625">
        <f>INDEX($O$10:$S$10,1,MATCH(ECT_EfficiencyCost_RF[[#This Row],[EnergyConvTech]],$O$8:$S$8,0))</f>
        <v>1864.2789281593423</v>
      </c>
    </row>
    <row r="81" spans="1:8" ht="17.149999999999999" customHeight="1" x14ac:dyDescent="0.35">
      <c r="A81" s="304" t="s">
        <v>1848</v>
      </c>
      <c r="B81" s="304" t="s">
        <v>1609</v>
      </c>
      <c r="D81" s="629">
        <v>2020</v>
      </c>
      <c r="E81" s="629">
        <v>2022</v>
      </c>
      <c r="F81" s="625">
        <f t="shared" si="1"/>
        <v>0.98</v>
      </c>
      <c r="G81" s="625">
        <f>RF_Capex_Opex!$D$16</f>
        <v>5705.3347119527834</v>
      </c>
      <c r="H81" s="625">
        <f>INDEX($O$10:$S$10,1,MATCH(ECT_EfficiencyCost_RF[[#This Row],[EnergyConvTech]],$O$8:$S$8,0))</f>
        <v>1864.2789281593423</v>
      </c>
    </row>
    <row r="82" spans="1:8" ht="17.149999999999999" customHeight="1" x14ac:dyDescent="0.35">
      <c r="A82" s="304" t="s">
        <v>1848</v>
      </c>
      <c r="B82" s="304" t="s">
        <v>1609</v>
      </c>
      <c r="D82" s="629">
        <v>2020</v>
      </c>
      <c r="E82" s="629">
        <v>2023</v>
      </c>
      <c r="F82" s="625">
        <f t="shared" si="1"/>
        <v>0.98</v>
      </c>
      <c r="G82" s="625">
        <f>RF_Capex_Opex!$D$16</f>
        <v>5705.3347119527834</v>
      </c>
      <c r="H82" s="625">
        <f>INDEX($O$10:$S$10,1,MATCH(ECT_EfficiencyCost_RF[[#This Row],[EnergyConvTech]],$O$8:$S$8,0))</f>
        <v>1864.2789281593423</v>
      </c>
    </row>
    <row r="83" spans="1:8" ht="17.149999999999999" customHeight="1" x14ac:dyDescent="0.35">
      <c r="A83" s="304" t="s">
        <v>1848</v>
      </c>
      <c r="B83" s="304" t="s">
        <v>1609</v>
      </c>
      <c r="D83" s="629">
        <v>2020</v>
      </c>
      <c r="E83" s="629">
        <v>2024</v>
      </c>
      <c r="F83" s="625">
        <f t="shared" si="1"/>
        <v>0.98</v>
      </c>
      <c r="G83" s="625">
        <f>RF_Capex_Opex!$D$16</f>
        <v>5705.3347119527834</v>
      </c>
      <c r="H83" s="625">
        <f>INDEX($O$10:$S$10,1,MATCH(ECT_EfficiencyCost_RF[[#This Row],[EnergyConvTech]],$O$8:$S$8,0))</f>
        <v>1864.2789281593423</v>
      </c>
    </row>
    <row r="84" spans="1:8" ht="17.149999999999999" customHeight="1" x14ac:dyDescent="0.35">
      <c r="A84" s="304" t="s">
        <v>1848</v>
      </c>
      <c r="B84" s="304" t="s">
        <v>1609</v>
      </c>
      <c r="D84" s="629">
        <v>2020</v>
      </c>
      <c r="E84" s="629">
        <v>2025</v>
      </c>
      <c r="F84" s="625">
        <f t="shared" si="1"/>
        <v>0.98</v>
      </c>
      <c r="G84" s="625">
        <f>RF_Capex_Opex!$D$16</f>
        <v>5705.3347119527834</v>
      </c>
      <c r="H84" s="625">
        <f>INDEX($O$10:$S$10,1,MATCH(ECT_EfficiencyCost_RF[[#This Row],[EnergyConvTech]],$O$8:$S$8,0))</f>
        <v>1864.2789281593423</v>
      </c>
    </row>
    <row r="85" spans="1:8" ht="17.149999999999999" customHeight="1" x14ac:dyDescent="0.35">
      <c r="A85" s="304" t="s">
        <v>1848</v>
      </c>
      <c r="B85" s="304" t="s">
        <v>1609</v>
      </c>
      <c r="D85" s="629">
        <v>2020</v>
      </c>
      <c r="E85" s="629">
        <v>2026</v>
      </c>
      <c r="F85" s="625">
        <f t="shared" si="1"/>
        <v>0.98</v>
      </c>
      <c r="G85" s="625">
        <f>RF_Capex_Opex!$D$16</f>
        <v>5705.3347119527834</v>
      </c>
      <c r="H85" s="625">
        <f>INDEX($O$10:$S$10,1,MATCH(ECT_EfficiencyCost_RF[[#This Row],[EnergyConvTech]],$O$8:$S$8,0))</f>
        <v>1864.2789281593423</v>
      </c>
    </row>
    <row r="86" spans="1:8" ht="17.149999999999999" customHeight="1" x14ac:dyDescent="0.35">
      <c r="A86" s="304" t="s">
        <v>1848</v>
      </c>
      <c r="B86" s="304" t="s">
        <v>1609</v>
      </c>
      <c r="D86" s="629">
        <v>2020</v>
      </c>
      <c r="E86" s="629">
        <v>2027</v>
      </c>
      <c r="F86" s="625">
        <f t="shared" si="1"/>
        <v>0.98</v>
      </c>
      <c r="G86" s="625">
        <f>RF_Capex_Opex!$D$16</f>
        <v>5705.3347119527834</v>
      </c>
      <c r="H86" s="625">
        <f>INDEX($O$10:$S$10,1,MATCH(ECT_EfficiencyCost_RF[[#This Row],[EnergyConvTech]],$O$8:$S$8,0))</f>
        <v>1864.2789281593423</v>
      </c>
    </row>
    <row r="87" spans="1:8" ht="17.149999999999999" customHeight="1" x14ac:dyDescent="0.35">
      <c r="A87" s="304" t="s">
        <v>1848</v>
      </c>
      <c r="B87" s="304" t="s">
        <v>1609</v>
      </c>
      <c r="D87" s="629">
        <v>2020</v>
      </c>
      <c r="E87" s="629">
        <v>2028</v>
      </c>
      <c r="F87" s="625">
        <f t="shared" si="1"/>
        <v>0.98</v>
      </c>
      <c r="G87" s="625">
        <f>RF_Capex_Opex!$D$16</f>
        <v>5705.3347119527834</v>
      </c>
      <c r="H87" s="625">
        <f>INDEX($O$10:$S$10,1,MATCH(ECT_EfficiencyCost_RF[[#This Row],[EnergyConvTech]],$O$8:$S$8,0))</f>
        <v>1864.2789281593423</v>
      </c>
    </row>
    <row r="88" spans="1:8" ht="17.149999999999999" customHeight="1" x14ac:dyDescent="0.35">
      <c r="A88" s="304" t="s">
        <v>1848</v>
      </c>
      <c r="B88" s="304" t="s">
        <v>1609</v>
      </c>
      <c r="D88" s="629">
        <v>2020</v>
      </c>
      <c r="E88" s="629">
        <v>2029</v>
      </c>
      <c r="F88" s="625">
        <f t="shared" si="1"/>
        <v>0.98</v>
      </c>
      <c r="G88" s="625">
        <f>RF_Capex_Opex!$D$16</f>
        <v>5705.3347119527834</v>
      </c>
      <c r="H88" s="625">
        <f>INDEX($O$10:$S$10,1,MATCH(ECT_EfficiencyCost_RF[[#This Row],[EnergyConvTech]],$O$8:$S$8,0))</f>
        <v>1864.2789281593423</v>
      </c>
    </row>
    <row r="89" spans="1:8" ht="17.149999999999999" customHeight="1" x14ac:dyDescent="0.35">
      <c r="A89" s="304" t="s">
        <v>1848</v>
      </c>
      <c r="B89" s="304" t="s">
        <v>1609</v>
      </c>
      <c r="D89" s="629">
        <v>2020</v>
      </c>
      <c r="E89" s="629">
        <v>2030</v>
      </c>
      <c r="F89" s="625">
        <f t="shared" si="1"/>
        <v>0.98</v>
      </c>
      <c r="G89" s="625">
        <f>RF_Capex_Opex!$D$16</f>
        <v>5705.3347119527834</v>
      </c>
      <c r="H89" s="625">
        <f>INDEX($O$10:$S$10,1,MATCH(ECT_EfficiencyCost_RF[[#This Row],[EnergyConvTech]],$O$8:$S$8,0))</f>
        <v>1864.2789281593423</v>
      </c>
    </row>
    <row r="90" spans="1:8" ht="17.149999999999999" customHeight="1" x14ac:dyDescent="0.35">
      <c r="A90" s="304" t="s">
        <v>1848</v>
      </c>
      <c r="B90" s="304" t="s">
        <v>1609</v>
      </c>
      <c r="D90" s="629">
        <v>2020</v>
      </c>
      <c r="E90" s="629">
        <v>2031</v>
      </c>
      <c r="F90" s="625">
        <f t="shared" si="1"/>
        <v>0.98</v>
      </c>
      <c r="G90" s="625">
        <f>RF_Capex_Opex!$D$16</f>
        <v>5705.3347119527834</v>
      </c>
      <c r="H90" s="625">
        <f>INDEX($O$10:$S$10,1,MATCH(ECT_EfficiencyCost_RF[[#This Row],[EnergyConvTech]],$O$8:$S$8,0))</f>
        <v>1864.2789281593423</v>
      </c>
    </row>
    <row r="91" spans="1:8" ht="17.149999999999999" customHeight="1" x14ac:dyDescent="0.35">
      <c r="A91" s="304" t="s">
        <v>1848</v>
      </c>
      <c r="B91" s="304" t="s">
        <v>1609</v>
      </c>
      <c r="D91" s="629">
        <v>2021</v>
      </c>
      <c r="E91" s="629">
        <v>2021</v>
      </c>
      <c r="F91" s="625">
        <f t="shared" si="1"/>
        <v>0.98</v>
      </c>
      <c r="G91" s="625">
        <f>RF_Capex_Opex!$D$16</f>
        <v>5705.3347119527834</v>
      </c>
      <c r="H91" s="625">
        <f>INDEX($O$10:$S$10,1,MATCH(ECT_EfficiencyCost_RF[[#This Row],[EnergyConvTech]],$O$8:$S$8,0))</f>
        <v>1864.2789281593423</v>
      </c>
    </row>
    <row r="92" spans="1:8" ht="17.149999999999999" customHeight="1" x14ac:dyDescent="0.35">
      <c r="A92" s="304" t="s">
        <v>1848</v>
      </c>
      <c r="B92" s="304" t="s">
        <v>1609</v>
      </c>
      <c r="D92" s="629">
        <v>2021</v>
      </c>
      <c r="E92" s="629">
        <v>2022</v>
      </c>
      <c r="F92" s="625">
        <f t="shared" si="1"/>
        <v>0.98</v>
      </c>
      <c r="G92" s="625">
        <f>RF_Capex_Opex!$D$16</f>
        <v>5705.3347119527834</v>
      </c>
      <c r="H92" s="625">
        <f>INDEX($O$10:$S$10,1,MATCH(ECT_EfficiencyCost_RF[[#This Row],[EnergyConvTech]],$O$8:$S$8,0))</f>
        <v>1864.2789281593423</v>
      </c>
    </row>
    <row r="93" spans="1:8" x14ac:dyDescent="0.35">
      <c r="A93" s="304" t="s">
        <v>1848</v>
      </c>
      <c r="B93" s="304" t="s">
        <v>1609</v>
      </c>
      <c r="D93" s="629">
        <v>2022</v>
      </c>
      <c r="E93" s="629">
        <v>2022</v>
      </c>
      <c r="F93" s="625">
        <f t="shared" si="1"/>
        <v>0.98</v>
      </c>
      <c r="G93" s="625">
        <f>RF_Capex_Opex!$D$16</f>
        <v>5705.3347119527834</v>
      </c>
      <c r="H93" s="625">
        <f>INDEX($O$10:$S$10,1,MATCH(ECT_EfficiencyCost_RF[[#This Row],[EnergyConvTech]],$O$8:$S$8,0))</f>
        <v>1864.2789281593423</v>
      </c>
    </row>
    <row r="94" spans="1:8" x14ac:dyDescent="0.35">
      <c r="A94" s="304" t="s">
        <v>1848</v>
      </c>
      <c r="B94" s="304" t="s">
        <v>1609</v>
      </c>
      <c r="D94" s="629">
        <v>2021</v>
      </c>
      <c r="E94" s="629">
        <v>2023</v>
      </c>
      <c r="F94" s="625">
        <f t="shared" si="1"/>
        <v>0.98</v>
      </c>
      <c r="G94" s="625">
        <f>RF_Capex_Opex!$D$16</f>
        <v>5705.3347119527834</v>
      </c>
      <c r="H94" s="625">
        <f>INDEX($O$10:$S$10,1,MATCH(ECT_EfficiencyCost_RF[[#This Row],[EnergyConvTech]],$O$8:$S$8,0))</f>
        <v>1864.2789281593423</v>
      </c>
    </row>
    <row r="95" spans="1:8" x14ac:dyDescent="0.35">
      <c r="A95" s="304" t="s">
        <v>1848</v>
      </c>
      <c r="B95" s="304" t="s">
        <v>1609</v>
      </c>
      <c r="D95" s="629">
        <v>2022</v>
      </c>
      <c r="E95" s="629">
        <v>2023</v>
      </c>
      <c r="F95" s="625">
        <f t="shared" si="1"/>
        <v>0.98</v>
      </c>
      <c r="G95" s="625">
        <f>RF_Capex_Opex!$D$16</f>
        <v>5705.3347119527834</v>
      </c>
      <c r="H95" s="625">
        <f>INDEX($O$10:$S$10,1,MATCH(ECT_EfficiencyCost_RF[[#This Row],[EnergyConvTech]],$O$8:$S$8,0))</f>
        <v>1864.2789281593423</v>
      </c>
    </row>
    <row r="96" spans="1:8" x14ac:dyDescent="0.35">
      <c r="A96" s="304" t="s">
        <v>1848</v>
      </c>
      <c r="B96" s="304" t="s">
        <v>1609</v>
      </c>
      <c r="D96" s="629">
        <v>2023</v>
      </c>
      <c r="E96" s="629">
        <v>2023</v>
      </c>
      <c r="F96" s="625">
        <f t="shared" si="1"/>
        <v>0.98</v>
      </c>
      <c r="G96" s="625">
        <f>RF_Capex_Opex!$D$16</f>
        <v>5705.3347119527834</v>
      </c>
      <c r="H96" s="625">
        <f>INDEX($O$10:$S$10,1,MATCH(ECT_EfficiencyCost_RF[[#This Row],[EnergyConvTech]],$O$8:$S$8,0))</f>
        <v>1864.2789281593423</v>
      </c>
    </row>
    <row r="97" spans="1:8" x14ac:dyDescent="0.35">
      <c r="A97" s="304" t="s">
        <v>1848</v>
      </c>
      <c r="B97" s="304" t="s">
        <v>1609</v>
      </c>
      <c r="D97" s="629">
        <v>2021</v>
      </c>
      <c r="E97" s="629">
        <v>2024</v>
      </c>
      <c r="F97" s="625">
        <f t="shared" si="1"/>
        <v>0.98</v>
      </c>
      <c r="G97" s="625">
        <f>RF_Capex_Opex!$D$16</f>
        <v>5705.3347119527834</v>
      </c>
      <c r="H97" s="625">
        <f>INDEX($O$10:$S$10,1,MATCH(ECT_EfficiencyCost_RF[[#This Row],[EnergyConvTech]],$O$8:$S$8,0))</f>
        <v>1864.2789281593423</v>
      </c>
    </row>
    <row r="98" spans="1:8" x14ac:dyDescent="0.35">
      <c r="A98" s="304" t="s">
        <v>1848</v>
      </c>
      <c r="B98" s="304" t="s">
        <v>1609</v>
      </c>
      <c r="D98" s="629">
        <v>2022</v>
      </c>
      <c r="E98" s="629">
        <v>2024</v>
      </c>
      <c r="F98" s="625">
        <f t="shared" si="1"/>
        <v>0.98</v>
      </c>
      <c r="G98" s="625">
        <f>RF_Capex_Opex!$D$16</f>
        <v>5705.3347119527834</v>
      </c>
      <c r="H98" s="625">
        <f>INDEX($O$10:$S$10,1,MATCH(ECT_EfficiencyCost_RF[[#This Row],[EnergyConvTech]],$O$8:$S$8,0))</f>
        <v>1864.2789281593423</v>
      </c>
    </row>
    <row r="99" spans="1:8" x14ac:dyDescent="0.35">
      <c r="A99" s="304" t="s">
        <v>1848</v>
      </c>
      <c r="B99" s="304" t="s">
        <v>1609</v>
      </c>
      <c r="D99" s="629">
        <v>2023</v>
      </c>
      <c r="E99" s="629">
        <v>2024</v>
      </c>
      <c r="F99" s="625">
        <f t="shared" si="1"/>
        <v>0.98</v>
      </c>
      <c r="G99" s="625">
        <f>RF_Capex_Opex!$D$16</f>
        <v>5705.3347119527834</v>
      </c>
      <c r="H99" s="625">
        <f>INDEX($O$10:$S$10,1,MATCH(ECT_EfficiencyCost_RF[[#This Row],[EnergyConvTech]],$O$8:$S$8,0))</f>
        <v>1864.2789281593423</v>
      </c>
    </row>
    <row r="100" spans="1:8" x14ac:dyDescent="0.35">
      <c r="A100" s="304" t="s">
        <v>1848</v>
      </c>
      <c r="B100" s="304" t="s">
        <v>1609</v>
      </c>
      <c r="D100" s="629">
        <v>2024</v>
      </c>
      <c r="E100" s="629">
        <v>2024</v>
      </c>
      <c r="F100" s="625">
        <f t="shared" si="1"/>
        <v>0.98</v>
      </c>
      <c r="G100" s="625">
        <f>RF_Capex_Opex!$D$16</f>
        <v>5705.3347119527834</v>
      </c>
      <c r="H100" s="625">
        <f>INDEX($O$10:$S$10,1,MATCH(ECT_EfficiencyCost_RF[[#This Row],[EnergyConvTech]],$O$8:$S$8,0))</f>
        <v>1864.2789281593423</v>
      </c>
    </row>
    <row r="101" spans="1:8" x14ac:dyDescent="0.35">
      <c r="A101" s="304" t="s">
        <v>1848</v>
      </c>
      <c r="B101" s="304" t="s">
        <v>1609</v>
      </c>
      <c r="D101" s="629">
        <v>2021</v>
      </c>
      <c r="E101" s="629">
        <v>2025</v>
      </c>
      <c r="F101" s="625">
        <f t="shared" si="1"/>
        <v>0.98</v>
      </c>
      <c r="G101" s="625">
        <f>RF_Capex_Opex!$D$16</f>
        <v>5705.3347119527834</v>
      </c>
      <c r="H101" s="625">
        <f>INDEX($O$10:$S$10,1,MATCH(ECT_EfficiencyCost_RF[[#This Row],[EnergyConvTech]],$O$8:$S$8,0))</f>
        <v>1864.2789281593423</v>
      </c>
    </row>
    <row r="102" spans="1:8" x14ac:dyDescent="0.35">
      <c r="A102" s="304" t="s">
        <v>1848</v>
      </c>
      <c r="B102" s="304" t="s">
        <v>1609</v>
      </c>
      <c r="D102" s="629">
        <v>2022</v>
      </c>
      <c r="E102" s="629">
        <v>2025</v>
      </c>
      <c r="F102" s="625">
        <f t="shared" si="1"/>
        <v>0.98</v>
      </c>
      <c r="G102" s="625">
        <f>RF_Capex_Opex!$D$16</f>
        <v>5705.3347119527834</v>
      </c>
      <c r="H102" s="625">
        <f>INDEX($O$10:$S$10,1,MATCH(ECT_EfficiencyCost_RF[[#This Row],[EnergyConvTech]],$O$8:$S$8,0))</f>
        <v>1864.2789281593423</v>
      </c>
    </row>
    <row r="103" spans="1:8" x14ac:dyDescent="0.35">
      <c r="A103" s="304" t="s">
        <v>1848</v>
      </c>
      <c r="B103" s="304" t="s">
        <v>1609</v>
      </c>
      <c r="D103" s="629">
        <v>2023</v>
      </c>
      <c r="E103" s="629">
        <v>2025</v>
      </c>
      <c r="F103" s="625">
        <f t="shared" si="1"/>
        <v>0.98</v>
      </c>
      <c r="G103" s="625">
        <f>RF_Capex_Opex!$D$16</f>
        <v>5705.3347119527834</v>
      </c>
      <c r="H103" s="625">
        <f>INDEX($O$10:$S$10,1,MATCH(ECT_EfficiencyCost_RF[[#This Row],[EnergyConvTech]],$O$8:$S$8,0))</f>
        <v>1864.2789281593423</v>
      </c>
    </row>
    <row r="104" spans="1:8" x14ac:dyDescent="0.35">
      <c r="A104" s="304" t="s">
        <v>1848</v>
      </c>
      <c r="B104" s="304" t="s">
        <v>1609</v>
      </c>
      <c r="D104" s="629">
        <v>2024</v>
      </c>
      <c r="E104" s="629">
        <v>2025</v>
      </c>
      <c r="F104" s="625">
        <f t="shared" si="1"/>
        <v>0.98</v>
      </c>
      <c r="G104" s="625">
        <f>RF_Capex_Opex!$D$16</f>
        <v>5705.3347119527834</v>
      </c>
      <c r="H104" s="625">
        <f>INDEX($O$10:$S$10,1,MATCH(ECT_EfficiencyCost_RF[[#This Row],[EnergyConvTech]],$O$8:$S$8,0))</f>
        <v>1864.2789281593423</v>
      </c>
    </row>
    <row r="105" spans="1:8" x14ac:dyDescent="0.35">
      <c r="A105" s="304" t="s">
        <v>1848</v>
      </c>
      <c r="B105" s="304" t="s">
        <v>1609</v>
      </c>
      <c r="D105" s="629">
        <v>2025</v>
      </c>
      <c r="E105" s="629">
        <v>2025</v>
      </c>
      <c r="F105" s="625">
        <f t="shared" si="1"/>
        <v>0.98</v>
      </c>
      <c r="G105" s="625">
        <f>RF_Capex_Opex!$D$16</f>
        <v>5705.3347119527834</v>
      </c>
      <c r="H105" s="625">
        <f>INDEX($O$10:$S$10,1,MATCH(ECT_EfficiencyCost_RF[[#This Row],[EnergyConvTech]],$O$8:$S$8,0))</f>
        <v>1864.2789281593423</v>
      </c>
    </row>
    <row r="106" spans="1:8" x14ac:dyDescent="0.35">
      <c r="A106" s="304" t="s">
        <v>1848</v>
      </c>
      <c r="B106" s="304" t="s">
        <v>1609</v>
      </c>
      <c r="D106" s="629">
        <v>2021</v>
      </c>
      <c r="E106" s="629">
        <v>2026</v>
      </c>
      <c r="F106" s="625">
        <f t="shared" si="1"/>
        <v>0.98</v>
      </c>
      <c r="G106" s="625">
        <f>RF_Capex_Opex!$D$16</f>
        <v>5705.3347119527834</v>
      </c>
      <c r="H106" s="625">
        <f>INDEX($O$10:$S$10,1,MATCH(ECT_EfficiencyCost_RF[[#This Row],[EnergyConvTech]],$O$8:$S$8,0))</f>
        <v>1864.2789281593423</v>
      </c>
    </row>
    <row r="107" spans="1:8" x14ac:dyDescent="0.35">
      <c r="A107" s="304" t="s">
        <v>1848</v>
      </c>
      <c r="B107" s="304" t="s">
        <v>1609</v>
      </c>
      <c r="D107" s="629">
        <v>2022</v>
      </c>
      <c r="E107" s="629">
        <v>2026</v>
      </c>
      <c r="F107" s="625">
        <f t="shared" si="1"/>
        <v>0.98</v>
      </c>
      <c r="G107" s="625">
        <f>RF_Capex_Opex!$D$16</f>
        <v>5705.3347119527834</v>
      </c>
      <c r="H107" s="625">
        <f>INDEX($O$10:$S$10,1,MATCH(ECT_EfficiencyCost_RF[[#This Row],[EnergyConvTech]],$O$8:$S$8,0))</f>
        <v>1864.2789281593423</v>
      </c>
    </row>
    <row r="108" spans="1:8" x14ac:dyDescent="0.35">
      <c r="A108" s="304" t="s">
        <v>1848</v>
      </c>
      <c r="B108" s="304" t="s">
        <v>1609</v>
      </c>
      <c r="D108" s="629">
        <v>2023</v>
      </c>
      <c r="E108" s="629">
        <v>2026</v>
      </c>
      <c r="F108" s="625">
        <f t="shared" si="1"/>
        <v>0.98</v>
      </c>
      <c r="G108" s="625">
        <f>RF_Capex_Opex!$D$16</f>
        <v>5705.3347119527834</v>
      </c>
      <c r="H108" s="625">
        <f>INDEX($O$10:$S$10,1,MATCH(ECT_EfficiencyCost_RF[[#This Row],[EnergyConvTech]],$O$8:$S$8,0))</f>
        <v>1864.2789281593423</v>
      </c>
    </row>
    <row r="109" spans="1:8" x14ac:dyDescent="0.35">
      <c r="A109" s="304" t="s">
        <v>1848</v>
      </c>
      <c r="B109" s="304" t="s">
        <v>1609</v>
      </c>
      <c r="D109" s="629">
        <v>2024</v>
      </c>
      <c r="E109" s="629">
        <v>2026</v>
      </c>
      <c r="F109" s="625">
        <f t="shared" si="1"/>
        <v>0.98</v>
      </c>
      <c r="G109" s="625">
        <f>RF_Capex_Opex!$D$16</f>
        <v>5705.3347119527834</v>
      </c>
      <c r="H109" s="625">
        <f>INDEX($O$10:$S$10,1,MATCH(ECT_EfficiencyCost_RF[[#This Row],[EnergyConvTech]],$O$8:$S$8,0))</f>
        <v>1864.2789281593423</v>
      </c>
    </row>
    <row r="110" spans="1:8" x14ac:dyDescent="0.35">
      <c r="A110" s="304" t="s">
        <v>1848</v>
      </c>
      <c r="B110" s="304" t="s">
        <v>1609</v>
      </c>
      <c r="D110" s="629">
        <v>2025</v>
      </c>
      <c r="E110" s="629">
        <v>2026</v>
      </c>
      <c r="F110" s="625">
        <f t="shared" si="1"/>
        <v>0.98</v>
      </c>
      <c r="G110" s="625">
        <f>RF_Capex_Opex!$D$16</f>
        <v>5705.3347119527834</v>
      </c>
      <c r="H110" s="625">
        <f>INDEX($O$10:$S$10,1,MATCH(ECT_EfficiencyCost_RF[[#This Row],[EnergyConvTech]],$O$8:$S$8,0))</f>
        <v>1864.2789281593423</v>
      </c>
    </row>
    <row r="111" spans="1:8" x14ac:dyDescent="0.35">
      <c r="A111" s="304" t="s">
        <v>1848</v>
      </c>
      <c r="B111" s="304" t="s">
        <v>1609</v>
      </c>
      <c r="D111" s="629">
        <v>2026</v>
      </c>
      <c r="E111" s="629">
        <v>2026</v>
      </c>
      <c r="F111" s="625">
        <f t="shared" si="1"/>
        <v>0.98</v>
      </c>
      <c r="G111" s="625">
        <f>RF_Capex_Opex!$D$16</f>
        <v>5705.3347119527834</v>
      </c>
      <c r="H111" s="625">
        <f>INDEX($O$10:$S$10,1,MATCH(ECT_EfficiencyCost_RF[[#This Row],[EnergyConvTech]],$O$8:$S$8,0))</f>
        <v>1864.2789281593423</v>
      </c>
    </row>
    <row r="112" spans="1:8" x14ac:dyDescent="0.35">
      <c r="A112" s="304" t="s">
        <v>1848</v>
      </c>
      <c r="B112" s="304" t="s">
        <v>1609</v>
      </c>
      <c r="D112" s="629">
        <v>2021</v>
      </c>
      <c r="E112" s="629">
        <v>2027</v>
      </c>
      <c r="F112" s="625">
        <f t="shared" si="1"/>
        <v>0.98</v>
      </c>
      <c r="G112" s="625">
        <f>RF_Capex_Opex!$D$16</f>
        <v>5705.3347119527834</v>
      </c>
      <c r="H112" s="625">
        <f>INDEX($O$10:$S$10,1,MATCH(ECT_EfficiencyCost_RF[[#This Row],[EnergyConvTech]],$O$8:$S$8,0))</f>
        <v>1864.2789281593423</v>
      </c>
    </row>
    <row r="113" spans="1:8" x14ac:dyDescent="0.35">
      <c r="A113" s="304" t="s">
        <v>1848</v>
      </c>
      <c r="B113" s="304" t="s">
        <v>1609</v>
      </c>
      <c r="D113" s="629">
        <v>2022</v>
      </c>
      <c r="E113" s="629">
        <v>2027</v>
      </c>
      <c r="F113" s="625">
        <f t="shared" si="1"/>
        <v>0.98</v>
      </c>
      <c r="G113" s="625">
        <f>RF_Capex_Opex!$D$16</f>
        <v>5705.3347119527834</v>
      </c>
      <c r="H113" s="625">
        <f>INDEX($O$10:$S$10,1,MATCH(ECT_EfficiencyCost_RF[[#This Row],[EnergyConvTech]],$O$8:$S$8,0))</f>
        <v>1864.2789281593423</v>
      </c>
    </row>
    <row r="114" spans="1:8" x14ac:dyDescent="0.35">
      <c r="A114" s="304" t="s">
        <v>1848</v>
      </c>
      <c r="B114" s="304" t="s">
        <v>1609</v>
      </c>
      <c r="D114" s="629">
        <v>2023</v>
      </c>
      <c r="E114" s="629">
        <v>2027</v>
      </c>
      <c r="F114" s="625">
        <f t="shared" si="1"/>
        <v>0.98</v>
      </c>
      <c r="G114" s="625">
        <f>RF_Capex_Opex!$D$16</f>
        <v>5705.3347119527834</v>
      </c>
      <c r="H114" s="625">
        <f>INDEX($O$10:$S$10,1,MATCH(ECT_EfficiencyCost_RF[[#This Row],[EnergyConvTech]],$O$8:$S$8,0))</f>
        <v>1864.2789281593423</v>
      </c>
    </row>
    <row r="115" spans="1:8" x14ac:dyDescent="0.35">
      <c r="A115" s="304" t="s">
        <v>1848</v>
      </c>
      <c r="B115" s="304" t="s">
        <v>1609</v>
      </c>
      <c r="D115" s="629">
        <v>2024</v>
      </c>
      <c r="E115" s="629">
        <v>2027</v>
      </c>
      <c r="F115" s="625">
        <f t="shared" si="1"/>
        <v>0.98</v>
      </c>
      <c r="G115" s="625">
        <f>RF_Capex_Opex!$D$16</f>
        <v>5705.3347119527834</v>
      </c>
      <c r="H115" s="625">
        <f>INDEX($O$10:$S$10,1,MATCH(ECT_EfficiencyCost_RF[[#This Row],[EnergyConvTech]],$O$8:$S$8,0))</f>
        <v>1864.2789281593423</v>
      </c>
    </row>
    <row r="116" spans="1:8" x14ac:dyDescent="0.35">
      <c r="A116" s="304" t="s">
        <v>1848</v>
      </c>
      <c r="B116" s="304" t="s">
        <v>1609</v>
      </c>
      <c r="D116" s="629">
        <v>2025</v>
      </c>
      <c r="E116" s="629">
        <v>2027</v>
      </c>
      <c r="F116" s="625">
        <f t="shared" si="1"/>
        <v>0.98</v>
      </c>
      <c r="G116" s="625">
        <f>RF_Capex_Opex!$D$16</f>
        <v>5705.3347119527834</v>
      </c>
      <c r="H116" s="625">
        <f>INDEX($O$10:$S$10,1,MATCH(ECT_EfficiencyCost_RF[[#This Row],[EnergyConvTech]],$O$8:$S$8,0))</f>
        <v>1864.2789281593423</v>
      </c>
    </row>
    <row r="117" spans="1:8" x14ac:dyDescent="0.35">
      <c r="A117" s="304" t="s">
        <v>1848</v>
      </c>
      <c r="B117" s="304" t="s">
        <v>1609</v>
      </c>
      <c r="D117" s="629">
        <v>2026</v>
      </c>
      <c r="E117" s="629">
        <v>2027</v>
      </c>
      <c r="F117" s="625">
        <f t="shared" si="1"/>
        <v>0.98</v>
      </c>
      <c r="G117" s="625">
        <f>RF_Capex_Opex!$D$16</f>
        <v>5705.3347119527834</v>
      </c>
      <c r="H117" s="625">
        <f>INDEX($O$10:$S$10,1,MATCH(ECT_EfficiencyCost_RF[[#This Row],[EnergyConvTech]],$O$8:$S$8,0))</f>
        <v>1864.2789281593423</v>
      </c>
    </row>
    <row r="118" spans="1:8" x14ac:dyDescent="0.35">
      <c r="A118" s="304" t="s">
        <v>1848</v>
      </c>
      <c r="B118" s="304" t="s">
        <v>1609</v>
      </c>
      <c r="D118" s="629">
        <v>2027</v>
      </c>
      <c r="E118" s="629">
        <v>2027</v>
      </c>
      <c r="F118" s="625">
        <f t="shared" si="1"/>
        <v>0.98</v>
      </c>
      <c r="G118" s="625">
        <f>RF_Capex_Opex!$D$16</f>
        <v>5705.3347119527834</v>
      </c>
      <c r="H118" s="625">
        <f>INDEX($O$10:$S$10,1,MATCH(ECT_EfficiencyCost_RF[[#This Row],[EnergyConvTech]],$O$8:$S$8,0))</f>
        <v>1864.2789281593423</v>
      </c>
    </row>
    <row r="119" spans="1:8" x14ac:dyDescent="0.35">
      <c r="A119" s="304" t="s">
        <v>1848</v>
      </c>
      <c r="B119" s="304" t="s">
        <v>1609</v>
      </c>
      <c r="D119" s="629">
        <v>2021</v>
      </c>
      <c r="E119" s="629">
        <v>2028</v>
      </c>
      <c r="F119" s="625">
        <f t="shared" si="1"/>
        <v>0.98</v>
      </c>
      <c r="G119" s="625">
        <f>RF_Capex_Opex!$D$16</f>
        <v>5705.3347119527834</v>
      </c>
      <c r="H119" s="625">
        <f>INDEX($O$10:$S$10,1,MATCH(ECT_EfficiencyCost_RF[[#This Row],[EnergyConvTech]],$O$8:$S$8,0))</f>
        <v>1864.2789281593423</v>
      </c>
    </row>
    <row r="120" spans="1:8" x14ac:dyDescent="0.35">
      <c r="A120" s="304" t="s">
        <v>1848</v>
      </c>
      <c r="B120" s="304" t="s">
        <v>1609</v>
      </c>
      <c r="D120" s="629">
        <v>2022</v>
      </c>
      <c r="E120" s="629">
        <v>2028</v>
      </c>
      <c r="F120" s="625">
        <f t="shared" si="1"/>
        <v>0.98</v>
      </c>
      <c r="G120" s="625">
        <f>RF_Capex_Opex!$D$16</f>
        <v>5705.3347119527834</v>
      </c>
      <c r="H120" s="625">
        <f>INDEX($O$10:$S$10,1,MATCH(ECT_EfficiencyCost_RF[[#This Row],[EnergyConvTech]],$O$8:$S$8,0))</f>
        <v>1864.2789281593423</v>
      </c>
    </row>
    <row r="121" spans="1:8" x14ac:dyDescent="0.35">
      <c r="A121" s="304" t="s">
        <v>1848</v>
      </c>
      <c r="B121" s="304" t="s">
        <v>1609</v>
      </c>
      <c r="D121" s="629">
        <v>2023</v>
      </c>
      <c r="E121" s="629">
        <v>2028</v>
      </c>
      <c r="F121" s="625">
        <f t="shared" si="1"/>
        <v>0.98</v>
      </c>
      <c r="G121" s="625">
        <f>RF_Capex_Opex!$D$16</f>
        <v>5705.3347119527834</v>
      </c>
      <c r="H121" s="625">
        <f>INDEX($O$10:$S$10,1,MATCH(ECT_EfficiencyCost_RF[[#This Row],[EnergyConvTech]],$O$8:$S$8,0))</f>
        <v>1864.2789281593423</v>
      </c>
    </row>
    <row r="122" spans="1:8" x14ac:dyDescent="0.35">
      <c r="A122" s="304" t="s">
        <v>1848</v>
      </c>
      <c r="B122" s="304" t="s">
        <v>1609</v>
      </c>
      <c r="D122" s="629">
        <v>2024</v>
      </c>
      <c r="E122" s="629">
        <v>2028</v>
      </c>
      <c r="F122" s="625">
        <f t="shared" si="1"/>
        <v>0.98</v>
      </c>
      <c r="G122" s="625">
        <f>RF_Capex_Opex!$D$16</f>
        <v>5705.3347119527834</v>
      </c>
      <c r="H122" s="625">
        <f>INDEX($O$10:$S$10,1,MATCH(ECT_EfficiencyCost_RF[[#This Row],[EnergyConvTech]],$O$8:$S$8,0))</f>
        <v>1864.2789281593423</v>
      </c>
    </row>
    <row r="123" spans="1:8" x14ac:dyDescent="0.35">
      <c r="A123" s="304" t="s">
        <v>1848</v>
      </c>
      <c r="B123" s="304" t="s">
        <v>1609</v>
      </c>
      <c r="D123" s="629">
        <v>2025</v>
      </c>
      <c r="E123" s="629">
        <v>2028</v>
      </c>
      <c r="F123" s="625">
        <f t="shared" si="1"/>
        <v>0.98</v>
      </c>
      <c r="G123" s="625">
        <f>RF_Capex_Opex!$D$16</f>
        <v>5705.3347119527834</v>
      </c>
      <c r="H123" s="625">
        <f>INDEX($O$10:$S$10,1,MATCH(ECT_EfficiencyCost_RF[[#This Row],[EnergyConvTech]],$O$8:$S$8,0))</f>
        <v>1864.2789281593423</v>
      </c>
    </row>
    <row r="124" spans="1:8" x14ac:dyDescent="0.35">
      <c r="A124" s="304" t="s">
        <v>1848</v>
      </c>
      <c r="B124" s="304" t="s">
        <v>1609</v>
      </c>
      <c r="D124" s="629">
        <v>2026</v>
      </c>
      <c r="E124" s="629">
        <v>2028</v>
      </c>
      <c r="F124" s="625">
        <f t="shared" si="1"/>
        <v>0.98</v>
      </c>
      <c r="G124" s="625">
        <f>RF_Capex_Opex!$D$16</f>
        <v>5705.3347119527834</v>
      </c>
      <c r="H124" s="625">
        <f>INDEX($O$10:$S$10,1,MATCH(ECT_EfficiencyCost_RF[[#This Row],[EnergyConvTech]],$O$8:$S$8,0))</f>
        <v>1864.2789281593423</v>
      </c>
    </row>
    <row r="125" spans="1:8" x14ac:dyDescent="0.35">
      <c r="A125" s="304" t="s">
        <v>1848</v>
      </c>
      <c r="B125" s="304" t="s">
        <v>1609</v>
      </c>
      <c r="D125" s="629">
        <v>2027</v>
      </c>
      <c r="E125" s="629">
        <v>2028</v>
      </c>
      <c r="F125" s="625">
        <f t="shared" si="1"/>
        <v>0.98</v>
      </c>
      <c r="G125" s="625">
        <f>RF_Capex_Opex!$D$16</f>
        <v>5705.3347119527834</v>
      </c>
      <c r="H125" s="625">
        <f>INDEX($O$10:$S$10,1,MATCH(ECT_EfficiencyCost_RF[[#This Row],[EnergyConvTech]],$O$8:$S$8,0))</f>
        <v>1864.2789281593423</v>
      </c>
    </row>
    <row r="126" spans="1:8" x14ac:dyDescent="0.35">
      <c r="A126" s="304" t="s">
        <v>1848</v>
      </c>
      <c r="B126" s="304" t="s">
        <v>1609</v>
      </c>
      <c r="D126" s="629">
        <v>2028</v>
      </c>
      <c r="E126" s="629">
        <v>2028</v>
      </c>
      <c r="F126" s="625">
        <f t="shared" si="1"/>
        <v>0.98</v>
      </c>
      <c r="G126" s="625">
        <f>RF_Capex_Opex!$D$16</f>
        <v>5705.3347119527834</v>
      </c>
      <c r="H126" s="625">
        <f>INDEX($O$10:$S$10,1,MATCH(ECT_EfficiencyCost_RF[[#This Row],[EnergyConvTech]],$O$8:$S$8,0))</f>
        <v>1864.2789281593423</v>
      </c>
    </row>
    <row r="127" spans="1:8" x14ac:dyDescent="0.35">
      <c r="A127" s="304" t="s">
        <v>1848</v>
      </c>
      <c r="B127" s="304" t="s">
        <v>1609</v>
      </c>
      <c r="D127" s="629">
        <v>2021</v>
      </c>
      <c r="E127" s="629">
        <v>2029</v>
      </c>
      <c r="F127" s="625">
        <f t="shared" si="1"/>
        <v>0.98</v>
      </c>
      <c r="G127" s="625">
        <f>RF_Capex_Opex!$D$16</f>
        <v>5705.3347119527834</v>
      </c>
      <c r="H127" s="625">
        <f>INDEX($O$10:$S$10,1,MATCH(ECT_EfficiencyCost_RF[[#This Row],[EnergyConvTech]],$O$8:$S$8,0))</f>
        <v>1864.2789281593423</v>
      </c>
    </row>
    <row r="128" spans="1:8" x14ac:dyDescent="0.35">
      <c r="A128" s="304" t="s">
        <v>1848</v>
      </c>
      <c r="B128" s="304" t="s">
        <v>1609</v>
      </c>
      <c r="D128" s="629">
        <v>2022</v>
      </c>
      <c r="E128" s="629">
        <v>2029</v>
      </c>
      <c r="F128" s="625">
        <f t="shared" si="1"/>
        <v>0.98</v>
      </c>
      <c r="G128" s="625">
        <f>RF_Capex_Opex!$D$16</f>
        <v>5705.3347119527834</v>
      </c>
      <c r="H128" s="625">
        <f>INDEX($O$10:$S$10,1,MATCH(ECT_EfficiencyCost_RF[[#This Row],[EnergyConvTech]],$O$8:$S$8,0))</f>
        <v>1864.2789281593423</v>
      </c>
    </row>
    <row r="129" spans="1:8" x14ac:dyDescent="0.35">
      <c r="A129" s="304" t="s">
        <v>1848</v>
      </c>
      <c r="B129" s="304" t="s">
        <v>1609</v>
      </c>
      <c r="D129" s="629">
        <v>2023</v>
      </c>
      <c r="E129" s="629">
        <v>2029</v>
      </c>
      <c r="F129" s="625">
        <f t="shared" si="1"/>
        <v>0.98</v>
      </c>
      <c r="G129" s="625">
        <f>RF_Capex_Opex!$D$16</f>
        <v>5705.3347119527834</v>
      </c>
      <c r="H129" s="625">
        <f>INDEX($O$10:$S$10,1,MATCH(ECT_EfficiencyCost_RF[[#This Row],[EnergyConvTech]],$O$8:$S$8,0))</f>
        <v>1864.2789281593423</v>
      </c>
    </row>
    <row r="130" spans="1:8" x14ac:dyDescent="0.35">
      <c r="A130" s="304" t="s">
        <v>1848</v>
      </c>
      <c r="B130" s="304" t="s">
        <v>1609</v>
      </c>
      <c r="D130" s="629">
        <v>2024</v>
      </c>
      <c r="E130" s="629">
        <v>2029</v>
      </c>
      <c r="F130" s="625">
        <f t="shared" si="1"/>
        <v>0.98</v>
      </c>
      <c r="G130" s="625">
        <f>RF_Capex_Opex!$D$16</f>
        <v>5705.3347119527834</v>
      </c>
      <c r="H130" s="625">
        <f>INDEX($O$10:$S$10,1,MATCH(ECT_EfficiencyCost_RF[[#This Row],[EnergyConvTech]],$O$8:$S$8,0))</f>
        <v>1864.2789281593423</v>
      </c>
    </row>
    <row r="131" spans="1:8" x14ac:dyDescent="0.35">
      <c r="A131" s="304" t="s">
        <v>1848</v>
      </c>
      <c r="B131" s="304" t="s">
        <v>1609</v>
      </c>
      <c r="D131" s="629">
        <v>2025</v>
      </c>
      <c r="E131" s="629">
        <v>2029</v>
      </c>
      <c r="F131" s="625">
        <f t="shared" ref="F131:F194" si="2">$N$12</f>
        <v>0.98</v>
      </c>
      <c r="G131" s="625">
        <f>RF_Capex_Opex!$D$16</f>
        <v>5705.3347119527834</v>
      </c>
      <c r="H131" s="625">
        <f>INDEX($O$10:$S$10,1,MATCH(ECT_EfficiencyCost_RF[[#This Row],[EnergyConvTech]],$O$8:$S$8,0))</f>
        <v>1864.2789281593423</v>
      </c>
    </row>
    <row r="132" spans="1:8" x14ac:dyDescent="0.35">
      <c r="A132" s="304" t="s">
        <v>1848</v>
      </c>
      <c r="B132" s="304" t="s">
        <v>1609</v>
      </c>
      <c r="D132" s="629">
        <v>2026</v>
      </c>
      <c r="E132" s="629">
        <v>2029</v>
      </c>
      <c r="F132" s="625">
        <f t="shared" si="2"/>
        <v>0.98</v>
      </c>
      <c r="G132" s="625">
        <f>RF_Capex_Opex!$D$16</f>
        <v>5705.3347119527834</v>
      </c>
      <c r="H132" s="625">
        <f>INDEX($O$10:$S$10,1,MATCH(ECT_EfficiencyCost_RF[[#This Row],[EnergyConvTech]],$O$8:$S$8,0))</f>
        <v>1864.2789281593423</v>
      </c>
    </row>
    <row r="133" spans="1:8" x14ac:dyDescent="0.35">
      <c r="A133" s="304" t="s">
        <v>1848</v>
      </c>
      <c r="B133" s="304" t="s">
        <v>1609</v>
      </c>
      <c r="D133" s="629">
        <v>2027</v>
      </c>
      <c r="E133" s="629">
        <v>2029</v>
      </c>
      <c r="F133" s="625">
        <f t="shared" si="2"/>
        <v>0.98</v>
      </c>
      <c r="G133" s="625">
        <f>RF_Capex_Opex!$D$16</f>
        <v>5705.3347119527834</v>
      </c>
      <c r="H133" s="625">
        <f>INDEX($O$10:$S$10,1,MATCH(ECT_EfficiencyCost_RF[[#This Row],[EnergyConvTech]],$O$8:$S$8,0))</f>
        <v>1864.2789281593423</v>
      </c>
    </row>
    <row r="134" spans="1:8" x14ac:dyDescent="0.35">
      <c r="A134" s="304" t="s">
        <v>1848</v>
      </c>
      <c r="B134" s="304" t="s">
        <v>1609</v>
      </c>
      <c r="D134" s="629">
        <v>2028</v>
      </c>
      <c r="E134" s="629">
        <v>2029</v>
      </c>
      <c r="F134" s="625">
        <f t="shared" si="2"/>
        <v>0.98</v>
      </c>
      <c r="G134" s="625">
        <f>RF_Capex_Opex!$D$16</f>
        <v>5705.3347119527834</v>
      </c>
      <c r="H134" s="625">
        <f>INDEX($O$10:$S$10,1,MATCH(ECT_EfficiencyCost_RF[[#This Row],[EnergyConvTech]],$O$8:$S$8,0))</f>
        <v>1864.2789281593423</v>
      </c>
    </row>
    <row r="135" spans="1:8" x14ac:dyDescent="0.35">
      <c r="A135" s="304" t="s">
        <v>1848</v>
      </c>
      <c r="B135" s="304" t="s">
        <v>1609</v>
      </c>
      <c r="D135" s="629">
        <v>2029</v>
      </c>
      <c r="E135" s="629">
        <v>2029</v>
      </c>
      <c r="F135" s="625">
        <f t="shared" si="2"/>
        <v>0.98</v>
      </c>
      <c r="G135" s="625">
        <f>RF_Capex_Opex!$D$16</f>
        <v>5705.3347119527834</v>
      </c>
      <c r="H135" s="625">
        <f>INDEX($O$10:$S$10,1,MATCH(ECT_EfficiencyCost_RF[[#This Row],[EnergyConvTech]],$O$8:$S$8,0))</f>
        <v>1864.2789281593423</v>
      </c>
    </row>
    <row r="136" spans="1:8" x14ac:dyDescent="0.35">
      <c r="A136" s="304" t="s">
        <v>1848</v>
      </c>
      <c r="B136" s="304" t="s">
        <v>1609</v>
      </c>
      <c r="D136" s="629">
        <v>2021</v>
      </c>
      <c r="E136" s="629">
        <v>2030</v>
      </c>
      <c r="F136" s="625">
        <f t="shared" si="2"/>
        <v>0.98</v>
      </c>
      <c r="G136" s="625">
        <f>RF_Capex_Opex!$D$16</f>
        <v>5705.3347119527834</v>
      </c>
      <c r="H136" s="625">
        <f>INDEX($O$10:$S$10,1,MATCH(ECT_EfficiencyCost_RF[[#This Row],[EnergyConvTech]],$O$8:$S$8,0))</f>
        <v>1864.2789281593423</v>
      </c>
    </row>
    <row r="137" spans="1:8" x14ac:dyDescent="0.35">
      <c r="A137" s="304" t="s">
        <v>1848</v>
      </c>
      <c r="B137" s="304" t="s">
        <v>1609</v>
      </c>
      <c r="D137" s="629">
        <v>2022</v>
      </c>
      <c r="E137" s="629">
        <v>2030</v>
      </c>
      <c r="F137" s="625">
        <f t="shared" si="2"/>
        <v>0.98</v>
      </c>
      <c r="G137" s="625">
        <f>RF_Capex_Opex!$D$16</f>
        <v>5705.3347119527834</v>
      </c>
      <c r="H137" s="625">
        <f>INDEX($O$10:$S$10,1,MATCH(ECT_EfficiencyCost_RF[[#This Row],[EnergyConvTech]],$O$8:$S$8,0))</f>
        <v>1864.2789281593423</v>
      </c>
    </row>
    <row r="138" spans="1:8" x14ac:dyDescent="0.35">
      <c r="A138" s="304" t="s">
        <v>1848</v>
      </c>
      <c r="B138" s="304" t="s">
        <v>1609</v>
      </c>
      <c r="D138" s="629">
        <v>2023</v>
      </c>
      <c r="E138" s="629">
        <v>2030</v>
      </c>
      <c r="F138" s="625">
        <f t="shared" si="2"/>
        <v>0.98</v>
      </c>
      <c r="G138" s="625">
        <f>RF_Capex_Opex!$D$16</f>
        <v>5705.3347119527834</v>
      </c>
      <c r="H138" s="625">
        <f>INDEX($O$10:$S$10,1,MATCH(ECT_EfficiencyCost_RF[[#This Row],[EnergyConvTech]],$O$8:$S$8,0))</f>
        <v>1864.2789281593423</v>
      </c>
    </row>
    <row r="139" spans="1:8" x14ac:dyDescent="0.35">
      <c r="A139" s="304" t="s">
        <v>1848</v>
      </c>
      <c r="B139" s="304" t="s">
        <v>1609</v>
      </c>
      <c r="D139" s="629">
        <v>2024</v>
      </c>
      <c r="E139" s="629">
        <v>2030</v>
      </c>
      <c r="F139" s="625">
        <f t="shared" si="2"/>
        <v>0.98</v>
      </c>
      <c r="G139" s="625">
        <f>RF_Capex_Opex!$D$16</f>
        <v>5705.3347119527834</v>
      </c>
      <c r="H139" s="625">
        <f>INDEX($O$10:$S$10,1,MATCH(ECT_EfficiencyCost_RF[[#This Row],[EnergyConvTech]],$O$8:$S$8,0))</f>
        <v>1864.2789281593423</v>
      </c>
    </row>
    <row r="140" spans="1:8" x14ac:dyDescent="0.35">
      <c r="A140" s="304" t="s">
        <v>1848</v>
      </c>
      <c r="B140" s="304" t="s">
        <v>1609</v>
      </c>
      <c r="D140" s="629">
        <v>2025</v>
      </c>
      <c r="E140" s="629">
        <v>2030</v>
      </c>
      <c r="F140" s="625">
        <f t="shared" si="2"/>
        <v>0.98</v>
      </c>
      <c r="G140" s="625">
        <f>RF_Capex_Opex!$D$16</f>
        <v>5705.3347119527834</v>
      </c>
      <c r="H140" s="625">
        <f>INDEX($O$10:$S$10,1,MATCH(ECT_EfficiencyCost_RF[[#This Row],[EnergyConvTech]],$O$8:$S$8,0))</f>
        <v>1864.2789281593423</v>
      </c>
    </row>
    <row r="141" spans="1:8" x14ac:dyDescent="0.35">
      <c r="A141" s="304" t="s">
        <v>1848</v>
      </c>
      <c r="B141" s="304" t="s">
        <v>1609</v>
      </c>
      <c r="D141" s="629">
        <v>2026</v>
      </c>
      <c r="E141" s="629">
        <v>2030</v>
      </c>
      <c r="F141" s="625">
        <f t="shared" si="2"/>
        <v>0.98</v>
      </c>
      <c r="G141" s="625">
        <f>RF_Capex_Opex!$D$16</f>
        <v>5705.3347119527834</v>
      </c>
      <c r="H141" s="625">
        <f>INDEX($O$10:$S$10,1,MATCH(ECT_EfficiencyCost_RF[[#This Row],[EnergyConvTech]],$O$8:$S$8,0))</f>
        <v>1864.2789281593423</v>
      </c>
    </row>
    <row r="142" spans="1:8" x14ac:dyDescent="0.35">
      <c r="A142" s="304" t="s">
        <v>1848</v>
      </c>
      <c r="B142" s="304" t="s">
        <v>1609</v>
      </c>
      <c r="D142" s="629">
        <v>2027</v>
      </c>
      <c r="E142" s="629">
        <v>2030</v>
      </c>
      <c r="F142" s="625">
        <f t="shared" si="2"/>
        <v>0.98</v>
      </c>
      <c r="G142" s="625">
        <f>RF_Capex_Opex!$D$16</f>
        <v>5705.3347119527834</v>
      </c>
      <c r="H142" s="625">
        <f>INDEX($O$10:$S$10,1,MATCH(ECT_EfficiencyCost_RF[[#This Row],[EnergyConvTech]],$O$8:$S$8,0))</f>
        <v>1864.2789281593423</v>
      </c>
    </row>
    <row r="143" spans="1:8" x14ac:dyDescent="0.35">
      <c r="A143" s="304" t="s">
        <v>1848</v>
      </c>
      <c r="B143" s="304" t="s">
        <v>1609</v>
      </c>
      <c r="D143" s="629">
        <v>2028</v>
      </c>
      <c r="E143" s="629">
        <v>2030</v>
      </c>
      <c r="F143" s="625">
        <f t="shared" si="2"/>
        <v>0.98</v>
      </c>
      <c r="G143" s="625">
        <f>RF_Capex_Opex!$D$16</f>
        <v>5705.3347119527834</v>
      </c>
      <c r="H143" s="625">
        <f>INDEX($O$10:$S$10,1,MATCH(ECT_EfficiencyCost_RF[[#This Row],[EnergyConvTech]],$O$8:$S$8,0))</f>
        <v>1864.2789281593423</v>
      </c>
    </row>
    <row r="144" spans="1:8" x14ac:dyDescent="0.35">
      <c r="A144" s="304" t="s">
        <v>1848</v>
      </c>
      <c r="B144" s="304" t="s">
        <v>1609</v>
      </c>
      <c r="D144" s="629">
        <v>2029</v>
      </c>
      <c r="E144" s="629">
        <v>2030</v>
      </c>
      <c r="F144" s="625">
        <f t="shared" si="2"/>
        <v>0.98</v>
      </c>
      <c r="G144" s="625">
        <f>RF_Capex_Opex!$D$16</f>
        <v>5705.3347119527834</v>
      </c>
      <c r="H144" s="625">
        <f>INDEX($O$10:$S$10,1,MATCH(ECT_EfficiencyCost_RF[[#This Row],[EnergyConvTech]],$O$8:$S$8,0))</f>
        <v>1864.2789281593423</v>
      </c>
    </row>
    <row r="145" spans="1:8" x14ac:dyDescent="0.35">
      <c r="A145" s="304" t="s">
        <v>1848</v>
      </c>
      <c r="B145" s="304" t="s">
        <v>1609</v>
      </c>
      <c r="D145" s="629">
        <v>2030</v>
      </c>
      <c r="E145" s="629">
        <v>2030</v>
      </c>
      <c r="F145" s="625">
        <f t="shared" si="2"/>
        <v>0.98</v>
      </c>
      <c r="G145" s="625">
        <f>RF_Capex_Opex!$D$16</f>
        <v>5705.3347119527834</v>
      </c>
      <c r="H145" s="625">
        <f>INDEX($O$10:$S$10,1,MATCH(ECT_EfficiencyCost_RF[[#This Row],[EnergyConvTech]],$O$8:$S$8,0))</f>
        <v>1864.2789281593423</v>
      </c>
    </row>
    <row r="146" spans="1:8" x14ac:dyDescent="0.35">
      <c r="A146" s="304" t="s">
        <v>1848</v>
      </c>
      <c r="B146" s="304" t="s">
        <v>1609</v>
      </c>
      <c r="D146" s="629">
        <v>2021</v>
      </c>
      <c r="E146" s="629">
        <v>2031</v>
      </c>
      <c r="F146" s="625">
        <f t="shared" si="2"/>
        <v>0.98</v>
      </c>
      <c r="G146" s="625">
        <f>RF_Capex_Opex!$D$16</f>
        <v>5705.3347119527834</v>
      </c>
      <c r="H146" s="625">
        <f>INDEX($O$10:$S$10,1,MATCH(ECT_EfficiencyCost_RF[[#This Row],[EnergyConvTech]],$O$8:$S$8,0))</f>
        <v>1864.2789281593423</v>
      </c>
    </row>
    <row r="147" spans="1:8" x14ac:dyDescent="0.35">
      <c r="A147" s="304" t="s">
        <v>1848</v>
      </c>
      <c r="B147" s="304" t="s">
        <v>1609</v>
      </c>
      <c r="D147" s="629">
        <v>2022</v>
      </c>
      <c r="E147" s="629">
        <v>2031</v>
      </c>
      <c r="F147" s="625">
        <f t="shared" si="2"/>
        <v>0.98</v>
      </c>
      <c r="G147" s="625">
        <f>RF_Capex_Opex!$D$16</f>
        <v>5705.3347119527834</v>
      </c>
      <c r="H147" s="625">
        <f>INDEX($O$10:$S$10,1,MATCH(ECT_EfficiencyCost_RF[[#This Row],[EnergyConvTech]],$O$8:$S$8,0))</f>
        <v>1864.2789281593423</v>
      </c>
    </row>
    <row r="148" spans="1:8" x14ac:dyDescent="0.35">
      <c r="A148" s="304" t="s">
        <v>1848</v>
      </c>
      <c r="B148" s="304" t="s">
        <v>1609</v>
      </c>
      <c r="D148" s="629">
        <v>2023</v>
      </c>
      <c r="E148" s="629">
        <v>2031</v>
      </c>
      <c r="F148" s="625">
        <f t="shared" si="2"/>
        <v>0.98</v>
      </c>
      <c r="G148" s="625">
        <f>RF_Capex_Opex!$D$16</f>
        <v>5705.3347119527834</v>
      </c>
      <c r="H148" s="625">
        <f>INDEX($O$10:$S$10,1,MATCH(ECT_EfficiencyCost_RF[[#This Row],[EnergyConvTech]],$O$8:$S$8,0))</f>
        <v>1864.2789281593423</v>
      </c>
    </row>
    <row r="149" spans="1:8" x14ac:dyDescent="0.35">
      <c r="A149" s="304" t="s">
        <v>1848</v>
      </c>
      <c r="B149" s="304" t="s">
        <v>1609</v>
      </c>
      <c r="D149" s="629">
        <v>2024</v>
      </c>
      <c r="E149" s="629">
        <v>2031</v>
      </c>
      <c r="F149" s="625">
        <f t="shared" si="2"/>
        <v>0.98</v>
      </c>
      <c r="G149" s="625">
        <f>RF_Capex_Opex!$D$16</f>
        <v>5705.3347119527834</v>
      </c>
      <c r="H149" s="625">
        <f>INDEX($O$10:$S$10,1,MATCH(ECT_EfficiencyCost_RF[[#This Row],[EnergyConvTech]],$O$8:$S$8,0))</f>
        <v>1864.2789281593423</v>
      </c>
    </row>
    <row r="150" spans="1:8" x14ac:dyDescent="0.35">
      <c r="A150" s="304" t="s">
        <v>1848</v>
      </c>
      <c r="B150" s="304" t="s">
        <v>1609</v>
      </c>
      <c r="D150" s="629">
        <v>2025</v>
      </c>
      <c r="E150" s="629">
        <v>2031</v>
      </c>
      <c r="F150" s="625">
        <f t="shared" si="2"/>
        <v>0.98</v>
      </c>
      <c r="G150" s="625">
        <f>RF_Capex_Opex!$D$16</f>
        <v>5705.3347119527834</v>
      </c>
      <c r="H150" s="625">
        <f>INDEX($O$10:$S$10,1,MATCH(ECT_EfficiencyCost_RF[[#This Row],[EnergyConvTech]],$O$8:$S$8,0))</f>
        <v>1864.2789281593423</v>
      </c>
    </row>
    <row r="151" spans="1:8" x14ac:dyDescent="0.35">
      <c r="A151" s="304" t="s">
        <v>1848</v>
      </c>
      <c r="B151" s="304" t="s">
        <v>1609</v>
      </c>
      <c r="D151" s="629">
        <v>2026</v>
      </c>
      <c r="E151" s="629">
        <v>2031</v>
      </c>
      <c r="F151" s="625">
        <f t="shared" si="2"/>
        <v>0.98</v>
      </c>
      <c r="G151" s="625">
        <f>RF_Capex_Opex!$D$16</f>
        <v>5705.3347119527834</v>
      </c>
      <c r="H151" s="625">
        <f>INDEX($O$10:$S$10,1,MATCH(ECT_EfficiencyCost_RF[[#This Row],[EnergyConvTech]],$O$8:$S$8,0))</f>
        <v>1864.2789281593423</v>
      </c>
    </row>
    <row r="152" spans="1:8" x14ac:dyDescent="0.35">
      <c r="A152" s="304" t="s">
        <v>1848</v>
      </c>
      <c r="B152" s="304" t="s">
        <v>1609</v>
      </c>
      <c r="D152" s="629">
        <v>2027</v>
      </c>
      <c r="E152" s="629">
        <v>2031</v>
      </c>
      <c r="F152" s="625">
        <f t="shared" si="2"/>
        <v>0.98</v>
      </c>
      <c r="G152" s="625">
        <f>RF_Capex_Opex!$D$16</f>
        <v>5705.3347119527834</v>
      </c>
      <c r="H152" s="625">
        <f>INDEX($O$10:$S$10,1,MATCH(ECT_EfficiencyCost_RF[[#This Row],[EnergyConvTech]],$O$8:$S$8,0))</f>
        <v>1864.2789281593423</v>
      </c>
    </row>
    <row r="153" spans="1:8" x14ac:dyDescent="0.35">
      <c r="A153" s="304" t="s">
        <v>1848</v>
      </c>
      <c r="B153" s="304" t="s">
        <v>1609</v>
      </c>
      <c r="D153" s="629">
        <v>2028</v>
      </c>
      <c r="E153" s="629">
        <v>2031</v>
      </c>
      <c r="F153" s="625">
        <f t="shared" si="2"/>
        <v>0.98</v>
      </c>
      <c r="G153" s="625">
        <f>RF_Capex_Opex!$D$16</f>
        <v>5705.3347119527834</v>
      </c>
      <c r="H153" s="625">
        <f>INDEX($O$10:$S$10,1,MATCH(ECT_EfficiencyCost_RF[[#This Row],[EnergyConvTech]],$O$8:$S$8,0))</f>
        <v>1864.2789281593423</v>
      </c>
    </row>
    <row r="154" spans="1:8" x14ac:dyDescent="0.35">
      <c r="A154" s="304" t="s">
        <v>1848</v>
      </c>
      <c r="B154" s="304" t="s">
        <v>1609</v>
      </c>
      <c r="D154" s="629">
        <v>2029</v>
      </c>
      <c r="E154" s="629">
        <v>2031</v>
      </c>
      <c r="F154" s="625">
        <f t="shared" si="2"/>
        <v>0.98</v>
      </c>
      <c r="G154" s="625">
        <f>RF_Capex_Opex!$D$16</f>
        <v>5705.3347119527834</v>
      </c>
      <c r="H154" s="625">
        <f>INDEX($O$10:$S$10,1,MATCH(ECT_EfficiencyCost_RF[[#This Row],[EnergyConvTech]],$O$8:$S$8,0))</f>
        <v>1864.2789281593423</v>
      </c>
    </row>
    <row r="155" spans="1:8" x14ac:dyDescent="0.35">
      <c r="A155" s="304" t="s">
        <v>1848</v>
      </c>
      <c r="B155" s="304" t="s">
        <v>1609</v>
      </c>
      <c r="D155" s="629">
        <v>2030</v>
      </c>
      <c r="E155" s="629">
        <v>2031</v>
      </c>
      <c r="F155" s="625">
        <f t="shared" si="2"/>
        <v>0.98</v>
      </c>
      <c r="G155" s="625">
        <f>RF_Capex_Opex!$D$16</f>
        <v>5705.3347119527834</v>
      </c>
      <c r="H155" s="625">
        <f>INDEX($O$10:$S$10,1,MATCH(ECT_EfficiencyCost_RF[[#This Row],[EnergyConvTech]],$O$8:$S$8,0))</f>
        <v>1864.2789281593423</v>
      </c>
    </row>
    <row r="156" spans="1:8" x14ac:dyDescent="0.35">
      <c r="A156" s="304" t="s">
        <v>1848</v>
      </c>
      <c r="B156" s="304" t="s">
        <v>1609</v>
      </c>
      <c r="D156" s="629">
        <v>2031</v>
      </c>
      <c r="E156" s="629">
        <v>2031</v>
      </c>
      <c r="F156" s="625">
        <f t="shared" si="2"/>
        <v>0.98</v>
      </c>
      <c r="G156" s="625">
        <f>RF_Capex_Opex!$D$16</f>
        <v>5705.3347119527834</v>
      </c>
      <c r="H156" s="625">
        <f>INDEX($O$10:$S$10,1,MATCH(ECT_EfficiencyCost_RF[[#This Row],[EnergyConvTech]],$O$8:$S$8,0))</f>
        <v>1864.2789281593423</v>
      </c>
    </row>
    <row r="157" spans="1:8" x14ac:dyDescent="0.35">
      <c r="A157" s="304" t="s">
        <v>1849</v>
      </c>
      <c r="B157" s="304" t="s">
        <v>1609</v>
      </c>
      <c r="D157" s="629">
        <v>2020</v>
      </c>
      <c r="E157" s="629">
        <v>2021</v>
      </c>
      <c r="F157" s="625">
        <f t="shared" si="2"/>
        <v>0.98</v>
      </c>
      <c r="G157" s="625">
        <f>RF_Capex_Opex!$D$16</f>
        <v>5705.3347119527834</v>
      </c>
      <c r="H157" s="625">
        <f>INDEX($O$10:$S$10,1,MATCH(ECT_EfficiencyCost_RF[[#This Row],[EnergyConvTech]],$O$8:$S$8,0))</f>
        <v>85.672729375807648</v>
      </c>
    </row>
    <row r="158" spans="1:8" x14ac:dyDescent="0.35">
      <c r="A158" s="304" t="s">
        <v>1849</v>
      </c>
      <c r="B158" s="304" t="s">
        <v>1609</v>
      </c>
      <c r="D158" s="629">
        <v>2020</v>
      </c>
      <c r="E158" s="629">
        <v>2022</v>
      </c>
      <c r="F158" s="625">
        <f t="shared" si="2"/>
        <v>0.98</v>
      </c>
      <c r="G158" s="625">
        <f>RF_Capex_Opex!$D$16</f>
        <v>5705.3347119527834</v>
      </c>
      <c r="H158" s="625">
        <f>INDEX($O$10:$S$10,1,MATCH(ECT_EfficiencyCost_RF[[#This Row],[EnergyConvTech]],$O$8:$S$8,0))</f>
        <v>85.672729375807648</v>
      </c>
    </row>
    <row r="159" spans="1:8" x14ac:dyDescent="0.35">
      <c r="A159" s="304" t="s">
        <v>1849</v>
      </c>
      <c r="B159" s="304" t="s">
        <v>1609</v>
      </c>
      <c r="D159" s="629">
        <v>2020</v>
      </c>
      <c r="E159" s="629">
        <v>2023</v>
      </c>
      <c r="F159" s="625">
        <f t="shared" si="2"/>
        <v>0.98</v>
      </c>
      <c r="G159" s="625">
        <f>RF_Capex_Opex!$D$16</f>
        <v>5705.3347119527834</v>
      </c>
      <c r="H159" s="625">
        <f>INDEX($O$10:$S$10,1,MATCH(ECT_EfficiencyCost_RF[[#This Row],[EnergyConvTech]],$O$8:$S$8,0))</f>
        <v>85.672729375807648</v>
      </c>
    </row>
    <row r="160" spans="1:8" x14ac:dyDescent="0.35">
      <c r="A160" s="304" t="s">
        <v>1849</v>
      </c>
      <c r="B160" s="304" t="s">
        <v>1609</v>
      </c>
      <c r="D160" s="629">
        <v>2020</v>
      </c>
      <c r="E160" s="629">
        <v>2024</v>
      </c>
      <c r="F160" s="625">
        <f t="shared" si="2"/>
        <v>0.98</v>
      </c>
      <c r="G160" s="625">
        <f>RF_Capex_Opex!$D$16</f>
        <v>5705.3347119527834</v>
      </c>
      <c r="H160" s="625">
        <f>INDEX($O$10:$S$10,1,MATCH(ECT_EfficiencyCost_RF[[#This Row],[EnergyConvTech]],$O$8:$S$8,0))</f>
        <v>85.672729375807648</v>
      </c>
    </row>
    <row r="161" spans="1:8" x14ac:dyDescent="0.35">
      <c r="A161" s="304" t="s">
        <v>1849</v>
      </c>
      <c r="B161" s="304" t="s">
        <v>1609</v>
      </c>
      <c r="D161" s="629">
        <v>2020</v>
      </c>
      <c r="E161" s="629">
        <v>2025</v>
      </c>
      <c r="F161" s="625">
        <f t="shared" si="2"/>
        <v>0.98</v>
      </c>
      <c r="G161" s="625">
        <f>RF_Capex_Opex!$D$16</f>
        <v>5705.3347119527834</v>
      </c>
      <c r="H161" s="625">
        <f>INDEX($O$10:$S$10,1,MATCH(ECT_EfficiencyCost_RF[[#This Row],[EnergyConvTech]],$O$8:$S$8,0))</f>
        <v>85.672729375807648</v>
      </c>
    </row>
    <row r="162" spans="1:8" x14ac:dyDescent="0.35">
      <c r="A162" s="304" t="s">
        <v>1849</v>
      </c>
      <c r="B162" s="304" t="s">
        <v>1609</v>
      </c>
      <c r="D162" s="629">
        <v>2020</v>
      </c>
      <c r="E162" s="629">
        <v>2026</v>
      </c>
      <c r="F162" s="625">
        <f t="shared" si="2"/>
        <v>0.98</v>
      </c>
      <c r="G162" s="625">
        <f>RF_Capex_Opex!$D$16</f>
        <v>5705.3347119527834</v>
      </c>
      <c r="H162" s="625">
        <f>INDEX($O$10:$S$10,1,MATCH(ECT_EfficiencyCost_RF[[#This Row],[EnergyConvTech]],$O$8:$S$8,0))</f>
        <v>85.672729375807648</v>
      </c>
    </row>
    <row r="163" spans="1:8" x14ac:dyDescent="0.35">
      <c r="A163" s="304" t="s">
        <v>1849</v>
      </c>
      <c r="B163" s="304" t="s">
        <v>1609</v>
      </c>
      <c r="D163" s="629">
        <v>2020</v>
      </c>
      <c r="E163" s="629">
        <v>2027</v>
      </c>
      <c r="F163" s="625">
        <f t="shared" si="2"/>
        <v>0.98</v>
      </c>
      <c r="G163" s="625">
        <f>RF_Capex_Opex!$D$16</f>
        <v>5705.3347119527834</v>
      </c>
      <c r="H163" s="625">
        <f>INDEX($O$10:$S$10,1,MATCH(ECT_EfficiencyCost_RF[[#This Row],[EnergyConvTech]],$O$8:$S$8,0))</f>
        <v>85.672729375807648</v>
      </c>
    </row>
    <row r="164" spans="1:8" x14ac:dyDescent="0.35">
      <c r="A164" s="304" t="s">
        <v>1849</v>
      </c>
      <c r="B164" s="304" t="s">
        <v>1609</v>
      </c>
      <c r="D164" s="629">
        <v>2020</v>
      </c>
      <c r="E164" s="629">
        <v>2028</v>
      </c>
      <c r="F164" s="625">
        <f t="shared" si="2"/>
        <v>0.98</v>
      </c>
      <c r="G164" s="625">
        <f>RF_Capex_Opex!$D$16</f>
        <v>5705.3347119527834</v>
      </c>
      <c r="H164" s="625">
        <f>INDEX($O$10:$S$10,1,MATCH(ECT_EfficiencyCost_RF[[#This Row],[EnergyConvTech]],$O$8:$S$8,0))</f>
        <v>85.672729375807648</v>
      </c>
    </row>
    <row r="165" spans="1:8" x14ac:dyDescent="0.35">
      <c r="A165" s="304" t="s">
        <v>1849</v>
      </c>
      <c r="B165" s="304" t="s">
        <v>1609</v>
      </c>
      <c r="D165" s="629">
        <v>2020</v>
      </c>
      <c r="E165" s="629">
        <v>2029</v>
      </c>
      <c r="F165" s="625">
        <f t="shared" si="2"/>
        <v>0.98</v>
      </c>
      <c r="G165" s="625">
        <f>RF_Capex_Opex!$D$16</f>
        <v>5705.3347119527834</v>
      </c>
      <c r="H165" s="625">
        <f>INDEX($O$10:$S$10,1,MATCH(ECT_EfficiencyCost_RF[[#This Row],[EnergyConvTech]],$O$8:$S$8,0))</f>
        <v>85.672729375807648</v>
      </c>
    </row>
    <row r="166" spans="1:8" x14ac:dyDescent="0.35">
      <c r="A166" s="304" t="s">
        <v>1849</v>
      </c>
      <c r="B166" s="304" t="s">
        <v>1609</v>
      </c>
      <c r="D166" s="629">
        <v>2020</v>
      </c>
      <c r="E166" s="629">
        <v>2030</v>
      </c>
      <c r="F166" s="625">
        <f t="shared" si="2"/>
        <v>0.98</v>
      </c>
      <c r="G166" s="625">
        <f>RF_Capex_Opex!$D$16</f>
        <v>5705.3347119527834</v>
      </c>
      <c r="H166" s="625">
        <f>INDEX($O$10:$S$10,1,MATCH(ECT_EfficiencyCost_RF[[#This Row],[EnergyConvTech]],$O$8:$S$8,0))</f>
        <v>85.672729375807648</v>
      </c>
    </row>
    <row r="167" spans="1:8" x14ac:dyDescent="0.35">
      <c r="A167" s="304" t="s">
        <v>1849</v>
      </c>
      <c r="B167" s="304" t="s">
        <v>1609</v>
      </c>
      <c r="D167" s="629">
        <v>2020</v>
      </c>
      <c r="E167" s="629">
        <v>2031</v>
      </c>
      <c r="F167" s="625">
        <f t="shared" si="2"/>
        <v>0.98</v>
      </c>
      <c r="G167" s="625">
        <f>RF_Capex_Opex!$D$16</f>
        <v>5705.3347119527834</v>
      </c>
      <c r="H167" s="625">
        <f>INDEX($O$10:$S$10,1,MATCH(ECT_EfficiencyCost_RF[[#This Row],[EnergyConvTech]],$O$8:$S$8,0))</f>
        <v>85.672729375807648</v>
      </c>
    </row>
    <row r="168" spans="1:8" x14ac:dyDescent="0.35">
      <c r="A168" s="304" t="s">
        <v>1849</v>
      </c>
      <c r="B168" s="304" t="s">
        <v>1609</v>
      </c>
      <c r="D168" s="629">
        <v>2021</v>
      </c>
      <c r="E168" s="629">
        <v>2021</v>
      </c>
      <c r="F168" s="625">
        <f t="shared" si="2"/>
        <v>0.98</v>
      </c>
      <c r="G168" s="625">
        <f>RF_Capex_Opex!$D$16</f>
        <v>5705.3347119527834</v>
      </c>
      <c r="H168" s="625">
        <f>INDEX($O$10:$S$10,1,MATCH(ECT_EfficiencyCost_RF[[#This Row],[EnergyConvTech]],$O$8:$S$8,0))</f>
        <v>85.672729375807648</v>
      </c>
    </row>
    <row r="169" spans="1:8" x14ac:dyDescent="0.35">
      <c r="A169" s="304" t="s">
        <v>1849</v>
      </c>
      <c r="B169" s="304" t="s">
        <v>1609</v>
      </c>
      <c r="D169" s="629">
        <v>2021</v>
      </c>
      <c r="E169" s="629">
        <v>2022</v>
      </c>
      <c r="F169" s="625">
        <f t="shared" si="2"/>
        <v>0.98</v>
      </c>
      <c r="G169" s="625">
        <f>RF_Capex_Opex!$D$16</f>
        <v>5705.3347119527834</v>
      </c>
      <c r="H169" s="625">
        <f>INDEX($O$10:$S$10,1,MATCH(ECT_EfficiencyCost_RF[[#This Row],[EnergyConvTech]],$O$8:$S$8,0))</f>
        <v>85.672729375807648</v>
      </c>
    </row>
    <row r="170" spans="1:8" x14ac:dyDescent="0.35">
      <c r="A170" s="304" t="s">
        <v>1849</v>
      </c>
      <c r="B170" s="304" t="s">
        <v>1609</v>
      </c>
      <c r="D170" s="629">
        <v>2022</v>
      </c>
      <c r="E170" s="629">
        <v>2022</v>
      </c>
      <c r="F170" s="625">
        <f t="shared" si="2"/>
        <v>0.98</v>
      </c>
      <c r="G170" s="625">
        <f>RF_Capex_Opex!$D$16</f>
        <v>5705.3347119527834</v>
      </c>
      <c r="H170" s="625">
        <f>INDEX($O$10:$S$10,1,MATCH(ECT_EfficiencyCost_RF[[#This Row],[EnergyConvTech]],$O$8:$S$8,0))</f>
        <v>85.672729375807648</v>
      </c>
    </row>
    <row r="171" spans="1:8" x14ac:dyDescent="0.35">
      <c r="A171" s="304" t="s">
        <v>1849</v>
      </c>
      <c r="B171" s="304" t="s">
        <v>1609</v>
      </c>
      <c r="D171" s="629">
        <v>2021</v>
      </c>
      <c r="E171" s="629">
        <v>2023</v>
      </c>
      <c r="F171" s="625">
        <f t="shared" si="2"/>
        <v>0.98</v>
      </c>
      <c r="G171" s="625">
        <f>RF_Capex_Opex!$D$16</f>
        <v>5705.3347119527834</v>
      </c>
      <c r="H171" s="625">
        <f>INDEX($O$10:$S$10,1,MATCH(ECT_EfficiencyCost_RF[[#This Row],[EnergyConvTech]],$O$8:$S$8,0))</f>
        <v>85.672729375807648</v>
      </c>
    </row>
    <row r="172" spans="1:8" x14ac:dyDescent="0.35">
      <c r="A172" s="304" t="s">
        <v>1849</v>
      </c>
      <c r="B172" s="304" t="s">
        <v>1609</v>
      </c>
      <c r="D172" s="629">
        <v>2022</v>
      </c>
      <c r="E172" s="629">
        <v>2023</v>
      </c>
      <c r="F172" s="625">
        <f t="shared" si="2"/>
        <v>0.98</v>
      </c>
      <c r="G172" s="625">
        <f>RF_Capex_Opex!$D$16</f>
        <v>5705.3347119527834</v>
      </c>
      <c r="H172" s="625">
        <f>INDEX($O$10:$S$10,1,MATCH(ECT_EfficiencyCost_RF[[#This Row],[EnergyConvTech]],$O$8:$S$8,0))</f>
        <v>85.672729375807648</v>
      </c>
    </row>
    <row r="173" spans="1:8" x14ac:dyDescent="0.35">
      <c r="A173" s="304" t="s">
        <v>1849</v>
      </c>
      <c r="B173" s="304" t="s">
        <v>1609</v>
      </c>
      <c r="D173" s="629">
        <v>2023</v>
      </c>
      <c r="E173" s="629">
        <v>2023</v>
      </c>
      <c r="F173" s="625">
        <f t="shared" si="2"/>
        <v>0.98</v>
      </c>
      <c r="G173" s="625">
        <f>RF_Capex_Opex!$D$16</f>
        <v>5705.3347119527834</v>
      </c>
      <c r="H173" s="625">
        <f>INDEX($O$10:$S$10,1,MATCH(ECT_EfficiencyCost_RF[[#This Row],[EnergyConvTech]],$O$8:$S$8,0))</f>
        <v>85.672729375807648</v>
      </c>
    </row>
    <row r="174" spans="1:8" x14ac:dyDescent="0.35">
      <c r="A174" s="304" t="s">
        <v>1849</v>
      </c>
      <c r="B174" s="304" t="s">
        <v>1609</v>
      </c>
      <c r="D174" s="629">
        <v>2021</v>
      </c>
      <c r="E174" s="629">
        <v>2024</v>
      </c>
      <c r="F174" s="625">
        <f t="shared" si="2"/>
        <v>0.98</v>
      </c>
      <c r="G174" s="625">
        <f>RF_Capex_Opex!$D$16</f>
        <v>5705.3347119527834</v>
      </c>
      <c r="H174" s="625">
        <f>INDEX($O$10:$S$10,1,MATCH(ECT_EfficiencyCost_RF[[#This Row],[EnergyConvTech]],$O$8:$S$8,0))</f>
        <v>85.672729375807648</v>
      </c>
    </row>
    <row r="175" spans="1:8" x14ac:dyDescent="0.35">
      <c r="A175" s="304" t="s">
        <v>1849</v>
      </c>
      <c r="B175" s="304" t="s">
        <v>1609</v>
      </c>
      <c r="D175" s="629">
        <v>2022</v>
      </c>
      <c r="E175" s="629">
        <v>2024</v>
      </c>
      <c r="F175" s="625">
        <f t="shared" si="2"/>
        <v>0.98</v>
      </c>
      <c r="G175" s="625">
        <f>RF_Capex_Opex!$D$16</f>
        <v>5705.3347119527834</v>
      </c>
      <c r="H175" s="625">
        <f>INDEX($O$10:$S$10,1,MATCH(ECT_EfficiencyCost_RF[[#This Row],[EnergyConvTech]],$O$8:$S$8,0))</f>
        <v>85.672729375807648</v>
      </c>
    </row>
    <row r="176" spans="1:8" x14ac:dyDescent="0.35">
      <c r="A176" s="304" t="s">
        <v>1849</v>
      </c>
      <c r="B176" s="304" t="s">
        <v>1609</v>
      </c>
      <c r="D176" s="629">
        <v>2023</v>
      </c>
      <c r="E176" s="629">
        <v>2024</v>
      </c>
      <c r="F176" s="625">
        <f t="shared" si="2"/>
        <v>0.98</v>
      </c>
      <c r="G176" s="625">
        <f>RF_Capex_Opex!$D$16</f>
        <v>5705.3347119527834</v>
      </c>
      <c r="H176" s="625">
        <f>INDEX($O$10:$S$10,1,MATCH(ECT_EfficiencyCost_RF[[#This Row],[EnergyConvTech]],$O$8:$S$8,0))</f>
        <v>85.672729375807648</v>
      </c>
    </row>
    <row r="177" spans="1:8" x14ac:dyDescent="0.35">
      <c r="A177" s="304" t="s">
        <v>1849</v>
      </c>
      <c r="B177" s="304" t="s">
        <v>1609</v>
      </c>
      <c r="D177" s="629">
        <v>2024</v>
      </c>
      <c r="E177" s="629">
        <v>2024</v>
      </c>
      <c r="F177" s="625">
        <f t="shared" si="2"/>
        <v>0.98</v>
      </c>
      <c r="G177" s="625">
        <f>RF_Capex_Opex!$D$16</f>
        <v>5705.3347119527834</v>
      </c>
      <c r="H177" s="625">
        <f>INDEX($O$10:$S$10,1,MATCH(ECT_EfficiencyCost_RF[[#This Row],[EnergyConvTech]],$O$8:$S$8,0))</f>
        <v>85.672729375807648</v>
      </c>
    </row>
    <row r="178" spans="1:8" x14ac:dyDescent="0.35">
      <c r="A178" s="304" t="s">
        <v>1849</v>
      </c>
      <c r="B178" s="304" t="s">
        <v>1609</v>
      </c>
      <c r="D178" s="629">
        <v>2021</v>
      </c>
      <c r="E178" s="629">
        <v>2025</v>
      </c>
      <c r="F178" s="625">
        <f t="shared" si="2"/>
        <v>0.98</v>
      </c>
      <c r="G178" s="625">
        <f>RF_Capex_Opex!$D$16</f>
        <v>5705.3347119527834</v>
      </c>
      <c r="H178" s="625">
        <f>INDEX($O$10:$S$10,1,MATCH(ECT_EfficiencyCost_RF[[#This Row],[EnergyConvTech]],$O$8:$S$8,0))</f>
        <v>85.672729375807648</v>
      </c>
    </row>
    <row r="179" spans="1:8" x14ac:dyDescent="0.35">
      <c r="A179" s="304" t="s">
        <v>1849</v>
      </c>
      <c r="B179" s="304" t="s">
        <v>1609</v>
      </c>
      <c r="D179" s="629">
        <v>2022</v>
      </c>
      <c r="E179" s="629">
        <v>2025</v>
      </c>
      <c r="F179" s="625">
        <f t="shared" si="2"/>
        <v>0.98</v>
      </c>
      <c r="G179" s="625">
        <f>RF_Capex_Opex!$D$16</f>
        <v>5705.3347119527834</v>
      </c>
      <c r="H179" s="625">
        <f>INDEX($O$10:$S$10,1,MATCH(ECT_EfficiencyCost_RF[[#This Row],[EnergyConvTech]],$O$8:$S$8,0))</f>
        <v>85.672729375807648</v>
      </c>
    </row>
    <row r="180" spans="1:8" x14ac:dyDescent="0.35">
      <c r="A180" s="304" t="s">
        <v>1849</v>
      </c>
      <c r="B180" s="304" t="s">
        <v>1609</v>
      </c>
      <c r="D180" s="629">
        <v>2023</v>
      </c>
      <c r="E180" s="629">
        <v>2025</v>
      </c>
      <c r="F180" s="625">
        <f t="shared" si="2"/>
        <v>0.98</v>
      </c>
      <c r="G180" s="625">
        <f>RF_Capex_Opex!$D$16</f>
        <v>5705.3347119527834</v>
      </c>
      <c r="H180" s="625">
        <f>INDEX($O$10:$S$10,1,MATCH(ECT_EfficiencyCost_RF[[#This Row],[EnergyConvTech]],$O$8:$S$8,0))</f>
        <v>85.672729375807648</v>
      </c>
    </row>
    <row r="181" spans="1:8" x14ac:dyDescent="0.35">
      <c r="A181" s="304" t="s">
        <v>1849</v>
      </c>
      <c r="B181" s="304" t="s">
        <v>1609</v>
      </c>
      <c r="D181" s="629">
        <v>2024</v>
      </c>
      <c r="E181" s="629">
        <v>2025</v>
      </c>
      <c r="F181" s="625">
        <f t="shared" si="2"/>
        <v>0.98</v>
      </c>
      <c r="G181" s="625">
        <f>RF_Capex_Opex!$D$16</f>
        <v>5705.3347119527834</v>
      </c>
      <c r="H181" s="625">
        <f>INDEX($O$10:$S$10,1,MATCH(ECT_EfficiencyCost_RF[[#This Row],[EnergyConvTech]],$O$8:$S$8,0))</f>
        <v>85.672729375807648</v>
      </c>
    </row>
    <row r="182" spans="1:8" x14ac:dyDescent="0.35">
      <c r="A182" s="304" t="s">
        <v>1849</v>
      </c>
      <c r="B182" s="304" t="s">
        <v>1609</v>
      </c>
      <c r="D182" s="629">
        <v>2025</v>
      </c>
      <c r="E182" s="629">
        <v>2025</v>
      </c>
      <c r="F182" s="625">
        <f t="shared" si="2"/>
        <v>0.98</v>
      </c>
      <c r="G182" s="625">
        <f>RF_Capex_Opex!$D$16</f>
        <v>5705.3347119527834</v>
      </c>
      <c r="H182" s="625">
        <f>INDEX($O$10:$S$10,1,MATCH(ECT_EfficiencyCost_RF[[#This Row],[EnergyConvTech]],$O$8:$S$8,0))</f>
        <v>85.672729375807648</v>
      </c>
    </row>
    <row r="183" spans="1:8" x14ac:dyDescent="0.35">
      <c r="A183" s="304" t="s">
        <v>1849</v>
      </c>
      <c r="B183" s="304" t="s">
        <v>1609</v>
      </c>
      <c r="D183" s="629">
        <v>2021</v>
      </c>
      <c r="E183" s="629">
        <v>2026</v>
      </c>
      <c r="F183" s="625">
        <f t="shared" si="2"/>
        <v>0.98</v>
      </c>
      <c r="G183" s="625">
        <f>RF_Capex_Opex!$D$16</f>
        <v>5705.3347119527834</v>
      </c>
      <c r="H183" s="625">
        <f>INDEX($O$10:$S$10,1,MATCH(ECT_EfficiencyCost_RF[[#This Row],[EnergyConvTech]],$O$8:$S$8,0))</f>
        <v>85.672729375807648</v>
      </c>
    </row>
    <row r="184" spans="1:8" x14ac:dyDescent="0.35">
      <c r="A184" s="304" t="s">
        <v>1849</v>
      </c>
      <c r="B184" s="304" t="s">
        <v>1609</v>
      </c>
      <c r="D184" s="629">
        <v>2022</v>
      </c>
      <c r="E184" s="629">
        <v>2026</v>
      </c>
      <c r="F184" s="625">
        <f t="shared" si="2"/>
        <v>0.98</v>
      </c>
      <c r="G184" s="625">
        <f>RF_Capex_Opex!$D$16</f>
        <v>5705.3347119527834</v>
      </c>
      <c r="H184" s="625">
        <f>INDEX($O$10:$S$10,1,MATCH(ECT_EfficiencyCost_RF[[#This Row],[EnergyConvTech]],$O$8:$S$8,0))</f>
        <v>85.672729375807648</v>
      </c>
    </row>
    <row r="185" spans="1:8" x14ac:dyDescent="0.35">
      <c r="A185" s="304" t="s">
        <v>1849</v>
      </c>
      <c r="B185" s="304" t="s">
        <v>1609</v>
      </c>
      <c r="D185" s="629">
        <v>2023</v>
      </c>
      <c r="E185" s="629">
        <v>2026</v>
      </c>
      <c r="F185" s="625">
        <f t="shared" si="2"/>
        <v>0.98</v>
      </c>
      <c r="G185" s="625">
        <f>RF_Capex_Opex!$D$16</f>
        <v>5705.3347119527834</v>
      </c>
      <c r="H185" s="625">
        <f>INDEX($O$10:$S$10,1,MATCH(ECT_EfficiencyCost_RF[[#This Row],[EnergyConvTech]],$O$8:$S$8,0))</f>
        <v>85.672729375807648</v>
      </c>
    </row>
    <row r="186" spans="1:8" x14ac:dyDescent="0.35">
      <c r="A186" s="304" t="s">
        <v>1849</v>
      </c>
      <c r="B186" s="304" t="s">
        <v>1609</v>
      </c>
      <c r="D186" s="629">
        <v>2024</v>
      </c>
      <c r="E186" s="629">
        <v>2026</v>
      </c>
      <c r="F186" s="625">
        <f t="shared" si="2"/>
        <v>0.98</v>
      </c>
      <c r="G186" s="625">
        <f>RF_Capex_Opex!$D$16</f>
        <v>5705.3347119527834</v>
      </c>
      <c r="H186" s="625">
        <f>INDEX($O$10:$S$10,1,MATCH(ECT_EfficiencyCost_RF[[#This Row],[EnergyConvTech]],$O$8:$S$8,0))</f>
        <v>85.672729375807648</v>
      </c>
    </row>
    <row r="187" spans="1:8" x14ac:dyDescent="0.35">
      <c r="A187" s="304" t="s">
        <v>1849</v>
      </c>
      <c r="B187" s="304" t="s">
        <v>1609</v>
      </c>
      <c r="D187" s="629">
        <v>2025</v>
      </c>
      <c r="E187" s="629">
        <v>2026</v>
      </c>
      <c r="F187" s="625">
        <f t="shared" si="2"/>
        <v>0.98</v>
      </c>
      <c r="G187" s="625">
        <f>RF_Capex_Opex!$D$16</f>
        <v>5705.3347119527834</v>
      </c>
      <c r="H187" s="625">
        <f>INDEX($O$10:$S$10,1,MATCH(ECT_EfficiencyCost_RF[[#This Row],[EnergyConvTech]],$O$8:$S$8,0))</f>
        <v>85.672729375807648</v>
      </c>
    </row>
    <row r="188" spans="1:8" x14ac:dyDescent="0.35">
      <c r="A188" s="304" t="s">
        <v>1849</v>
      </c>
      <c r="B188" s="304" t="s">
        <v>1609</v>
      </c>
      <c r="D188" s="629">
        <v>2026</v>
      </c>
      <c r="E188" s="629">
        <v>2026</v>
      </c>
      <c r="F188" s="625">
        <f t="shared" si="2"/>
        <v>0.98</v>
      </c>
      <c r="G188" s="625">
        <f>RF_Capex_Opex!$D$16</f>
        <v>5705.3347119527834</v>
      </c>
      <c r="H188" s="625">
        <f>INDEX($O$10:$S$10,1,MATCH(ECT_EfficiencyCost_RF[[#This Row],[EnergyConvTech]],$O$8:$S$8,0))</f>
        <v>85.672729375807648</v>
      </c>
    </row>
    <row r="189" spans="1:8" x14ac:dyDescent="0.35">
      <c r="A189" s="304" t="s">
        <v>1849</v>
      </c>
      <c r="B189" s="304" t="s">
        <v>1609</v>
      </c>
      <c r="D189" s="629">
        <v>2021</v>
      </c>
      <c r="E189" s="629">
        <v>2027</v>
      </c>
      <c r="F189" s="625">
        <f t="shared" si="2"/>
        <v>0.98</v>
      </c>
      <c r="G189" s="625">
        <f>RF_Capex_Opex!$D$16</f>
        <v>5705.3347119527834</v>
      </c>
      <c r="H189" s="625">
        <f>INDEX($O$10:$S$10,1,MATCH(ECT_EfficiencyCost_RF[[#This Row],[EnergyConvTech]],$O$8:$S$8,0))</f>
        <v>85.672729375807648</v>
      </c>
    </row>
    <row r="190" spans="1:8" x14ac:dyDescent="0.35">
      <c r="A190" s="304" t="s">
        <v>1849</v>
      </c>
      <c r="B190" s="304" t="s">
        <v>1609</v>
      </c>
      <c r="D190" s="629">
        <v>2022</v>
      </c>
      <c r="E190" s="629">
        <v>2027</v>
      </c>
      <c r="F190" s="625">
        <f t="shared" si="2"/>
        <v>0.98</v>
      </c>
      <c r="G190" s="625">
        <f>RF_Capex_Opex!$D$16</f>
        <v>5705.3347119527834</v>
      </c>
      <c r="H190" s="625">
        <f>INDEX($O$10:$S$10,1,MATCH(ECT_EfficiencyCost_RF[[#This Row],[EnergyConvTech]],$O$8:$S$8,0))</f>
        <v>85.672729375807648</v>
      </c>
    </row>
    <row r="191" spans="1:8" x14ac:dyDescent="0.35">
      <c r="A191" s="304" t="s">
        <v>1849</v>
      </c>
      <c r="B191" s="304" t="s">
        <v>1609</v>
      </c>
      <c r="D191" s="629">
        <v>2023</v>
      </c>
      <c r="E191" s="629">
        <v>2027</v>
      </c>
      <c r="F191" s="625">
        <f t="shared" si="2"/>
        <v>0.98</v>
      </c>
      <c r="G191" s="625">
        <f>RF_Capex_Opex!$D$16</f>
        <v>5705.3347119527834</v>
      </c>
      <c r="H191" s="625">
        <f>INDEX($O$10:$S$10,1,MATCH(ECT_EfficiencyCost_RF[[#This Row],[EnergyConvTech]],$O$8:$S$8,0))</f>
        <v>85.672729375807648</v>
      </c>
    </row>
    <row r="192" spans="1:8" x14ac:dyDescent="0.35">
      <c r="A192" s="304" t="s">
        <v>1849</v>
      </c>
      <c r="B192" s="304" t="s">
        <v>1609</v>
      </c>
      <c r="D192" s="629">
        <v>2024</v>
      </c>
      <c r="E192" s="629">
        <v>2027</v>
      </c>
      <c r="F192" s="625">
        <f t="shared" si="2"/>
        <v>0.98</v>
      </c>
      <c r="G192" s="625">
        <f>RF_Capex_Opex!$D$16</f>
        <v>5705.3347119527834</v>
      </c>
      <c r="H192" s="625">
        <f>INDEX($O$10:$S$10,1,MATCH(ECT_EfficiencyCost_RF[[#This Row],[EnergyConvTech]],$O$8:$S$8,0))</f>
        <v>85.672729375807648</v>
      </c>
    </row>
    <row r="193" spans="1:8" x14ac:dyDescent="0.35">
      <c r="A193" s="304" t="s">
        <v>1849</v>
      </c>
      <c r="B193" s="304" t="s">
        <v>1609</v>
      </c>
      <c r="D193" s="629">
        <v>2025</v>
      </c>
      <c r="E193" s="629">
        <v>2027</v>
      </c>
      <c r="F193" s="625">
        <f t="shared" si="2"/>
        <v>0.98</v>
      </c>
      <c r="G193" s="625">
        <f>RF_Capex_Opex!$D$16</f>
        <v>5705.3347119527834</v>
      </c>
      <c r="H193" s="625">
        <f>INDEX($O$10:$S$10,1,MATCH(ECT_EfficiencyCost_RF[[#This Row],[EnergyConvTech]],$O$8:$S$8,0))</f>
        <v>85.672729375807648</v>
      </c>
    </row>
    <row r="194" spans="1:8" x14ac:dyDescent="0.35">
      <c r="A194" s="304" t="s">
        <v>1849</v>
      </c>
      <c r="B194" s="304" t="s">
        <v>1609</v>
      </c>
      <c r="D194" s="629">
        <v>2026</v>
      </c>
      <c r="E194" s="629">
        <v>2027</v>
      </c>
      <c r="F194" s="625">
        <f t="shared" si="2"/>
        <v>0.98</v>
      </c>
      <c r="G194" s="625">
        <f>RF_Capex_Opex!$D$16</f>
        <v>5705.3347119527834</v>
      </c>
      <c r="H194" s="625">
        <f>INDEX($O$10:$S$10,1,MATCH(ECT_EfficiencyCost_RF[[#This Row],[EnergyConvTech]],$O$8:$S$8,0))</f>
        <v>85.672729375807648</v>
      </c>
    </row>
    <row r="195" spans="1:8" x14ac:dyDescent="0.35">
      <c r="A195" s="304" t="s">
        <v>1849</v>
      </c>
      <c r="B195" s="304" t="s">
        <v>1609</v>
      </c>
      <c r="D195" s="629">
        <v>2027</v>
      </c>
      <c r="E195" s="629">
        <v>2027</v>
      </c>
      <c r="F195" s="625">
        <f t="shared" ref="F195:F258" si="3">$N$12</f>
        <v>0.98</v>
      </c>
      <c r="G195" s="625">
        <f>RF_Capex_Opex!$D$16</f>
        <v>5705.3347119527834</v>
      </c>
      <c r="H195" s="625">
        <f>INDEX($O$10:$S$10,1,MATCH(ECT_EfficiencyCost_RF[[#This Row],[EnergyConvTech]],$O$8:$S$8,0))</f>
        <v>85.672729375807648</v>
      </c>
    </row>
    <row r="196" spans="1:8" x14ac:dyDescent="0.35">
      <c r="A196" s="304" t="s">
        <v>1849</v>
      </c>
      <c r="B196" s="304" t="s">
        <v>1609</v>
      </c>
      <c r="D196" s="629">
        <v>2021</v>
      </c>
      <c r="E196" s="629">
        <v>2028</v>
      </c>
      <c r="F196" s="625">
        <f t="shared" si="3"/>
        <v>0.98</v>
      </c>
      <c r="G196" s="625">
        <f>RF_Capex_Opex!$D$16</f>
        <v>5705.3347119527834</v>
      </c>
      <c r="H196" s="625">
        <f>INDEX($O$10:$S$10,1,MATCH(ECT_EfficiencyCost_RF[[#This Row],[EnergyConvTech]],$O$8:$S$8,0))</f>
        <v>85.672729375807648</v>
      </c>
    </row>
    <row r="197" spans="1:8" x14ac:dyDescent="0.35">
      <c r="A197" s="304" t="s">
        <v>1849</v>
      </c>
      <c r="B197" s="304" t="s">
        <v>1609</v>
      </c>
      <c r="D197" s="629">
        <v>2022</v>
      </c>
      <c r="E197" s="629">
        <v>2028</v>
      </c>
      <c r="F197" s="625">
        <f t="shared" si="3"/>
        <v>0.98</v>
      </c>
      <c r="G197" s="625">
        <f>RF_Capex_Opex!$D$16</f>
        <v>5705.3347119527834</v>
      </c>
      <c r="H197" s="625">
        <f>INDEX($O$10:$S$10,1,MATCH(ECT_EfficiencyCost_RF[[#This Row],[EnergyConvTech]],$O$8:$S$8,0))</f>
        <v>85.672729375807648</v>
      </c>
    </row>
    <row r="198" spans="1:8" x14ac:dyDescent="0.35">
      <c r="A198" s="304" t="s">
        <v>1849</v>
      </c>
      <c r="B198" s="304" t="s">
        <v>1609</v>
      </c>
      <c r="D198" s="629">
        <v>2023</v>
      </c>
      <c r="E198" s="629">
        <v>2028</v>
      </c>
      <c r="F198" s="625">
        <f t="shared" si="3"/>
        <v>0.98</v>
      </c>
      <c r="G198" s="625">
        <f>RF_Capex_Opex!$D$16</f>
        <v>5705.3347119527834</v>
      </c>
      <c r="H198" s="625">
        <f>INDEX($O$10:$S$10,1,MATCH(ECT_EfficiencyCost_RF[[#This Row],[EnergyConvTech]],$O$8:$S$8,0))</f>
        <v>85.672729375807648</v>
      </c>
    </row>
    <row r="199" spans="1:8" x14ac:dyDescent="0.35">
      <c r="A199" s="304" t="s">
        <v>1849</v>
      </c>
      <c r="B199" s="304" t="s">
        <v>1609</v>
      </c>
      <c r="D199" s="629">
        <v>2024</v>
      </c>
      <c r="E199" s="629">
        <v>2028</v>
      </c>
      <c r="F199" s="625">
        <f t="shared" si="3"/>
        <v>0.98</v>
      </c>
      <c r="G199" s="625">
        <f>RF_Capex_Opex!$D$16</f>
        <v>5705.3347119527834</v>
      </c>
      <c r="H199" s="625">
        <f>INDEX($O$10:$S$10,1,MATCH(ECT_EfficiencyCost_RF[[#This Row],[EnergyConvTech]],$O$8:$S$8,0))</f>
        <v>85.672729375807648</v>
      </c>
    </row>
    <row r="200" spans="1:8" x14ac:dyDescent="0.35">
      <c r="A200" s="304" t="s">
        <v>1849</v>
      </c>
      <c r="B200" s="304" t="s">
        <v>1609</v>
      </c>
      <c r="D200" s="629">
        <v>2025</v>
      </c>
      <c r="E200" s="629">
        <v>2028</v>
      </c>
      <c r="F200" s="625">
        <f t="shared" si="3"/>
        <v>0.98</v>
      </c>
      <c r="G200" s="625">
        <f>RF_Capex_Opex!$D$16</f>
        <v>5705.3347119527834</v>
      </c>
      <c r="H200" s="625">
        <f>INDEX($O$10:$S$10,1,MATCH(ECT_EfficiencyCost_RF[[#This Row],[EnergyConvTech]],$O$8:$S$8,0))</f>
        <v>85.672729375807648</v>
      </c>
    </row>
    <row r="201" spans="1:8" x14ac:dyDescent="0.35">
      <c r="A201" s="304" t="s">
        <v>1849</v>
      </c>
      <c r="B201" s="304" t="s">
        <v>1609</v>
      </c>
      <c r="D201" s="629">
        <v>2026</v>
      </c>
      <c r="E201" s="629">
        <v>2028</v>
      </c>
      <c r="F201" s="625">
        <f t="shared" si="3"/>
        <v>0.98</v>
      </c>
      <c r="G201" s="625">
        <f>RF_Capex_Opex!$D$16</f>
        <v>5705.3347119527834</v>
      </c>
      <c r="H201" s="625">
        <f>INDEX($O$10:$S$10,1,MATCH(ECT_EfficiencyCost_RF[[#This Row],[EnergyConvTech]],$O$8:$S$8,0))</f>
        <v>85.672729375807648</v>
      </c>
    </row>
    <row r="202" spans="1:8" x14ac:dyDescent="0.35">
      <c r="A202" s="304" t="s">
        <v>1849</v>
      </c>
      <c r="B202" s="304" t="s">
        <v>1609</v>
      </c>
      <c r="D202" s="629">
        <v>2027</v>
      </c>
      <c r="E202" s="629">
        <v>2028</v>
      </c>
      <c r="F202" s="625">
        <f t="shared" si="3"/>
        <v>0.98</v>
      </c>
      <c r="G202" s="625">
        <f>RF_Capex_Opex!$D$16</f>
        <v>5705.3347119527834</v>
      </c>
      <c r="H202" s="625">
        <f>INDEX($O$10:$S$10,1,MATCH(ECT_EfficiencyCost_RF[[#This Row],[EnergyConvTech]],$O$8:$S$8,0))</f>
        <v>85.672729375807648</v>
      </c>
    </row>
    <row r="203" spans="1:8" x14ac:dyDescent="0.35">
      <c r="A203" s="304" t="s">
        <v>1849</v>
      </c>
      <c r="B203" s="304" t="s">
        <v>1609</v>
      </c>
      <c r="D203" s="629">
        <v>2028</v>
      </c>
      <c r="E203" s="629">
        <v>2028</v>
      </c>
      <c r="F203" s="625">
        <f t="shared" si="3"/>
        <v>0.98</v>
      </c>
      <c r="G203" s="625">
        <f>RF_Capex_Opex!$D$16</f>
        <v>5705.3347119527834</v>
      </c>
      <c r="H203" s="625">
        <f>INDEX($O$10:$S$10,1,MATCH(ECT_EfficiencyCost_RF[[#This Row],[EnergyConvTech]],$O$8:$S$8,0))</f>
        <v>85.672729375807648</v>
      </c>
    </row>
    <row r="204" spans="1:8" x14ac:dyDescent="0.35">
      <c r="A204" s="304" t="s">
        <v>1849</v>
      </c>
      <c r="B204" s="304" t="s">
        <v>1609</v>
      </c>
      <c r="D204" s="629">
        <v>2021</v>
      </c>
      <c r="E204" s="629">
        <v>2029</v>
      </c>
      <c r="F204" s="625">
        <f t="shared" si="3"/>
        <v>0.98</v>
      </c>
      <c r="G204" s="625">
        <f>RF_Capex_Opex!$D$16</f>
        <v>5705.3347119527834</v>
      </c>
      <c r="H204" s="625">
        <f>INDEX($O$10:$S$10,1,MATCH(ECT_EfficiencyCost_RF[[#This Row],[EnergyConvTech]],$O$8:$S$8,0))</f>
        <v>85.672729375807648</v>
      </c>
    </row>
    <row r="205" spans="1:8" x14ac:dyDescent="0.35">
      <c r="A205" s="304" t="s">
        <v>1849</v>
      </c>
      <c r="B205" s="304" t="s">
        <v>1609</v>
      </c>
      <c r="D205" s="629">
        <v>2022</v>
      </c>
      <c r="E205" s="629">
        <v>2029</v>
      </c>
      <c r="F205" s="625">
        <f t="shared" si="3"/>
        <v>0.98</v>
      </c>
      <c r="G205" s="625">
        <f>RF_Capex_Opex!$D$16</f>
        <v>5705.3347119527834</v>
      </c>
      <c r="H205" s="625">
        <f>INDEX($O$10:$S$10,1,MATCH(ECT_EfficiencyCost_RF[[#This Row],[EnergyConvTech]],$O$8:$S$8,0))</f>
        <v>85.672729375807648</v>
      </c>
    </row>
    <row r="206" spans="1:8" x14ac:dyDescent="0.35">
      <c r="A206" s="304" t="s">
        <v>1849</v>
      </c>
      <c r="B206" s="304" t="s">
        <v>1609</v>
      </c>
      <c r="D206" s="629">
        <v>2023</v>
      </c>
      <c r="E206" s="629">
        <v>2029</v>
      </c>
      <c r="F206" s="625">
        <f t="shared" si="3"/>
        <v>0.98</v>
      </c>
      <c r="G206" s="625">
        <f>RF_Capex_Opex!$D$16</f>
        <v>5705.3347119527834</v>
      </c>
      <c r="H206" s="625">
        <f>INDEX($O$10:$S$10,1,MATCH(ECT_EfficiencyCost_RF[[#This Row],[EnergyConvTech]],$O$8:$S$8,0))</f>
        <v>85.672729375807648</v>
      </c>
    </row>
    <row r="207" spans="1:8" x14ac:dyDescent="0.35">
      <c r="A207" s="304" t="s">
        <v>1849</v>
      </c>
      <c r="B207" s="304" t="s">
        <v>1609</v>
      </c>
      <c r="D207" s="629">
        <v>2024</v>
      </c>
      <c r="E207" s="629">
        <v>2029</v>
      </c>
      <c r="F207" s="625">
        <f t="shared" si="3"/>
        <v>0.98</v>
      </c>
      <c r="G207" s="625">
        <f>RF_Capex_Opex!$D$16</f>
        <v>5705.3347119527834</v>
      </c>
      <c r="H207" s="625">
        <f>INDEX($O$10:$S$10,1,MATCH(ECT_EfficiencyCost_RF[[#This Row],[EnergyConvTech]],$O$8:$S$8,0))</f>
        <v>85.672729375807648</v>
      </c>
    </row>
    <row r="208" spans="1:8" x14ac:dyDescent="0.35">
      <c r="A208" s="304" t="s">
        <v>1849</v>
      </c>
      <c r="B208" s="304" t="s">
        <v>1609</v>
      </c>
      <c r="D208" s="629">
        <v>2025</v>
      </c>
      <c r="E208" s="629">
        <v>2029</v>
      </c>
      <c r="F208" s="625">
        <f t="shared" si="3"/>
        <v>0.98</v>
      </c>
      <c r="G208" s="625">
        <f>RF_Capex_Opex!$D$16</f>
        <v>5705.3347119527834</v>
      </c>
      <c r="H208" s="625">
        <f>INDEX($O$10:$S$10,1,MATCH(ECT_EfficiencyCost_RF[[#This Row],[EnergyConvTech]],$O$8:$S$8,0))</f>
        <v>85.672729375807648</v>
      </c>
    </row>
    <row r="209" spans="1:8" x14ac:dyDescent="0.35">
      <c r="A209" s="304" t="s">
        <v>1849</v>
      </c>
      <c r="B209" s="304" t="s">
        <v>1609</v>
      </c>
      <c r="D209" s="629">
        <v>2026</v>
      </c>
      <c r="E209" s="629">
        <v>2029</v>
      </c>
      <c r="F209" s="625">
        <f t="shared" si="3"/>
        <v>0.98</v>
      </c>
      <c r="G209" s="625">
        <f>RF_Capex_Opex!$D$16</f>
        <v>5705.3347119527834</v>
      </c>
      <c r="H209" s="625">
        <f>INDEX($O$10:$S$10,1,MATCH(ECT_EfficiencyCost_RF[[#This Row],[EnergyConvTech]],$O$8:$S$8,0))</f>
        <v>85.672729375807648</v>
      </c>
    </row>
    <row r="210" spans="1:8" x14ac:dyDescent="0.35">
      <c r="A210" s="304" t="s">
        <v>1849</v>
      </c>
      <c r="B210" s="304" t="s">
        <v>1609</v>
      </c>
      <c r="D210" s="629">
        <v>2027</v>
      </c>
      <c r="E210" s="629">
        <v>2029</v>
      </c>
      <c r="F210" s="625">
        <f t="shared" si="3"/>
        <v>0.98</v>
      </c>
      <c r="G210" s="625">
        <f>RF_Capex_Opex!$D$16</f>
        <v>5705.3347119527834</v>
      </c>
      <c r="H210" s="625">
        <f>INDEX($O$10:$S$10,1,MATCH(ECT_EfficiencyCost_RF[[#This Row],[EnergyConvTech]],$O$8:$S$8,0))</f>
        <v>85.672729375807648</v>
      </c>
    </row>
    <row r="211" spans="1:8" x14ac:dyDescent="0.35">
      <c r="A211" s="304" t="s">
        <v>1849</v>
      </c>
      <c r="B211" s="304" t="s">
        <v>1609</v>
      </c>
      <c r="D211" s="629">
        <v>2028</v>
      </c>
      <c r="E211" s="629">
        <v>2029</v>
      </c>
      <c r="F211" s="625">
        <f t="shared" si="3"/>
        <v>0.98</v>
      </c>
      <c r="G211" s="625">
        <f>RF_Capex_Opex!$D$16</f>
        <v>5705.3347119527834</v>
      </c>
      <c r="H211" s="625">
        <f>INDEX($O$10:$S$10,1,MATCH(ECT_EfficiencyCost_RF[[#This Row],[EnergyConvTech]],$O$8:$S$8,0))</f>
        <v>85.672729375807648</v>
      </c>
    </row>
    <row r="212" spans="1:8" x14ac:dyDescent="0.35">
      <c r="A212" s="304" t="s">
        <v>1849</v>
      </c>
      <c r="B212" s="304" t="s">
        <v>1609</v>
      </c>
      <c r="D212" s="629">
        <v>2029</v>
      </c>
      <c r="E212" s="629">
        <v>2029</v>
      </c>
      <c r="F212" s="625">
        <f t="shared" si="3"/>
        <v>0.98</v>
      </c>
      <c r="G212" s="625">
        <f>RF_Capex_Opex!$D$16</f>
        <v>5705.3347119527834</v>
      </c>
      <c r="H212" s="625">
        <f>INDEX($O$10:$S$10,1,MATCH(ECT_EfficiencyCost_RF[[#This Row],[EnergyConvTech]],$O$8:$S$8,0))</f>
        <v>85.672729375807648</v>
      </c>
    </row>
    <row r="213" spans="1:8" x14ac:dyDescent="0.35">
      <c r="A213" s="304" t="s">
        <v>1849</v>
      </c>
      <c r="B213" s="304" t="s">
        <v>1609</v>
      </c>
      <c r="D213" s="629">
        <v>2021</v>
      </c>
      <c r="E213" s="629">
        <v>2030</v>
      </c>
      <c r="F213" s="625">
        <f t="shared" si="3"/>
        <v>0.98</v>
      </c>
      <c r="G213" s="625">
        <f>RF_Capex_Opex!$D$16</f>
        <v>5705.3347119527834</v>
      </c>
      <c r="H213" s="625">
        <f>INDEX($O$10:$S$10,1,MATCH(ECT_EfficiencyCost_RF[[#This Row],[EnergyConvTech]],$O$8:$S$8,0))</f>
        <v>85.672729375807648</v>
      </c>
    </row>
    <row r="214" spans="1:8" x14ac:dyDescent="0.35">
      <c r="A214" s="304" t="s">
        <v>1849</v>
      </c>
      <c r="B214" s="304" t="s">
        <v>1609</v>
      </c>
      <c r="D214" s="629">
        <v>2022</v>
      </c>
      <c r="E214" s="629">
        <v>2030</v>
      </c>
      <c r="F214" s="625">
        <f t="shared" si="3"/>
        <v>0.98</v>
      </c>
      <c r="G214" s="625">
        <f>RF_Capex_Opex!$D$16</f>
        <v>5705.3347119527834</v>
      </c>
      <c r="H214" s="625">
        <f>INDEX($O$10:$S$10,1,MATCH(ECT_EfficiencyCost_RF[[#This Row],[EnergyConvTech]],$O$8:$S$8,0))</f>
        <v>85.672729375807648</v>
      </c>
    </row>
    <row r="215" spans="1:8" x14ac:dyDescent="0.35">
      <c r="A215" s="304" t="s">
        <v>1849</v>
      </c>
      <c r="B215" s="304" t="s">
        <v>1609</v>
      </c>
      <c r="D215" s="629">
        <v>2023</v>
      </c>
      <c r="E215" s="629">
        <v>2030</v>
      </c>
      <c r="F215" s="625">
        <f t="shared" si="3"/>
        <v>0.98</v>
      </c>
      <c r="G215" s="625">
        <f>RF_Capex_Opex!$D$16</f>
        <v>5705.3347119527834</v>
      </c>
      <c r="H215" s="625">
        <f>INDEX($O$10:$S$10,1,MATCH(ECT_EfficiencyCost_RF[[#This Row],[EnergyConvTech]],$O$8:$S$8,0))</f>
        <v>85.672729375807648</v>
      </c>
    </row>
    <row r="216" spans="1:8" x14ac:dyDescent="0.35">
      <c r="A216" s="304" t="s">
        <v>1849</v>
      </c>
      <c r="B216" s="304" t="s">
        <v>1609</v>
      </c>
      <c r="D216" s="629">
        <v>2024</v>
      </c>
      <c r="E216" s="629">
        <v>2030</v>
      </c>
      <c r="F216" s="625">
        <f t="shared" si="3"/>
        <v>0.98</v>
      </c>
      <c r="G216" s="625">
        <f>RF_Capex_Opex!$D$16</f>
        <v>5705.3347119527834</v>
      </c>
      <c r="H216" s="625">
        <f>INDEX($O$10:$S$10,1,MATCH(ECT_EfficiencyCost_RF[[#This Row],[EnergyConvTech]],$O$8:$S$8,0))</f>
        <v>85.672729375807648</v>
      </c>
    </row>
    <row r="217" spans="1:8" x14ac:dyDescent="0.35">
      <c r="A217" s="304" t="s">
        <v>1849</v>
      </c>
      <c r="B217" s="304" t="s">
        <v>1609</v>
      </c>
      <c r="D217" s="629">
        <v>2025</v>
      </c>
      <c r="E217" s="629">
        <v>2030</v>
      </c>
      <c r="F217" s="625">
        <f t="shared" si="3"/>
        <v>0.98</v>
      </c>
      <c r="G217" s="625">
        <f>RF_Capex_Opex!$D$16</f>
        <v>5705.3347119527834</v>
      </c>
      <c r="H217" s="625">
        <f>INDEX($O$10:$S$10,1,MATCH(ECT_EfficiencyCost_RF[[#This Row],[EnergyConvTech]],$O$8:$S$8,0))</f>
        <v>85.672729375807648</v>
      </c>
    </row>
    <row r="218" spans="1:8" x14ac:dyDescent="0.35">
      <c r="A218" s="304" t="s">
        <v>1849</v>
      </c>
      <c r="B218" s="304" t="s">
        <v>1609</v>
      </c>
      <c r="D218" s="629">
        <v>2026</v>
      </c>
      <c r="E218" s="629">
        <v>2030</v>
      </c>
      <c r="F218" s="625">
        <f t="shared" si="3"/>
        <v>0.98</v>
      </c>
      <c r="G218" s="625">
        <f>RF_Capex_Opex!$D$16</f>
        <v>5705.3347119527834</v>
      </c>
      <c r="H218" s="625">
        <f>INDEX($O$10:$S$10,1,MATCH(ECT_EfficiencyCost_RF[[#This Row],[EnergyConvTech]],$O$8:$S$8,0))</f>
        <v>85.672729375807648</v>
      </c>
    </row>
    <row r="219" spans="1:8" x14ac:dyDescent="0.35">
      <c r="A219" s="304" t="s">
        <v>1849</v>
      </c>
      <c r="B219" s="304" t="s">
        <v>1609</v>
      </c>
      <c r="D219" s="629">
        <v>2027</v>
      </c>
      <c r="E219" s="629">
        <v>2030</v>
      </c>
      <c r="F219" s="625">
        <f t="shared" si="3"/>
        <v>0.98</v>
      </c>
      <c r="G219" s="625">
        <f>RF_Capex_Opex!$D$16</f>
        <v>5705.3347119527834</v>
      </c>
      <c r="H219" s="625">
        <f>INDEX($O$10:$S$10,1,MATCH(ECT_EfficiencyCost_RF[[#This Row],[EnergyConvTech]],$O$8:$S$8,0))</f>
        <v>85.672729375807648</v>
      </c>
    </row>
    <row r="220" spans="1:8" x14ac:dyDescent="0.35">
      <c r="A220" s="304" t="s">
        <v>1849</v>
      </c>
      <c r="B220" s="304" t="s">
        <v>1609</v>
      </c>
      <c r="D220" s="629">
        <v>2028</v>
      </c>
      <c r="E220" s="629">
        <v>2030</v>
      </c>
      <c r="F220" s="625">
        <f t="shared" si="3"/>
        <v>0.98</v>
      </c>
      <c r="G220" s="625">
        <f>RF_Capex_Opex!$D$16</f>
        <v>5705.3347119527834</v>
      </c>
      <c r="H220" s="625">
        <f>INDEX($O$10:$S$10,1,MATCH(ECT_EfficiencyCost_RF[[#This Row],[EnergyConvTech]],$O$8:$S$8,0))</f>
        <v>85.672729375807648</v>
      </c>
    </row>
    <row r="221" spans="1:8" x14ac:dyDescent="0.35">
      <c r="A221" s="304" t="s">
        <v>1849</v>
      </c>
      <c r="B221" s="304" t="s">
        <v>1609</v>
      </c>
      <c r="D221" s="629">
        <v>2029</v>
      </c>
      <c r="E221" s="629">
        <v>2030</v>
      </c>
      <c r="F221" s="625">
        <f t="shared" si="3"/>
        <v>0.98</v>
      </c>
      <c r="G221" s="625">
        <f>RF_Capex_Opex!$D$16</f>
        <v>5705.3347119527834</v>
      </c>
      <c r="H221" s="625">
        <f>INDEX($O$10:$S$10,1,MATCH(ECT_EfficiencyCost_RF[[#This Row],[EnergyConvTech]],$O$8:$S$8,0))</f>
        <v>85.672729375807648</v>
      </c>
    </row>
    <row r="222" spans="1:8" x14ac:dyDescent="0.35">
      <c r="A222" s="304" t="s">
        <v>1849</v>
      </c>
      <c r="B222" s="304" t="s">
        <v>1609</v>
      </c>
      <c r="D222" s="629">
        <v>2030</v>
      </c>
      <c r="E222" s="629">
        <v>2030</v>
      </c>
      <c r="F222" s="625">
        <f t="shared" si="3"/>
        <v>0.98</v>
      </c>
      <c r="G222" s="625">
        <f>RF_Capex_Opex!$D$16</f>
        <v>5705.3347119527834</v>
      </c>
      <c r="H222" s="625">
        <f>INDEX($O$10:$S$10,1,MATCH(ECT_EfficiencyCost_RF[[#This Row],[EnergyConvTech]],$O$8:$S$8,0))</f>
        <v>85.672729375807648</v>
      </c>
    </row>
    <row r="223" spans="1:8" x14ac:dyDescent="0.35">
      <c r="A223" s="304" t="s">
        <v>1849</v>
      </c>
      <c r="B223" s="304" t="s">
        <v>1609</v>
      </c>
      <c r="D223" s="629">
        <v>2021</v>
      </c>
      <c r="E223" s="629">
        <v>2031</v>
      </c>
      <c r="F223" s="625">
        <f t="shared" si="3"/>
        <v>0.98</v>
      </c>
      <c r="G223" s="625">
        <f>RF_Capex_Opex!$D$16</f>
        <v>5705.3347119527834</v>
      </c>
      <c r="H223" s="625">
        <f>INDEX($O$10:$S$10,1,MATCH(ECT_EfficiencyCost_RF[[#This Row],[EnergyConvTech]],$O$8:$S$8,0))</f>
        <v>85.672729375807648</v>
      </c>
    </row>
    <row r="224" spans="1:8" x14ac:dyDescent="0.35">
      <c r="A224" s="304" t="s">
        <v>1849</v>
      </c>
      <c r="B224" s="304" t="s">
        <v>1609</v>
      </c>
      <c r="D224" s="629">
        <v>2022</v>
      </c>
      <c r="E224" s="629">
        <v>2031</v>
      </c>
      <c r="F224" s="625">
        <f t="shared" si="3"/>
        <v>0.98</v>
      </c>
      <c r="G224" s="625">
        <f>RF_Capex_Opex!$D$16</f>
        <v>5705.3347119527834</v>
      </c>
      <c r="H224" s="625">
        <f>INDEX($O$10:$S$10,1,MATCH(ECT_EfficiencyCost_RF[[#This Row],[EnergyConvTech]],$O$8:$S$8,0))</f>
        <v>85.672729375807648</v>
      </c>
    </row>
    <row r="225" spans="1:8" x14ac:dyDescent="0.35">
      <c r="A225" s="304" t="s">
        <v>1849</v>
      </c>
      <c r="B225" s="304" t="s">
        <v>1609</v>
      </c>
      <c r="D225" s="629">
        <v>2023</v>
      </c>
      <c r="E225" s="629">
        <v>2031</v>
      </c>
      <c r="F225" s="625">
        <f t="shared" si="3"/>
        <v>0.98</v>
      </c>
      <c r="G225" s="625">
        <f>RF_Capex_Opex!$D$16</f>
        <v>5705.3347119527834</v>
      </c>
      <c r="H225" s="625">
        <f>INDEX($O$10:$S$10,1,MATCH(ECT_EfficiencyCost_RF[[#This Row],[EnergyConvTech]],$O$8:$S$8,0))</f>
        <v>85.672729375807648</v>
      </c>
    </row>
    <row r="226" spans="1:8" x14ac:dyDescent="0.35">
      <c r="A226" s="304" t="s">
        <v>1849</v>
      </c>
      <c r="B226" s="304" t="s">
        <v>1609</v>
      </c>
      <c r="D226" s="629">
        <v>2024</v>
      </c>
      <c r="E226" s="629">
        <v>2031</v>
      </c>
      <c r="F226" s="625">
        <f t="shared" si="3"/>
        <v>0.98</v>
      </c>
      <c r="G226" s="625">
        <f>RF_Capex_Opex!$D$16</f>
        <v>5705.3347119527834</v>
      </c>
      <c r="H226" s="625">
        <f>INDEX($O$10:$S$10,1,MATCH(ECT_EfficiencyCost_RF[[#This Row],[EnergyConvTech]],$O$8:$S$8,0))</f>
        <v>85.672729375807648</v>
      </c>
    </row>
    <row r="227" spans="1:8" x14ac:dyDescent="0.35">
      <c r="A227" s="304" t="s">
        <v>1849</v>
      </c>
      <c r="B227" s="304" t="s">
        <v>1609</v>
      </c>
      <c r="D227" s="629">
        <v>2025</v>
      </c>
      <c r="E227" s="629">
        <v>2031</v>
      </c>
      <c r="F227" s="625">
        <f t="shared" si="3"/>
        <v>0.98</v>
      </c>
      <c r="G227" s="625">
        <f>RF_Capex_Opex!$D$16</f>
        <v>5705.3347119527834</v>
      </c>
      <c r="H227" s="625">
        <f>INDEX($O$10:$S$10,1,MATCH(ECT_EfficiencyCost_RF[[#This Row],[EnergyConvTech]],$O$8:$S$8,0))</f>
        <v>85.672729375807648</v>
      </c>
    </row>
    <row r="228" spans="1:8" x14ac:dyDescent="0.35">
      <c r="A228" s="304" t="s">
        <v>1849</v>
      </c>
      <c r="B228" s="304" t="s">
        <v>1609</v>
      </c>
      <c r="D228" s="629">
        <v>2026</v>
      </c>
      <c r="E228" s="629">
        <v>2031</v>
      </c>
      <c r="F228" s="625">
        <f t="shared" si="3"/>
        <v>0.98</v>
      </c>
      <c r="G228" s="625">
        <f>RF_Capex_Opex!$D$16</f>
        <v>5705.3347119527834</v>
      </c>
      <c r="H228" s="625">
        <f>INDEX($O$10:$S$10,1,MATCH(ECT_EfficiencyCost_RF[[#This Row],[EnergyConvTech]],$O$8:$S$8,0))</f>
        <v>85.672729375807648</v>
      </c>
    </row>
    <row r="229" spans="1:8" x14ac:dyDescent="0.35">
      <c r="A229" s="304" t="s">
        <v>1849</v>
      </c>
      <c r="B229" s="304" t="s">
        <v>1609</v>
      </c>
      <c r="D229" s="629">
        <v>2027</v>
      </c>
      <c r="E229" s="629">
        <v>2031</v>
      </c>
      <c r="F229" s="625">
        <f t="shared" si="3"/>
        <v>0.98</v>
      </c>
      <c r="G229" s="625">
        <f>RF_Capex_Opex!$D$16</f>
        <v>5705.3347119527834</v>
      </c>
      <c r="H229" s="625">
        <f>INDEX($O$10:$S$10,1,MATCH(ECT_EfficiencyCost_RF[[#This Row],[EnergyConvTech]],$O$8:$S$8,0))</f>
        <v>85.672729375807648</v>
      </c>
    </row>
    <row r="230" spans="1:8" x14ac:dyDescent="0.35">
      <c r="A230" s="304" t="s">
        <v>1849</v>
      </c>
      <c r="B230" s="304" t="s">
        <v>1609</v>
      </c>
      <c r="D230" s="629">
        <v>2028</v>
      </c>
      <c r="E230" s="629">
        <v>2031</v>
      </c>
      <c r="F230" s="625">
        <f t="shared" si="3"/>
        <v>0.98</v>
      </c>
      <c r="G230" s="625">
        <f>RF_Capex_Opex!$D$16</f>
        <v>5705.3347119527834</v>
      </c>
      <c r="H230" s="625">
        <f>INDEX($O$10:$S$10,1,MATCH(ECT_EfficiencyCost_RF[[#This Row],[EnergyConvTech]],$O$8:$S$8,0))</f>
        <v>85.672729375807648</v>
      </c>
    </row>
    <row r="231" spans="1:8" x14ac:dyDescent="0.35">
      <c r="A231" s="304" t="s">
        <v>1849</v>
      </c>
      <c r="B231" s="304" t="s">
        <v>1609</v>
      </c>
      <c r="D231" s="629">
        <v>2029</v>
      </c>
      <c r="E231" s="629">
        <v>2031</v>
      </c>
      <c r="F231" s="625">
        <f t="shared" si="3"/>
        <v>0.98</v>
      </c>
      <c r="G231" s="625">
        <f>RF_Capex_Opex!$D$16</f>
        <v>5705.3347119527834</v>
      </c>
      <c r="H231" s="625">
        <f>INDEX($O$10:$S$10,1,MATCH(ECT_EfficiencyCost_RF[[#This Row],[EnergyConvTech]],$O$8:$S$8,0))</f>
        <v>85.672729375807648</v>
      </c>
    </row>
    <row r="232" spans="1:8" x14ac:dyDescent="0.35">
      <c r="A232" s="304" t="s">
        <v>1849</v>
      </c>
      <c r="B232" s="304" t="s">
        <v>1609</v>
      </c>
      <c r="D232" s="629">
        <v>2030</v>
      </c>
      <c r="E232" s="629">
        <v>2031</v>
      </c>
      <c r="F232" s="625">
        <f t="shared" si="3"/>
        <v>0.98</v>
      </c>
      <c r="G232" s="625">
        <f>RF_Capex_Opex!$D$16</f>
        <v>5705.3347119527834</v>
      </c>
      <c r="H232" s="625">
        <f>INDEX($O$10:$S$10,1,MATCH(ECT_EfficiencyCost_RF[[#This Row],[EnergyConvTech]],$O$8:$S$8,0))</f>
        <v>85.672729375807648</v>
      </c>
    </row>
    <row r="233" spans="1:8" x14ac:dyDescent="0.35">
      <c r="A233" s="304" t="s">
        <v>1849</v>
      </c>
      <c r="B233" s="304" t="s">
        <v>1609</v>
      </c>
      <c r="D233" s="629">
        <v>2031</v>
      </c>
      <c r="E233" s="629">
        <v>2031</v>
      </c>
      <c r="F233" s="625">
        <f t="shared" si="3"/>
        <v>0.98</v>
      </c>
      <c r="G233" s="625">
        <f>RF_Capex_Opex!$D$16</f>
        <v>5705.3347119527834</v>
      </c>
      <c r="H233" s="625">
        <f>INDEX($O$10:$S$10,1,MATCH(ECT_EfficiencyCost_RF[[#This Row],[EnergyConvTech]],$O$8:$S$8,0))</f>
        <v>85.672729375807648</v>
      </c>
    </row>
    <row r="234" spans="1:8" x14ac:dyDescent="0.35">
      <c r="A234" s="304" t="s">
        <v>1850</v>
      </c>
      <c r="B234" s="304" t="s">
        <v>1609</v>
      </c>
      <c r="D234" s="629">
        <v>2020</v>
      </c>
      <c r="E234" s="629">
        <v>2021</v>
      </c>
      <c r="F234" s="625">
        <f t="shared" si="3"/>
        <v>0.98</v>
      </c>
      <c r="G234" s="625">
        <f>RF_Capex_Opex!$D$16</f>
        <v>5705.3347119527834</v>
      </c>
      <c r="H234" s="625">
        <f>INDEX($O$10:$S$10,1,MATCH(ECT_EfficiencyCost_RF[[#This Row],[EnergyConvTech]],$O$8:$S$8,0))</f>
        <v>20991.5728129852</v>
      </c>
    </row>
    <row r="235" spans="1:8" x14ac:dyDescent="0.35">
      <c r="A235" s="304" t="s">
        <v>1850</v>
      </c>
      <c r="B235" s="304" t="s">
        <v>1609</v>
      </c>
      <c r="D235" s="629">
        <v>2020</v>
      </c>
      <c r="E235" s="629">
        <v>2022</v>
      </c>
      <c r="F235" s="625">
        <f t="shared" si="3"/>
        <v>0.98</v>
      </c>
      <c r="G235" s="625">
        <f>RF_Capex_Opex!$D$16</f>
        <v>5705.3347119527834</v>
      </c>
      <c r="H235" s="625">
        <f>INDEX($O$10:$S$10,1,MATCH(ECT_EfficiencyCost_RF[[#This Row],[EnergyConvTech]],$O$8:$S$8,0))</f>
        <v>20991.5728129852</v>
      </c>
    </row>
    <row r="236" spans="1:8" x14ac:dyDescent="0.35">
      <c r="A236" s="304" t="s">
        <v>1850</v>
      </c>
      <c r="B236" s="304" t="s">
        <v>1609</v>
      </c>
      <c r="D236" s="629">
        <v>2020</v>
      </c>
      <c r="E236" s="629">
        <v>2023</v>
      </c>
      <c r="F236" s="625">
        <f t="shared" si="3"/>
        <v>0.98</v>
      </c>
      <c r="G236" s="625">
        <f>RF_Capex_Opex!$D$16</f>
        <v>5705.3347119527834</v>
      </c>
      <c r="H236" s="625">
        <f>INDEX($O$10:$S$10,1,MATCH(ECT_EfficiencyCost_RF[[#This Row],[EnergyConvTech]],$O$8:$S$8,0))</f>
        <v>20991.5728129852</v>
      </c>
    </row>
    <row r="237" spans="1:8" x14ac:dyDescent="0.35">
      <c r="A237" s="304" t="s">
        <v>1850</v>
      </c>
      <c r="B237" s="304" t="s">
        <v>1609</v>
      </c>
      <c r="D237" s="629">
        <v>2020</v>
      </c>
      <c r="E237" s="629">
        <v>2024</v>
      </c>
      <c r="F237" s="625">
        <f t="shared" si="3"/>
        <v>0.98</v>
      </c>
      <c r="G237" s="625">
        <f>RF_Capex_Opex!$D$16</f>
        <v>5705.3347119527834</v>
      </c>
      <c r="H237" s="625">
        <f>INDEX($O$10:$S$10,1,MATCH(ECT_EfficiencyCost_RF[[#This Row],[EnergyConvTech]],$O$8:$S$8,0))</f>
        <v>20991.5728129852</v>
      </c>
    </row>
    <row r="238" spans="1:8" x14ac:dyDescent="0.35">
      <c r="A238" s="304" t="s">
        <v>1850</v>
      </c>
      <c r="B238" s="304" t="s">
        <v>1609</v>
      </c>
      <c r="D238" s="629">
        <v>2020</v>
      </c>
      <c r="E238" s="629">
        <v>2025</v>
      </c>
      <c r="F238" s="625">
        <f t="shared" si="3"/>
        <v>0.98</v>
      </c>
      <c r="G238" s="625">
        <f>RF_Capex_Opex!$D$16</f>
        <v>5705.3347119527834</v>
      </c>
      <c r="H238" s="625">
        <f>INDEX($O$10:$S$10,1,MATCH(ECT_EfficiencyCost_RF[[#This Row],[EnergyConvTech]],$O$8:$S$8,0))</f>
        <v>20991.5728129852</v>
      </c>
    </row>
    <row r="239" spans="1:8" x14ac:dyDescent="0.35">
      <c r="A239" s="304" t="s">
        <v>1850</v>
      </c>
      <c r="B239" s="304" t="s">
        <v>1609</v>
      </c>
      <c r="D239" s="629">
        <v>2020</v>
      </c>
      <c r="E239" s="629">
        <v>2026</v>
      </c>
      <c r="F239" s="625">
        <f t="shared" si="3"/>
        <v>0.98</v>
      </c>
      <c r="G239" s="625">
        <f>RF_Capex_Opex!$D$16</f>
        <v>5705.3347119527834</v>
      </c>
      <c r="H239" s="625">
        <f>INDEX($O$10:$S$10,1,MATCH(ECT_EfficiencyCost_RF[[#This Row],[EnergyConvTech]],$O$8:$S$8,0))</f>
        <v>20991.5728129852</v>
      </c>
    </row>
    <row r="240" spans="1:8" x14ac:dyDescent="0.35">
      <c r="A240" s="304" t="s">
        <v>1850</v>
      </c>
      <c r="B240" s="304" t="s">
        <v>1609</v>
      </c>
      <c r="D240" s="629">
        <v>2020</v>
      </c>
      <c r="E240" s="629">
        <v>2027</v>
      </c>
      <c r="F240" s="625">
        <f t="shared" si="3"/>
        <v>0.98</v>
      </c>
      <c r="G240" s="625">
        <f>RF_Capex_Opex!$D$16</f>
        <v>5705.3347119527834</v>
      </c>
      <c r="H240" s="625">
        <f>INDEX($O$10:$S$10,1,MATCH(ECT_EfficiencyCost_RF[[#This Row],[EnergyConvTech]],$O$8:$S$8,0))</f>
        <v>20991.5728129852</v>
      </c>
    </row>
    <row r="241" spans="1:8" x14ac:dyDescent="0.35">
      <c r="A241" s="304" t="s">
        <v>1850</v>
      </c>
      <c r="B241" s="304" t="s">
        <v>1609</v>
      </c>
      <c r="D241" s="629">
        <v>2020</v>
      </c>
      <c r="E241" s="629">
        <v>2028</v>
      </c>
      <c r="F241" s="625">
        <f t="shared" si="3"/>
        <v>0.98</v>
      </c>
      <c r="G241" s="625">
        <f>RF_Capex_Opex!$D$16</f>
        <v>5705.3347119527834</v>
      </c>
      <c r="H241" s="625">
        <f>INDEX($O$10:$S$10,1,MATCH(ECT_EfficiencyCost_RF[[#This Row],[EnergyConvTech]],$O$8:$S$8,0))</f>
        <v>20991.5728129852</v>
      </c>
    </row>
    <row r="242" spans="1:8" x14ac:dyDescent="0.35">
      <c r="A242" s="304" t="s">
        <v>1850</v>
      </c>
      <c r="B242" s="304" t="s">
        <v>1609</v>
      </c>
      <c r="D242" s="629">
        <v>2020</v>
      </c>
      <c r="E242" s="629">
        <v>2029</v>
      </c>
      <c r="F242" s="625">
        <f t="shared" si="3"/>
        <v>0.98</v>
      </c>
      <c r="G242" s="625">
        <f>RF_Capex_Opex!$D$16</f>
        <v>5705.3347119527834</v>
      </c>
      <c r="H242" s="625">
        <f>INDEX($O$10:$S$10,1,MATCH(ECT_EfficiencyCost_RF[[#This Row],[EnergyConvTech]],$O$8:$S$8,0))</f>
        <v>20991.5728129852</v>
      </c>
    </row>
    <row r="243" spans="1:8" x14ac:dyDescent="0.35">
      <c r="A243" s="304" t="s">
        <v>1850</v>
      </c>
      <c r="B243" s="304" t="s">
        <v>1609</v>
      </c>
      <c r="D243" s="629">
        <v>2020</v>
      </c>
      <c r="E243" s="629">
        <v>2030</v>
      </c>
      <c r="F243" s="625">
        <f t="shared" si="3"/>
        <v>0.98</v>
      </c>
      <c r="G243" s="625">
        <f>RF_Capex_Opex!$D$16</f>
        <v>5705.3347119527834</v>
      </c>
      <c r="H243" s="625">
        <f>INDEX($O$10:$S$10,1,MATCH(ECT_EfficiencyCost_RF[[#This Row],[EnergyConvTech]],$O$8:$S$8,0))</f>
        <v>20991.5728129852</v>
      </c>
    </row>
    <row r="244" spans="1:8" x14ac:dyDescent="0.35">
      <c r="A244" s="304" t="s">
        <v>1850</v>
      </c>
      <c r="B244" s="304" t="s">
        <v>1609</v>
      </c>
      <c r="D244" s="629">
        <v>2020</v>
      </c>
      <c r="E244" s="629">
        <v>2031</v>
      </c>
      <c r="F244" s="625">
        <f t="shared" si="3"/>
        <v>0.98</v>
      </c>
      <c r="G244" s="625">
        <f>RF_Capex_Opex!$D$16</f>
        <v>5705.3347119527834</v>
      </c>
      <c r="H244" s="625">
        <f>INDEX($O$10:$S$10,1,MATCH(ECT_EfficiencyCost_RF[[#This Row],[EnergyConvTech]],$O$8:$S$8,0))</f>
        <v>20991.5728129852</v>
      </c>
    </row>
    <row r="245" spans="1:8" x14ac:dyDescent="0.35">
      <c r="A245" s="304" t="s">
        <v>1850</v>
      </c>
      <c r="B245" s="304" t="s">
        <v>1609</v>
      </c>
      <c r="D245" s="629">
        <v>2021</v>
      </c>
      <c r="E245" s="629">
        <v>2021</v>
      </c>
      <c r="F245" s="625">
        <f t="shared" si="3"/>
        <v>0.98</v>
      </c>
      <c r="G245" s="625">
        <f>RF_Capex_Opex!$D$16</f>
        <v>5705.3347119527834</v>
      </c>
      <c r="H245" s="625">
        <f>INDEX($O$10:$S$10,1,MATCH(ECT_EfficiencyCost_RF[[#This Row],[EnergyConvTech]],$O$8:$S$8,0))</f>
        <v>20991.5728129852</v>
      </c>
    </row>
    <row r="246" spans="1:8" x14ac:dyDescent="0.35">
      <c r="A246" s="304" t="s">
        <v>1850</v>
      </c>
      <c r="B246" s="304" t="s">
        <v>1609</v>
      </c>
      <c r="D246" s="629">
        <v>2021</v>
      </c>
      <c r="E246" s="629">
        <v>2022</v>
      </c>
      <c r="F246" s="625">
        <f t="shared" si="3"/>
        <v>0.98</v>
      </c>
      <c r="G246" s="625">
        <f>RF_Capex_Opex!$D$16</f>
        <v>5705.3347119527834</v>
      </c>
      <c r="H246" s="625">
        <f>INDEX($O$10:$S$10,1,MATCH(ECT_EfficiencyCost_RF[[#This Row],[EnergyConvTech]],$O$8:$S$8,0))</f>
        <v>20991.5728129852</v>
      </c>
    </row>
    <row r="247" spans="1:8" x14ac:dyDescent="0.35">
      <c r="A247" s="304" t="s">
        <v>1850</v>
      </c>
      <c r="B247" s="304" t="s">
        <v>1609</v>
      </c>
      <c r="D247" s="629">
        <v>2022</v>
      </c>
      <c r="E247" s="629">
        <v>2022</v>
      </c>
      <c r="F247" s="625">
        <f t="shared" si="3"/>
        <v>0.98</v>
      </c>
      <c r="G247" s="625">
        <f>RF_Capex_Opex!$D$16</f>
        <v>5705.3347119527834</v>
      </c>
      <c r="H247" s="625">
        <f>INDEX($O$10:$S$10,1,MATCH(ECT_EfficiencyCost_RF[[#This Row],[EnergyConvTech]],$O$8:$S$8,0))</f>
        <v>20991.5728129852</v>
      </c>
    </row>
    <row r="248" spans="1:8" x14ac:dyDescent="0.35">
      <c r="A248" s="304" t="s">
        <v>1850</v>
      </c>
      <c r="B248" s="304" t="s">
        <v>1609</v>
      </c>
      <c r="D248" s="629">
        <v>2021</v>
      </c>
      <c r="E248" s="629">
        <v>2023</v>
      </c>
      <c r="F248" s="625">
        <f t="shared" si="3"/>
        <v>0.98</v>
      </c>
      <c r="G248" s="625">
        <f>RF_Capex_Opex!$D$16</f>
        <v>5705.3347119527834</v>
      </c>
      <c r="H248" s="625">
        <f>INDEX($O$10:$S$10,1,MATCH(ECT_EfficiencyCost_RF[[#This Row],[EnergyConvTech]],$O$8:$S$8,0))</f>
        <v>20991.5728129852</v>
      </c>
    </row>
    <row r="249" spans="1:8" x14ac:dyDescent="0.35">
      <c r="A249" s="304" t="s">
        <v>1850</v>
      </c>
      <c r="B249" s="304" t="s">
        <v>1609</v>
      </c>
      <c r="D249" s="629">
        <v>2022</v>
      </c>
      <c r="E249" s="629">
        <v>2023</v>
      </c>
      <c r="F249" s="625">
        <f t="shared" si="3"/>
        <v>0.98</v>
      </c>
      <c r="G249" s="625">
        <f>RF_Capex_Opex!$D$16</f>
        <v>5705.3347119527834</v>
      </c>
      <c r="H249" s="625">
        <f>INDEX($O$10:$S$10,1,MATCH(ECT_EfficiencyCost_RF[[#This Row],[EnergyConvTech]],$O$8:$S$8,0))</f>
        <v>20991.5728129852</v>
      </c>
    </row>
    <row r="250" spans="1:8" x14ac:dyDescent="0.35">
      <c r="A250" s="304" t="s">
        <v>1850</v>
      </c>
      <c r="B250" s="304" t="s">
        <v>1609</v>
      </c>
      <c r="D250" s="629">
        <v>2023</v>
      </c>
      <c r="E250" s="629">
        <v>2023</v>
      </c>
      <c r="F250" s="625">
        <f t="shared" si="3"/>
        <v>0.98</v>
      </c>
      <c r="G250" s="625">
        <f>RF_Capex_Opex!$D$16</f>
        <v>5705.3347119527834</v>
      </c>
      <c r="H250" s="625">
        <f>INDEX($O$10:$S$10,1,MATCH(ECT_EfficiencyCost_RF[[#This Row],[EnergyConvTech]],$O$8:$S$8,0))</f>
        <v>20991.5728129852</v>
      </c>
    </row>
    <row r="251" spans="1:8" x14ac:dyDescent="0.35">
      <c r="A251" s="304" t="s">
        <v>1850</v>
      </c>
      <c r="B251" s="304" t="s">
        <v>1609</v>
      </c>
      <c r="D251" s="629">
        <v>2021</v>
      </c>
      <c r="E251" s="629">
        <v>2024</v>
      </c>
      <c r="F251" s="625">
        <f t="shared" si="3"/>
        <v>0.98</v>
      </c>
      <c r="G251" s="625">
        <f>RF_Capex_Opex!$D$16</f>
        <v>5705.3347119527834</v>
      </c>
      <c r="H251" s="625">
        <f>INDEX($O$10:$S$10,1,MATCH(ECT_EfficiencyCost_RF[[#This Row],[EnergyConvTech]],$O$8:$S$8,0))</f>
        <v>20991.5728129852</v>
      </c>
    </row>
    <row r="252" spans="1:8" x14ac:dyDescent="0.35">
      <c r="A252" s="304" t="s">
        <v>1850</v>
      </c>
      <c r="B252" s="304" t="s">
        <v>1609</v>
      </c>
      <c r="D252" s="629">
        <v>2022</v>
      </c>
      <c r="E252" s="629">
        <v>2024</v>
      </c>
      <c r="F252" s="625">
        <f t="shared" si="3"/>
        <v>0.98</v>
      </c>
      <c r="G252" s="625">
        <f>RF_Capex_Opex!$D$16</f>
        <v>5705.3347119527834</v>
      </c>
      <c r="H252" s="625">
        <f>INDEX($O$10:$S$10,1,MATCH(ECT_EfficiencyCost_RF[[#This Row],[EnergyConvTech]],$O$8:$S$8,0))</f>
        <v>20991.5728129852</v>
      </c>
    </row>
    <row r="253" spans="1:8" x14ac:dyDescent="0.35">
      <c r="A253" s="304" t="s">
        <v>1850</v>
      </c>
      <c r="B253" s="304" t="s">
        <v>1609</v>
      </c>
      <c r="D253" s="629">
        <v>2023</v>
      </c>
      <c r="E253" s="629">
        <v>2024</v>
      </c>
      <c r="F253" s="625">
        <f t="shared" si="3"/>
        <v>0.98</v>
      </c>
      <c r="G253" s="625">
        <f>RF_Capex_Opex!$D$16</f>
        <v>5705.3347119527834</v>
      </c>
      <c r="H253" s="625">
        <f>INDEX($O$10:$S$10,1,MATCH(ECT_EfficiencyCost_RF[[#This Row],[EnergyConvTech]],$O$8:$S$8,0))</f>
        <v>20991.5728129852</v>
      </c>
    </row>
    <row r="254" spans="1:8" x14ac:dyDescent="0.35">
      <c r="A254" s="304" t="s">
        <v>1850</v>
      </c>
      <c r="B254" s="304" t="s">
        <v>1609</v>
      </c>
      <c r="D254" s="629">
        <v>2024</v>
      </c>
      <c r="E254" s="629">
        <v>2024</v>
      </c>
      <c r="F254" s="625">
        <f t="shared" si="3"/>
        <v>0.98</v>
      </c>
      <c r="G254" s="625">
        <f>RF_Capex_Opex!$D$16</f>
        <v>5705.3347119527834</v>
      </c>
      <c r="H254" s="625">
        <f>INDEX($O$10:$S$10,1,MATCH(ECT_EfficiencyCost_RF[[#This Row],[EnergyConvTech]],$O$8:$S$8,0))</f>
        <v>20991.5728129852</v>
      </c>
    </row>
    <row r="255" spans="1:8" x14ac:dyDescent="0.35">
      <c r="A255" s="304" t="s">
        <v>1850</v>
      </c>
      <c r="B255" s="304" t="s">
        <v>1609</v>
      </c>
      <c r="D255" s="629">
        <v>2021</v>
      </c>
      <c r="E255" s="629">
        <v>2025</v>
      </c>
      <c r="F255" s="625">
        <f t="shared" si="3"/>
        <v>0.98</v>
      </c>
      <c r="G255" s="625">
        <f>RF_Capex_Opex!$D$16</f>
        <v>5705.3347119527834</v>
      </c>
      <c r="H255" s="625">
        <f>INDEX($O$10:$S$10,1,MATCH(ECT_EfficiencyCost_RF[[#This Row],[EnergyConvTech]],$O$8:$S$8,0))</f>
        <v>20991.5728129852</v>
      </c>
    </row>
    <row r="256" spans="1:8" x14ac:dyDescent="0.35">
      <c r="A256" s="304" t="s">
        <v>1850</v>
      </c>
      <c r="B256" s="304" t="s">
        <v>1609</v>
      </c>
      <c r="D256" s="629">
        <v>2022</v>
      </c>
      <c r="E256" s="629">
        <v>2025</v>
      </c>
      <c r="F256" s="625">
        <f t="shared" si="3"/>
        <v>0.98</v>
      </c>
      <c r="G256" s="625">
        <f>RF_Capex_Opex!$D$16</f>
        <v>5705.3347119527834</v>
      </c>
      <c r="H256" s="625">
        <f>INDEX($O$10:$S$10,1,MATCH(ECT_EfficiencyCost_RF[[#This Row],[EnergyConvTech]],$O$8:$S$8,0))</f>
        <v>20991.5728129852</v>
      </c>
    </row>
    <row r="257" spans="1:8" x14ac:dyDescent="0.35">
      <c r="A257" s="304" t="s">
        <v>1850</v>
      </c>
      <c r="B257" s="304" t="s">
        <v>1609</v>
      </c>
      <c r="D257" s="629">
        <v>2023</v>
      </c>
      <c r="E257" s="629">
        <v>2025</v>
      </c>
      <c r="F257" s="625">
        <f t="shared" si="3"/>
        <v>0.98</v>
      </c>
      <c r="G257" s="625">
        <f>RF_Capex_Opex!$D$16</f>
        <v>5705.3347119527834</v>
      </c>
      <c r="H257" s="625">
        <f>INDEX($O$10:$S$10,1,MATCH(ECT_EfficiencyCost_RF[[#This Row],[EnergyConvTech]],$O$8:$S$8,0))</f>
        <v>20991.5728129852</v>
      </c>
    </row>
    <row r="258" spans="1:8" x14ac:dyDescent="0.35">
      <c r="A258" s="304" t="s">
        <v>1850</v>
      </c>
      <c r="B258" s="304" t="s">
        <v>1609</v>
      </c>
      <c r="D258" s="629">
        <v>2024</v>
      </c>
      <c r="E258" s="629">
        <v>2025</v>
      </c>
      <c r="F258" s="625">
        <f t="shared" si="3"/>
        <v>0.98</v>
      </c>
      <c r="G258" s="625">
        <f>RF_Capex_Opex!$D$16</f>
        <v>5705.3347119527834</v>
      </c>
      <c r="H258" s="625">
        <f>INDEX($O$10:$S$10,1,MATCH(ECT_EfficiencyCost_RF[[#This Row],[EnergyConvTech]],$O$8:$S$8,0))</f>
        <v>20991.5728129852</v>
      </c>
    </row>
    <row r="259" spans="1:8" x14ac:dyDescent="0.35">
      <c r="A259" s="304" t="s">
        <v>1850</v>
      </c>
      <c r="B259" s="304" t="s">
        <v>1609</v>
      </c>
      <c r="D259" s="629">
        <v>2025</v>
      </c>
      <c r="E259" s="629">
        <v>2025</v>
      </c>
      <c r="F259" s="625">
        <f t="shared" ref="F259:F322" si="4">$N$12</f>
        <v>0.98</v>
      </c>
      <c r="G259" s="625">
        <f>RF_Capex_Opex!$D$16</f>
        <v>5705.3347119527834</v>
      </c>
      <c r="H259" s="625">
        <f>INDEX($O$10:$S$10,1,MATCH(ECT_EfficiencyCost_RF[[#This Row],[EnergyConvTech]],$O$8:$S$8,0))</f>
        <v>20991.5728129852</v>
      </c>
    </row>
    <row r="260" spans="1:8" x14ac:dyDescent="0.35">
      <c r="A260" s="304" t="s">
        <v>1850</v>
      </c>
      <c r="B260" s="304" t="s">
        <v>1609</v>
      </c>
      <c r="D260" s="629">
        <v>2021</v>
      </c>
      <c r="E260" s="629">
        <v>2026</v>
      </c>
      <c r="F260" s="625">
        <f t="shared" si="4"/>
        <v>0.98</v>
      </c>
      <c r="G260" s="625">
        <f>RF_Capex_Opex!$D$16</f>
        <v>5705.3347119527834</v>
      </c>
      <c r="H260" s="625">
        <f>INDEX($O$10:$S$10,1,MATCH(ECT_EfficiencyCost_RF[[#This Row],[EnergyConvTech]],$O$8:$S$8,0))</f>
        <v>20991.5728129852</v>
      </c>
    </row>
    <row r="261" spans="1:8" x14ac:dyDescent="0.35">
      <c r="A261" s="304" t="s">
        <v>1850</v>
      </c>
      <c r="B261" s="304" t="s">
        <v>1609</v>
      </c>
      <c r="D261" s="629">
        <v>2022</v>
      </c>
      <c r="E261" s="629">
        <v>2026</v>
      </c>
      <c r="F261" s="625">
        <f t="shared" si="4"/>
        <v>0.98</v>
      </c>
      <c r="G261" s="625">
        <f>RF_Capex_Opex!$D$16</f>
        <v>5705.3347119527834</v>
      </c>
      <c r="H261" s="625">
        <f>INDEX($O$10:$S$10,1,MATCH(ECT_EfficiencyCost_RF[[#This Row],[EnergyConvTech]],$O$8:$S$8,0))</f>
        <v>20991.5728129852</v>
      </c>
    </row>
    <row r="262" spans="1:8" x14ac:dyDescent="0.35">
      <c r="A262" s="304" t="s">
        <v>1850</v>
      </c>
      <c r="B262" s="304" t="s">
        <v>1609</v>
      </c>
      <c r="D262" s="629">
        <v>2023</v>
      </c>
      <c r="E262" s="629">
        <v>2026</v>
      </c>
      <c r="F262" s="625">
        <f t="shared" si="4"/>
        <v>0.98</v>
      </c>
      <c r="G262" s="625">
        <f>RF_Capex_Opex!$D$16</f>
        <v>5705.3347119527834</v>
      </c>
      <c r="H262" s="625">
        <f>INDEX($O$10:$S$10,1,MATCH(ECT_EfficiencyCost_RF[[#This Row],[EnergyConvTech]],$O$8:$S$8,0))</f>
        <v>20991.5728129852</v>
      </c>
    </row>
    <row r="263" spans="1:8" x14ac:dyDescent="0.35">
      <c r="A263" s="304" t="s">
        <v>1850</v>
      </c>
      <c r="B263" s="304" t="s">
        <v>1609</v>
      </c>
      <c r="D263" s="629">
        <v>2024</v>
      </c>
      <c r="E263" s="629">
        <v>2026</v>
      </c>
      <c r="F263" s="625">
        <f t="shared" si="4"/>
        <v>0.98</v>
      </c>
      <c r="G263" s="625">
        <f>RF_Capex_Opex!$D$16</f>
        <v>5705.3347119527834</v>
      </c>
      <c r="H263" s="625">
        <f>INDEX($O$10:$S$10,1,MATCH(ECT_EfficiencyCost_RF[[#This Row],[EnergyConvTech]],$O$8:$S$8,0))</f>
        <v>20991.5728129852</v>
      </c>
    </row>
    <row r="264" spans="1:8" x14ac:dyDescent="0.35">
      <c r="A264" s="304" t="s">
        <v>1850</v>
      </c>
      <c r="B264" s="304" t="s">
        <v>1609</v>
      </c>
      <c r="D264" s="629">
        <v>2025</v>
      </c>
      <c r="E264" s="629">
        <v>2026</v>
      </c>
      <c r="F264" s="625">
        <f t="shared" si="4"/>
        <v>0.98</v>
      </c>
      <c r="G264" s="625">
        <f>RF_Capex_Opex!$D$16</f>
        <v>5705.3347119527834</v>
      </c>
      <c r="H264" s="625">
        <f>INDEX($O$10:$S$10,1,MATCH(ECT_EfficiencyCost_RF[[#This Row],[EnergyConvTech]],$O$8:$S$8,0))</f>
        <v>20991.5728129852</v>
      </c>
    </row>
    <row r="265" spans="1:8" x14ac:dyDescent="0.35">
      <c r="A265" s="304" t="s">
        <v>1850</v>
      </c>
      <c r="B265" s="304" t="s">
        <v>1609</v>
      </c>
      <c r="D265" s="629">
        <v>2026</v>
      </c>
      <c r="E265" s="629">
        <v>2026</v>
      </c>
      <c r="F265" s="625">
        <f t="shared" si="4"/>
        <v>0.98</v>
      </c>
      <c r="G265" s="625">
        <f>RF_Capex_Opex!$D$16</f>
        <v>5705.3347119527834</v>
      </c>
      <c r="H265" s="625">
        <f>INDEX($O$10:$S$10,1,MATCH(ECT_EfficiencyCost_RF[[#This Row],[EnergyConvTech]],$O$8:$S$8,0))</f>
        <v>20991.5728129852</v>
      </c>
    </row>
    <row r="266" spans="1:8" x14ac:dyDescent="0.35">
      <c r="A266" s="304" t="s">
        <v>1850</v>
      </c>
      <c r="B266" s="304" t="s">
        <v>1609</v>
      </c>
      <c r="D266" s="629">
        <v>2021</v>
      </c>
      <c r="E266" s="629">
        <v>2027</v>
      </c>
      <c r="F266" s="625">
        <f t="shared" si="4"/>
        <v>0.98</v>
      </c>
      <c r="G266" s="625">
        <f>RF_Capex_Opex!$D$16</f>
        <v>5705.3347119527834</v>
      </c>
      <c r="H266" s="625">
        <f>INDEX($O$10:$S$10,1,MATCH(ECT_EfficiencyCost_RF[[#This Row],[EnergyConvTech]],$O$8:$S$8,0))</f>
        <v>20991.5728129852</v>
      </c>
    </row>
    <row r="267" spans="1:8" x14ac:dyDescent="0.35">
      <c r="A267" s="304" t="s">
        <v>1850</v>
      </c>
      <c r="B267" s="304" t="s">
        <v>1609</v>
      </c>
      <c r="D267" s="629">
        <v>2022</v>
      </c>
      <c r="E267" s="629">
        <v>2027</v>
      </c>
      <c r="F267" s="625">
        <f t="shared" si="4"/>
        <v>0.98</v>
      </c>
      <c r="G267" s="625">
        <f>RF_Capex_Opex!$D$16</f>
        <v>5705.3347119527834</v>
      </c>
      <c r="H267" s="625">
        <f>INDEX($O$10:$S$10,1,MATCH(ECT_EfficiencyCost_RF[[#This Row],[EnergyConvTech]],$O$8:$S$8,0))</f>
        <v>20991.5728129852</v>
      </c>
    </row>
    <row r="268" spans="1:8" x14ac:dyDescent="0.35">
      <c r="A268" s="304" t="s">
        <v>1850</v>
      </c>
      <c r="B268" s="304" t="s">
        <v>1609</v>
      </c>
      <c r="D268" s="629">
        <v>2023</v>
      </c>
      <c r="E268" s="629">
        <v>2027</v>
      </c>
      <c r="F268" s="625">
        <f t="shared" si="4"/>
        <v>0.98</v>
      </c>
      <c r="G268" s="625">
        <f>RF_Capex_Opex!$D$16</f>
        <v>5705.3347119527834</v>
      </c>
      <c r="H268" s="625">
        <f>INDEX($O$10:$S$10,1,MATCH(ECT_EfficiencyCost_RF[[#This Row],[EnergyConvTech]],$O$8:$S$8,0))</f>
        <v>20991.5728129852</v>
      </c>
    </row>
    <row r="269" spans="1:8" x14ac:dyDescent="0.35">
      <c r="A269" s="304" t="s">
        <v>1850</v>
      </c>
      <c r="B269" s="304" t="s">
        <v>1609</v>
      </c>
      <c r="D269" s="629">
        <v>2024</v>
      </c>
      <c r="E269" s="629">
        <v>2027</v>
      </c>
      <c r="F269" s="625">
        <f t="shared" si="4"/>
        <v>0.98</v>
      </c>
      <c r="G269" s="625">
        <f>RF_Capex_Opex!$D$16</f>
        <v>5705.3347119527834</v>
      </c>
      <c r="H269" s="625">
        <f>INDEX($O$10:$S$10,1,MATCH(ECT_EfficiencyCost_RF[[#This Row],[EnergyConvTech]],$O$8:$S$8,0))</f>
        <v>20991.5728129852</v>
      </c>
    </row>
    <row r="270" spans="1:8" x14ac:dyDescent="0.35">
      <c r="A270" s="304" t="s">
        <v>1850</v>
      </c>
      <c r="B270" s="304" t="s">
        <v>1609</v>
      </c>
      <c r="D270" s="629">
        <v>2025</v>
      </c>
      <c r="E270" s="629">
        <v>2027</v>
      </c>
      <c r="F270" s="625">
        <f t="shared" si="4"/>
        <v>0.98</v>
      </c>
      <c r="G270" s="625">
        <f>RF_Capex_Opex!$D$16</f>
        <v>5705.3347119527834</v>
      </c>
      <c r="H270" s="625">
        <f>INDEX($O$10:$S$10,1,MATCH(ECT_EfficiencyCost_RF[[#This Row],[EnergyConvTech]],$O$8:$S$8,0))</f>
        <v>20991.5728129852</v>
      </c>
    </row>
    <row r="271" spans="1:8" x14ac:dyDescent="0.35">
      <c r="A271" s="304" t="s">
        <v>1850</v>
      </c>
      <c r="B271" s="304" t="s">
        <v>1609</v>
      </c>
      <c r="D271" s="629">
        <v>2026</v>
      </c>
      <c r="E271" s="629">
        <v>2027</v>
      </c>
      <c r="F271" s="625">
        <f t="shared" si="4"/>
        <v>0.98</v>
      </c>
      <c r="G271" s="625">
        <f>RF_Capex_Opex!$D$16</f>
        <v>5705.3347119527834</v>
      </c>
      <c r="H271" s="625">
        <f>INDEX($O$10:$S$10,1,MATCH(ECT_EfficiencyCost_RF[[#This Row],[EnergyConvTech]],$O$8:$S$8,0))</f>
        <v>20991.5728129852</v>
      </c>
    </row>
    <row r="272" spans="1:8" x14ac:dyDescent="0.35">
      <c r="A272" s="304" t="s">
        <v>1850</v>
      </c>
      <c r="B272" s="304" t="s">
        <v>1609</v>
      </c>
      <c r="D272" s="629">
        <v>2027</v>
      </c>
      <c r="E272" s="629">
        <v>2027</v>
      </c>
      <c r="F272" s="625">
        <f t="shared" si="4"/>
        <v>0.98</v>
      </c>
      <c r="G272" s="625">
        <f>RF_Capex_Opex!$D$16</f>
        <v>5705.3347119527834</v>
      </c>
      <c r="H272" s="625">
        <f>INDEX($O$10:$S$10,1,MATCH(ECT_EfficiencyCost_RF[[#This Row],[EnergyConvTech]],$O$8:$S$8,0))</f>
        <v>20991.5728129852</v>
      </c>
    </row>
    <row r="273" spans="1:8" x14ac:dyDescent="0.35">
      <c r="A273" s="304" t="s">
        <v>1850</v>
      </c>
      <c r="B273" s="304" t="s">
        <v>1609</v>
      </c>
      <c r="D273" s="629">
        <v>2021</v>
      </c>
      <c r="E273" s="629">
        <v>2028</v>
      </c>
      <c r="F273" s="625">
        <f t="shared" si="4"/>
        <v>0.98</v>
      </c>
      <c r="G273" s="625">
        <f>RF_Capex_Opex!$D$16</f>
        <v>5705.3347119527834</v>
      </c>
      <c r="H273" s="625">
        <f>INDEX($O$10:$S$10,1,MATCH(ECT_EfficiencyCost_RF[[#This Row],[EnergyConvTech]],$O$8:$S$8,0))</f>
        <v>20991.5728129852</v>
      </c>
    </row>
    <row r="274" spans="1:8" x14ac:dyDescent="0.35">
      <c r="A274" s="304" t="s">
        <v>1850</v>
      </c>
      <c r="B274" s="304" t="s">
        <v>1609</v>
      </c>
      <c r="D274" s="629">
        <v>2022</v>
      </c>
      <c r="E274" s="629">
        <v>2028</v>
      </c>
      <c r="F274" s="625">
        <f t="shared" si="4"/>
        <v>0.98</v>
      </c>
      <c r="G274" s="625">
        <f>RF_Capex_Opex!$D$16</f>
        <v>5705.3347119527834</v>
      </c>
      <c r="H274" s="625">
        <f>INDEX($O$10:$S$10,1,MATCH(ECT_EfficiencyCost_RF[[#This Row],[EnergyConvTech]],$O$8:$S$8,0))</f>
        <v>20991.5728129852</v>
      </c>
    </row>
    <row r="275" spans="1:8" x14ac:dyDescent="0.35">
      <c r="A275" s="304" t="s">
        <v>1850</v>
      </c>
      <c r="B275" s="304" t="s">
        <v>1609</v>
      </c>
      <c r="D275" s="629">
        <v>2023</v>
      </c>
      <c r="E275" s="629">
        <v>2028</v>
      </c>
      <c r="F275" s="625">
        <f t="shared" si="4"/>
        <v>0.98</v>
      </c>
      <c r="G275" s="625">
        <f>RF_Capex_Opex!$D$16</f>
        <v>5705.3347119527834</v>
      </c>
      <c r="H275" s="625">
        <f>INDEX($O$10:$S$10,1,MATCH(ECT_EfficiencyCost_RF[[#This Row],[EnergyConvTech]],$O$8:$S$8,0))</f>
        <v>20991.5728129852</v>
      </c>
    </row>
    <row r="276" spans="1:8" x14ac:dyDescent="0.35">
      <c r="A276" s="304" t="s">
        <v>1850</v>
      </c>
      <c r="B276" s="304" t="s">
        <v>1609</v>
      </c>
      <c r="D276" s="629">
        <v>2024</v>
      </c>
      <c r="E276" s="629">
        <v>2028</v>
      </c>
      <c r="F276" s="625">
        <f t="shared" si="4"/>
        <v>0.98</v>
      </c>
      <c r="G276" s="625">
        <f>RF_Capex_Opex!$D$16</f>
        <v>5705.3347119527834</v>
      </c>
      <c r="H276" s="625">
        <f>INDEX($O$10:$S$10,1,MATCH(ECT_EfficiencyCost_RF[[#This Row],[EnergyConvTech]],$O$8:$S$8,0))</f>
        <v>20991.5728129852</v>
      </c>
    </row>
    <row r="277" spans="1:8" x14ac:dyDescent="0.35">
      <c r="A277" s="304" t="s">
        <v>1850</v>
      </c>
      <c r="B277" s="304" t="s">
        <v>1609</v>
      </c>
      <c r="D277" s="629">
        <v>2025</v>
      </c>
      <c r="E277" s="629">
        <v>2028</v>
      </c>
      <c r="F277" s="625">
        <f t="shared" si="4"/>
        <v>0.98</v>
      </c>
      <c r="G277" s="625">
        <f>RF_Capex_Opex!$D$16</f>
        <v>5705.3347119527834</v>
      </c>
      <c r="H277" s="625">
        <f>INDEX($O$10:$S$10,1,MATCH(ECT_EfficiencyCost_RF[[#This Row],[EnergyConvTech]],$O$8:$S$8,0))</f>
        <v>20991.5728129852</v>
      </c>
    </row>
    <row r="278" spans="1:8" x14ac:dyDescent="0.35">
      <c r="A278" s="304" t="s">
        <v>1850</v>
      </c>
      <c r="B278" s="304" t="s">
        <v>1609</v>
      </c>
      <c r="D278" s="629">
        <v>2026</v>
      </c>
      <c r="E278" s="629">
        <v>2028</v>
      </c>
      <c r="F278" s="625">
        <f t="shared" si="4"/>
        <v>0.98</v>
      </c>
      <c r="G278" s="625">
        <f>RF_Capex_Opex!$D$16</f>
        <v>5705.3347119527834</v>
      </c>
      <c r="H278" s="625">
        <f>INDEX($O$10:$S$10,1,MATCH(ECT_EfficiencyCost_RF[[#This Row],[EnergyConvTech]],$O$8:$S$8,0))</f>
        <v>20991.5728129852</v>
      </c>
    </row>
    <row r="279" spans="1:8" x14ac:dyDescent="0.35">
      <c r="A279" s="304" t="s">
        <v>1850</v>
      </c>
      <c r="B279" s="304" t="s">
        <v>1609</v>
      </c>
      <c r="D279" s="629">
        <v>2027</v>
      </c>
      <c r="E279" s="629">
        <v>2028</v>
      </c>
      <c r="F279" s="625">
        <f t="shared" si="4"/>
        <v>0.98</v>
      </c>
      <c r="G279" s="625">
        <f>RF_Capex_Opex!$D$16</f>
        <v>5705.3347119527834</v>
      </c>
      <c r="H279" s="625">
        <f>INDEX($O$10:$S$10,1,MATCH(ECT_EfficiencyCost_RF[[#This Row],[EnergyConvTech]],$O$8:$S$8,0))</f>
        <v>20991.5728129852</v>
      </c>
    </row>
    <row r="280" spans="1:8" x14ac:dyDescent="0.35">
      <c r="A280" s="304" t="s">
        <v>1850</v>
      </c>
      <c r="B280" s="304" t="s">
        <v>1609</v>
      </c>
      <c r="D280" s="629">
        <v>2028</v>
      </c>
      <c r="E280" s="629">
        <v>2028</v>
      </c>
      <c r="F280" s="625">
        <f t="shared" si="4"/>
        <v>0.98</v>
      </c>
      <c r="G280" s="625">
        <f>RF_Capex_Opex!$D$16</f>
        <v>5705.3347119527834</v>
      </c>
      <c r="H280" s="625">
        <f>INDEX($O$10:$S$10,1,MATCH(ECT_EfficiencyCost_RF[[#This Row],[EnergyConvTech]],$O$8:$S$8,0))</f>
        <v>20991.5728129852</v>
      </c>
    </row>
    <row r="281" spans="1:8" x14ac:dyDescent="0.35">
      <c r="A281" s="304" t="s">
        <v>1850</v>
      </c>
      <c r="B281" s="304" t="s">
        <v>1609</v>
      </c>
      <c r="D281" s="629">
        <v>2021</v>
      </c>
      <c r="E281" s="629">
        <v>2029</v>
      </c>
      <c r="F281" s="625">
        <f t="shared" si="4"/>
        <v>0.98</v>
      </c>
      <c r="G281" s="625">
        <f>RF_Capex_Opex!$D$16</f>
        <v>5705.3347119527834</v>
      </c>
      <c r="H281" s="625">
        <f>INDEX($O$10:$S$10,1,MATCH(ECT_EfficiencyCost_RF[[#This Row],[EnergyConvTech]],$O$8:$S$8,0))</f>
        <v>20991.5728129852</v>
      </c>
    </row>
    <row r="282" spans="1:8" x14ac:dyDescent="0.35">
      <c r="A282" s="304" t="s">
        <v>1850</v>
      </c>
      <c r="B282" s="304" t="s">
        <v>1609</v>
      </c>
      <c r="D282" s="629">
        <v>2022</v>
      </c>
      <c r="E282" s="629">
        <v>2029</v>
      </c>
      <c r="F282" s="625">
        <f t="shared" si="4"/>
        <v>0.98</v>
      </c>
      <c r="G282" s="625">
        <f>RF_Capex_Opex!$D$16</f>
        <v>5705.3347119527834</v>
      </c>
      <c r="H282" s="625">
        <f>INDEX($O$10:$S$10,1,MATCH(ECT_EfficiencyCost_RF[[#This Row],[EnergyConvTech]],$O$8:$S$8,0))</f>
        <v>20991.5728129852</v>
      </c>
    </row>
    <row r="283" spans="1:8" x14ac:dyDescent="0.35">
      <c r="A283" s="304" t="s">
        <v>1850</v>
      </c>
      <c r="B283" s="304" t="s">
        <v>1609</v>
      </c>
      <c r="D283" s="629">
        <v>2023</v>
      </c>
      <c r="E283" s="629">
        <v>2029</v>
      </c>
      <c r="F283" s="625">
        <f t="shared" si="4"/>
        <v>0.98</v>
      </c>
      <c r="G283" s="625">
        <f>RF_Capex_Opex!$D$16</f>
        <v>5705.3347119527834</v>
      </c>
      <c r="H283" s="625">
        <f>INDEX($O$10:$S$10,1,MATCH(ECT_EfficiencyCost_RF[[#This Row],[EnergyConvTech]],$O$8:$S$8,0))</f>
        <v>20991.5728129852</v>
      </c>
    </row>
    <row r="284" spans="1:8" x14ac:dyDescent="0.35">
      <c r="A284" s="304" t="s">
        <v>1850</v>
      </c>
      <c r="B284" s="304" t="s">
        <v>1609</v>
      </c>
      <c r="D284" s="629">
        <v>2024</v>
      </c>
      <c r="E284" s="629">
        <v>2029</v>
      </c>
      <c r="F284" s="625">
        <f t="shared" si="4"/>
        <v>0.98</v>
      </c>
      <c r="G284" s="625">
        <f>RF_Capex_Opex!$D$16</f>
        <v>5705.3347119527834</v>
      </c>
      <c r="H284" s="625">
        <f>INDEX($O$10:$S$10,1,MATCH(ECT_EfficiencyCost_RF[[#This Row],[EnergyConvTech]],$O$8:$S$8,0))</f>
        <v>20991.5728129852</v>
      </c>
    </row>
    <row r="285" spans="1:8" x14ac:dyDescent="0.35">
      <c r="A285" s="304" t="s">
        <v>1850</v>
      </c>
      <c r="B285" s="304" t="s">
        <v>1609</v>
      </c>
      <c r="D285" s="629">
        <v>2025</v>
      </c>
      <c r="E285" s="629">
        <v>2029</v>
      </c>
      <c r="F285" s="625">
        <f t="shared" si="4"/>
        <v>0.98</v>
      </c>
      <c r="G285" s="625">
        <f>RF_Capex_Opex!$D$16</f>
        <v>5705.3347119527834</v>
      </c>
      <c r="H285" s="625">
        <f>INDEX($O$10:$S$10,1,MATCH(ECT_EfficiencyCost_RF[[#This Row],[EnergyConvTech]],$O$8:$S$8,0))</f>
        <v>20991.5728129852</v>
      </c>
    </row>
    <row r="286" spans="1:8" x14ac:dyDescent="0.35">
      <c r="A286" s="304" t="s">
        <v>1850</v>
      </c>
      <c r="B286" s="304" t="s">
        <v>1609</v>
      </c>
      <c r="D286" s="629">
        <v>2026</v>
      </c>
      <c r="E286" s="629">
        <v>2029</v>
      </c>
      <c r="F286" s="625">
        <f t="shared" si="4"/>
        <v>0.98</v>
      </c>
      <c r="G286" s="625">
        <f>RF_Capex_Opex!$D$16</f>
        <v>5705.3347119527834</v>
      </c>
      <c r="H286" s="625">
        <f>INDEX($O$10:$S$10,1,MATCH(ECT_EfficiencyCost_RF[[#This Row],[EnergyConvTech]],$O$8:$S$8,0))</f>
        <v>20991.5728129852</v>
      </c>
    </row>
    <row r="287" spans="1:8" x14ac:dyDescent="0.35">
      <c r="A287" s="304" t="s">
        <v>1850</v>
      </c>
      <c r="B287" s="304" t="s">
        <v>1609</v>
      </c>
      <c r="D287" s="629">
        <v>2027</v>
      </c>
      <c r="E287" s="629">
        <v>2029</v>
      </c>
      <c r="F287" s="625">
        <f t="shared" si="4"/>
        <v>0.98</v>
      </c>
      <c r="G287" s="625">
        <f>RF_Capex_Opex!$D$16</f>
        <v>5705.3347119527834</v>
      </c>
      <c r="H287" s="625">
        <f>INDEX($O$10:$S$10,1,MATCH(ECT_EfficiencyCost_RF[[#This Row],[EnergyConvTech]],$O$8:$S$8,0))</f>
        <v>20991.5728129852</v>
      </c>
    </row>
    <row r="288" spans="1:8" x14ac:dyDescent="0.35">
      <c r="A288" s="304" t="s">
        <v>1850</v>
      </c>
      <c r="B288" s="304" t="s">
        <v>1609</v>
      </c>
      <c r="D288" s="629">
        <v>2028</v>
      </c>
      <c r="E288" s="629">
        <v>2029</v>
      </c>
      <c r="F288" s="625">
        <f t="shared" si="4"/>
        <v>0.98</v>
      </c>
      <c r="G288" s="625">
        <f>RF_Capex_Opex!$D$16</f>
        <v>5705.3347119527834</v>
      </c>
      <c r="H288" s="625">
        <f>INDEX($O$10:$S$10,1,MATCH(ECT_EfficiencyCost_RF[[#This Row],[EnergyConvTech]],$O$8:$S$8,0))</f>
        <v>20991.5728129852</v>
      </c>
    </row>
    <row r="289" spans="1:8" x14ac:dyDescent="0.35">
      <c r="A289" s="304" t="s">
        <v>1850</v>
      </c>
      <c r="B289" s="304" t="s">
        <v>1609</v>
      </c>
      <c r="D289" s="629">
        <v>2029</v>
      </c>
      <c r="E289" s="629">
        <v>2029</v>
      </c>
      <c r="F289" s="625">
        <f t="shared" si="4"/>
        <v>0.98</v>
      </c>
      <c r="G289" s="625">
        <f>RF_Capex_Opex!$D$16</f>
        <v>5705.3347119527834</v>
      </c>
      <c r="H289" s="625">
        <f>INDEX($O$10:$S$10,1,MATCH(ECT_EfficiencyCost_RF[[#This Row],[EnergyConvTech]],$O$8:$S$8,0))</f>
        <v>20991.5728129852</v>
      </c>
    </row>
    <row r="290" spans="1:8" x14ac:dyDescent="0.35">
      <c r="A290" s="304" t="s">
        <v>1850</v>
      </c>
      <c r="B290" s="304" t="s">
        <v>1609</v>
      </c>
      <c r="D290" s="629">
        <v>2021</v>
      </c>
      <c r="E290" s="629">
        <v>2030</v>
      </c>
      <c r="F290" s="625">
        <f t="shared" si="4"/>
        <v>0.98</v>
      </c>
      <c r="G290" s="625">
        <f>RF_Capex_Opex!$D$16</f>
        <v>5705.3347119527834</v>
      </c>
      <c r="H290" s="625">
        <f>INDEX($O$10:$S$10,1,MATCH(ECT_EfficiencyCost_RF[[#This Row],[EnergyConvTech]],$O$8:$S$8,0))</f>
        <v>20991.5728129852</v>
      </c>
    </row>
    <row r="291" spans="1:8" x14ac:dyDescent="0.35">
      <c r="A291" s="304" t="s">
        <v>1850</v>
      </c>
      <c r="B291" s="304" t="s">
        <v>1609</v>
      </c>
      <c r="D291" s="629">
        <v>2022</v>
      </c>
      <c r="E291" s="629">
        <v>2030</v>
      </c>
      <c r="F291" s="625">
        <f t="shared" si="4"/>
        <v>0.98</v>
      </c>
      <c r="G291" s="625">
        <f>RF_Capex_Opex!$D$16</f>
        <v>5705.3347119527834</v>
      </c>
      <c r="H291" s="625">
        <f>INDEX($O$10:$S$10,1,MATCH(ECT_EfficiencyCost_RF[[#This Row],[EnergyConvTech]],$O$8:$S$8,0))</f>
        <v>20991.5728129852</v>
      </c>
    </row>
    <row r="292" spans="1:8" x14ac:dyDescent="0.35">
      <c r="A292" s="304" t="s">
        <v>1850</v>
      </c>
      <c r="B292" s="304" t="s">
        <v>1609</v>
      </c>
      <c r="D292" s="629">
        <v>2023</v>
      </c>
      <c r="E292" s="629">
        <v>2030</v>
      </c>
      <c r="F292" s="625">
        <f t="shared" si="4"/>
        <v>0.98</v>
      </c>
      <c r="G292" s="625">
        <f>RF_Capex_Opex!$D$16</f>
        <v>5705.3347119527834</v>
      </c>
      <c r="H292" s="625">
        <f>INDEX($O$10:$S$10,1,MATCH(ECT_EfficiencyCost_RF[[#This Row],[EnergyConvTech]],$O$8:$S$8,0))</f>
        <v>20991.5728129852</v>
      </c>
    </row>
    <row r="293" spans="1:8" x14ac:dyDescent="0.35">
      <c r="A293" s="304" t="s">
        <v>1850</v>
      </c>
      <c r="B293" s="304" t="s">
        <v>1609</v>
      </c>
      <c r="D293" s="629">
        <v>2024</v>
      </c>
      <c r="E293" s="629">
        <v>2030</v>
      </c>
      <c r="F293" s="625">
        <f t="shared" si="4"/>
        <v>0.98</v>
      </c>
      <c r="G293" s="625">
        <f>RF_Capex_Opex!$D$16</f>
        <v>5705.3347119527834</v>
      </c>
      <c r="H293" s="625">
        <f>INDEX($O$10:$S$10,1,MATCH(ECT_EfficiencyCost_RF[[#This Row],[EnergyConvTech]],$O$8:$S$8,0))</f>
        <v>20991.5728129852</v>
      </c>
    </row>
    <row r="294" spans="1:8" x14ac:dyDescent="0.35">
      <c r="A294" s="304" t="s">
        <v>1850</v>
      </c>
      <c r="B294" s="304" t="s">
        <v>1609</v>
      </c>
      <c r="D294" s="629">
        <v>2025</v>
      </c>
      <c r="E294" s="629">
        <v>2030</v>
      </c>
      <c r="F294" s="625">
        <f t="shared" si="4"/>
        <v>0.98</v>
      </c>
      <c r="G294" s="625">
        <f>RF_Capex_Opex!$D$16</f>
        <v>5705.3347119527834</v>
      </c>
      <c r="H294" s="625">
        <f>INDEX($O$10:$S$10,1,MATCH(ECT_EfficiencyCost_RF[[#This Row],[EnergyConvTech]],$O$8:$S$8,0))</f>
        <v>20991.5728129852</v>
      </c>
    </row>
    <row r="295" spans="1:8" x14ac:dyDescent="0.35">
      <c r="A295" s="304" t="s">
        <v>1850</v>
      </c>
      <c r="B295" s="304" t="s">
        <v>1609</v>
      </c>
      <c r="D295" s="629">
        <v>2026</v>
      </c>
      <c r="E295" s="629">
        <v>2030</v>
      </c>
      <c r="F295" s="625">
        <f t="shared" si="4"/>
        <v>0.98</v>
      </c>
      <c r="G295" s="625">
        <f>RF_Capex_Opex!$D$16</f>
        <v>5705.3347119527834</v>
      </c>
      <c r="H295" s="625">
        <f>INDEX($O$10:$S$10,1,MATCH(ECT_EfficiencyCost_RF[[#This Row],[EnergyConvTech]],$O$8:$S$8,0))</f>
        <v>20991.5728129852</v>
      </c>
    </row>
    <row r="296" spans="1:8" x14ac:dyDescent="0.35">
      <c r="A296" s="304" t="s">
        <v>1850</v>
      </c>
      <c r="B296" s="304" t="s">
        <v>1609</v>
      </c>
      <c r="D296" s="629">
        <v>2027</v>
      </c>
      <c r="E296" s="629">
        <v>2030</v>
      </c>
      <c r="F296" s="625">
        <f t="shared" si="4"/>
        <v>0.98</v>
      </c>
      <c r="G296" s="625">
        <f>RF_Capex_Opex!$D$16</f>
        <v>5705.3347119527834</v>
      </c>
      <c r="H296" s="625">
        <f>INDEX($O$10:$S$10,1,MATCH(ECT_EfficiencyCost_RF[[#This Row],[EnergyConvTech]],$O$8:$S$8,0))</f>
        <v>20991.5728129852</v>
      </c>
    </row>
    <row r="297" spans="1:8" x14ac:dyDescent="0.35">
      <c r="A297" s="304" t="s">
        <v>1850</v>
      </c>
      <c r="B297" s="304" t="s">
        <v>1609</v>
      </c>
      <c r="D297" s="629">
        <v>2028</v>
      </c>
      <c r="E297" s="629">
        <v>2030</v>
      </c>
      <c r="F297" s="625">
        <f t="shared" si="4"/>
        <v>0.98</v>
      </c>
      <c r="G297" s="625">
        <f>RF_Capex_Opex!$D$16</f>
        <v>5705.3347119527834</v>
      </c>
      <c r="H297" s="625">
        <f>INDEX($O$10:$S$10,1,MATCH(ECT_EfficiencyCost_RF[[#This Row],[EnergyConvTech]],$O$8:$S$8,0))</f>
        <v>20991.5728129852</v>
      </c>
    </row>
    <row r="298" spans="1:8" x14ac:dyDescent="0.35">
      <c r="A298" s="304" t="s">
        <v>1850</v>
      </c>
      <c r="B298" s="304" t="s">
        <v>1609</v>
      </c>
      <c r="D298" s="629">
        <v>2029</v>
      </c>
      <c r="E298" s="629">
        <v>2030</v>
      </c>
      <c r="F298" s="625">
        <f t="shared" si="4"/>
        <v>0.98</v>
      </c>
      <c r="G298" s="625">
        <f>RF_Capex_Opex!$D$16</f>
        <v>5705.3347119527834</v>
      </c>
      <c r="H298" s="625">
        <f>INDEX($O$10:$S$10,1,MATCH(ECT_EfficiencyCost_RF[[#This Row],[EnergyConvTech]],$O$8:$S$8,0))</f>
        <v>20991.5728129852</v>
      </c>
    </row>
    <row r="299" spans="1:8" x14ac:dyDescent="0.35">
      <c r="A299" s="304" t="s">
        <v>1850</v>
      </c>
      <c r="B299" s="304" t="s">
        <v>1609</v>
      </c>
      <c r="D299" s="629">
        <v>2030</v>
      </c>
      <c r="E299" s="629">
        <v>2030</v>
      </c>
      <c r="F299" s="625">
        <f t="shared" si="4"/>
        <v>0.98</v>
      </c>
      <c r="G299" s="625">
        <f>RF_Capex_Opex!$D$16</f>
        <v>5705.3347119527834</v>
      </c>
      <c r="H299" s="625">
        <f>INDEX($O$10:$S$10,1,MATCH(ECT_EfficiencyCost_RF[[#This Row],[EnergyConvTech]],$O$8:$S$8,0))</f>
        <v>20991.5728129852</v>
      </c>
    </row>
    <row r="300" spans="1:8" x14ac:dyDescent="0.35">
      <c r="A300" s="304" t="s">
        <v>1850</v>
      </c>
      <c r="B300" s="304" t="s">
        <v>1609</v>
      </c>
      <c r="D300" s="629">
        <v>2021</v>
      </c>
      <c r="E300" s="629">
        <v>2031</v>
      </c>
      <c r="F300" s="625">
        <f t="shared" si="4"/>
        <v>0.98</v>
      </c>
      <c r="G300" s="625">
        <f>RF_Capex_Opex!$D$16</f>
        <v>5705.3347119527834</v>
      </c>
      <c r="H300" s="625">
        <f>INDEX($O$10:$S$10,1,MATCH(ECT_EfficiencyCost_RF[[#This Row],[EnergyConvTech]],$O$8:$S$8,0))</f>
        <v>20991.5728129852</v>
      </c>
    </row>
    <row r="301" spans="1:8" x14ac:dyDescent="0.35">
      <c r="A301" s="304" t="s">
        <v>1850</v>
      </c>
      <c r="B301" s="304" t="s">
        <v>1609</v>
      </c>
      <c r="D301" s="629">
        <v>2022</v>
      </c>
      <c r="E301" s="629">
        <v>2031</v>
      </c>
      <c r="F301" s="625">
        <f t="shared" si="4"/>
        <v>0.98</v>
      </c>
      <c r="G301" s="625">
        <f>RF_Capex_Opex!$D$16</f>
        <v>5705.3347119527834</v>
      </c>
      <c r="H301" s="625">
        <f>INDEX($O$10:$S$10,1,MATCH(ECT_EfficiencyCost_RF[[#This Row],[EnergyConvTech]],$O$8:$S$8,0))</f>
        <v>20991.5728129852</v>
      </c>
    </row>
    <row r="302" spans="1:8" x14ac:dyDescent="0.35">
      <c r="A302" s="304" t="s">
        <v>1850</v>
      </c>
      <c r="B302" s="304" t="s">
        <v>1609</v>
      </c>
      <c r="D302" s="629">
        <v>2023</v>
      </c>
      <c r="E302" s="629">
        <v>2031</v>
      </c>
      <c r="F302" s="625">
        <f t="shared" si="4"/>
        <v>0.98</v>
      </c>
      <c r="G302" s="625">
        <f>RF_Capex_Opex!$D$16</f>
        <v>5705.3347119527834</v>
      </c>
      <c r="H302" s="625">
        <f>INDEX($O$10:$S$10,1,MATCH(ECT_EfficiencyCost_RF[[#This Row],[EnergyConvTech]],$O$8:$S$8,0))</f>
        <v>20991.5728129852</v>
      </c>
    </row>
    <row r="303" spans="1:8" x14ac:dyDescent="0.35">
      <c r="A303" s="304" t="s">
        <v>1850</v>
      </c>
      <c r="B303" s="304" t="s">
        <v>1609</v>
      </c>
      <c r="D303" s="629">
        <v>2024</v>
      </c>
      <c r="E303" s="629">
        <v>2031</v>
      </c>
      <c r="F303" s="625">
        <f t="shared" si="4"/>
        <v>0.98</v>
      </c>
      <c r="G303" s="625">
        <f>RF_Capex_Opex!$D$16</f>
        <v>5705.3347119527834</v>
      </c>
      <c r="H303" s="625">
        <f>INDEX($O$10:$S$10,1,MATCH(ECT_EfficiencyCost_RF[[#This Row],[EnergyConvTech]],$O$8:$S$8,0))</f>
        <v>20991.5728129852</v>
      </c>
    </row>
    <row r="304" spans="1:8" x14ac:dyDescent="0.35">
      <c r="A304" s="304" t="s">
        <v>1850</v>
      </c>
      <c r="B304" s="304" t="s">
        <v>1609</v>
      </c>
      <c r="D304" s="629">
        <v>2025</v>
      </c>
      <c r="E304" s="629">
        <v>2031</v>
      </c>
      <c r="F304" s="625">
        <f t="shared" si="4"/>
        <v>0.98</v>
      </c>
      <c r="G304" s="625">
        <f>RF_Capex_Opex!$D$16</f>
        <v>5705.3347119527834</v>
      </c>
      <c r="H304" s="625">
        <f>INDEX($O$10:$S$10,1,MATCH(ECT_EfficiencyCost_RF[[#This Row],[EnergyConvTech]],$O$8:$S$8,0))</f>
        <v>20991.5728129852</v>
      </c>
    </row>
    <row r="305" spans="1:8" x14ac:dyDescent="0.35">
      <c r="A305" s="304" t="s">
        <v>1850</v>
      </c>
      <c r="B305" s="304" t="s">
        <v>1609</v>
      </c>
      <c r="D305" s="629">
        <v>2026</v>
      </c>
      <c r="E305" s="629">
        <v>2031</v>
      </c>
      <c r="F305" s="625">
        <f t="shared" si="4"/>
        <v>0.98</v>
      </c>
      <c r="G305" s="625">
        <f>RF_Capex_Opex!$D$16</f>
        <v>5705.3347119527834</v>
      </c>
      <c r="H305" s="625">
        <f>INDEX($O$10:$S$10,1,MATCH(ECT_EfficiencyCost_RF[[#This Row],[EnergyConvTech]],$O$8:$S$8,0))</f>
        <v>20991.5728129852</v>
      </c>
    </row>
    <row r="306" spans="1:8" x14ac:dyDescent="0.35">
      <c r="A306" s="304" t="s">
        <v>1850</v>
      </c>
      <c r="B306" s="304" t="s">
        <v>1609</v>
      </c>
      <c r="D306" s="629">
        <v>2027</v>
      </c>
      <c r="E306" s="629">
        <v>2031</v>
      </c>
      <c r="F306" s="625">
        <f t="shared" si="4"/>
        <v>0.98</v>
      </c>
      <c r="G306" s="625">
        <f>RF_Capex_Opex!$D$16</f>
        <v>5705.3347119527834</v>
      </c>
      <c r="H306" s="625">
        <f>INDEX($O$10:$S$10,1,MATCH(ECT_EfficiencyCost_RF[[#This Row],[EnergyConvTech]],$O$8:$S$8,0))</f>
        <v>20991.5728129852</v>
      </c>
    </row>
    <row r="307" spans="1:8" x14ac:dyDescent="0.35">
      <c r="A307" s="304" t="s">
        <v>1850</v>
      </c>
      <c r="B307" s="304" t="s">
        <v>1609</v>
      </c>
      <c r="D307" s="629">
        <v>2028</v>
      </c>
      <c r="E307" s="629">
        <v>2031</v>
      </c>
      <c r="F307" s="625">
        <f t="shared" si="4"/>
        <v>0.98</v>
      </c>
      <c r="G307" s="625">
        <f>RF_Capex_Opex!$D$16</f>
        <v>5705.3347119527834</v>
      </c>
      <c r="H307" s="625">
        <f>INDEX($O$10:$S$10,1,MATCH(ECT_EfficiencyCost_RF[[#This Row],[EnergyConvTech]],$O$8:$S$8,0))</f>
        <v>20991.5728129852</v>
      </c>
    </row>
    <row r="308" spans="1:8" x14ac:dyDescent="0.35">
      <c r="A308" s="304" t="s">
        <v>1850</v>
      </c>
      <c r="B308" s="304" t="s">
        <v>1609</v>
      </c>
      <c r="D308" s="629">
        <v>2029</v>
      </c>
      <c r="E308" s="629">
        <v>2031</v>
      </c>
      <c r="F308" s="625">
        <f t="shared" si="4"/>
        <v>0.98</v>
      </c>
      <c r="G308" s="625">
        <f>RF_Capex_Opex!$D$16</f>
        <v>5705.3347119527834</v>
      </c>
      <c r="H308" s="625">
        <f>INDEX($O$10:$S$10,1,MATCH(ECT_EfficiencyCost_RF[[#This Row],[EnergyConvTech]],$O$8:$S$8,0))</f>
        <v>20991.5728129852</v>
      </c>
    </row>
    <row r="309" spans="1:8" x14ac:dyDescent="0.35">
      <c r="A309" s="304" t="s">
        <v>1850</v>
      </c>
      <c r="B309" s="304" t="s">
        <v>1609</v>
      </c>
      <c r="D309" s="629">
        <v>2030</v>
      </c>
      <c r="E309" s="629">
        <v>2031</v>
      </c>
      <c r="F309" s="625">
        <f t="shared" si="4"/>
        <v>0.98</v>
      </c>
      <c r="G309" s="625">
        <f>RF_Capex_Opex!$D$16</f>
        <v>5705.3347119527834</v>
      </c>
      <c r="H309" s="625">
        <f>INDEX($O$10:$S$10,1,MATCH(ECT_EfficiencyCost_RF[[#This Row],[EnergyConvTech]],$O$8:$S$8,0))</f>
        <v>20991.5728129852</v>
      </c>
    </row>
    <row r="310" spans="1:8" x14ac:dyDescent="0.35">
      <c r="A310" s="304" t="s">
        <v>1850</v>
      </c>
      <c r="B310" s="304" t="s">
        <v>1609</v>
      </c>
      <c r="D310" s="629">
        <v>2031</v>
      </c>
      <c r="E310" s="629">
        <v>2031</v>
      </c>
      <c r="F310" s="625">
        <f t="shared" si="4"/>
        <v>0.98</v>
      </c>
      <c r="G310" s="625">
        <f>RF_Capex_Opex!$D$16</f>
        <v>5705.3347119527834</v>
      </c>
      <c r="H310" s="625">
        <f>INDEX($O$10:$S$10,1,MATCH(ECT_EfficiencyCost_RF[[#This Row],[EnergyConvTech]],$O$8:$S$8,0))</f>
        <v>20991.5728129852</v>
      </c>
    </row>
    <row r="311" spans="1:8" x14ac:dyDescent="0.35">
      <c r="A311" s="304" t="s">
        <v>1851</v>
      </c>
      <c r="B311" s="304" t="s">
        <v>1609</v>
      </c>
      <c r="D311" s="629">
        <v>2020</v>
      </c>
      <c r="E311" s="629">
        <v>2021</v>
      </c>
      <c r="F311" s="625">
        <f t="shared" si="4"/>
        <v>0.98</v>
      </c>
      <c r="G311" s="625">
        <f>RF_Capex_Opex!$D$16</f>
        <v>5705.3347119527834</v>
      </c>
      <c r="H311" s="625">
        <f>INDEX($O$10:$S$10,1,MATCH(ECT_EfficiencyCost_RF[[#This Row],[EnergyConvTech]],$O$8:$S$8,0))</f>
        <v>5263.9211598497559</v>
      </c>
    </row>
    <row r="312" spans="1:8" x14ac:dyDescent="0.35">
      <c r="A312" s="304" t="s">
        <v>1851</v>
      </c>
      <c r="B312" s="304" t="s">
        <v>1609</v>
      </c>
      <c r="D312" s="629">
        <v>2020</v>
      </c>
      <c r="E312" s="629">
        <v>2022</v>
      </c>
      <c r="F312" s="625">
        <f t="shared" si="4"/>
        <v>0.98</v>
      </c>
      <c r="G312" s="625">
        <f>RF_Capex_Opex!$D$16</f>
        <v>5705.3347119527834</v>
      </c>
      <c r="H312" s="625">
        <f>INDEX($O$10:$S$10,1,MATCH(ECT_EfficiencyCost_RF[[#This Row],[EnergyConvTech]],$O$8:$S$8,0))</f>
        <v>5263.9211598497559</v>
      </c>
    </row>
    <row r="313" spans="1:8" x14ac:dyDescent="0.35">
      <c r="A313" s="304" t="s">
        <v>1851</v>
      </c>
      <c r="B313" s="304" t="s">
        <v>1609</v>
      </c>
      <c r="D313" s="629">
        <v>2020</v>
      </c>
      <c r="E313" s="629">
        <v>2023</v>
      </c>
      <c r="F313" s="625">
        <f t="shared" si="4"/>
        <v>0.98</v>
      </c>
      <c r="G313" s="625">
        <f>RF_Capex_Opex!$D$16</f>
        <v>5705.3347119527834</v>
      </c>
      <c r="H313" s="625">
        <f>INDEX($O$10:$S$10,1,MATCH(ECT_EfficiencyCost_RF[[#This Row],[EnergyConvTech]],$O$8:$S$8,0))</f>
        <v>5263.9211598497559</v>
      </c>
    </row>
    <row r="314" spans="1:8" x14ac:dyDescent="0.35">
      <c r="A314" s="304" t="s">
        <v>1851</v>
      </c>
      <c r="B314" s="304" t="s">
        <v>1609</v>
      </c>
      <c r="D314" s="629">
        <v>2020</v>
      </c>
      <c r="E314" s="629">
        <v>2024</v>
      </c>
      <c r="F314" s="625">
        <f t="shared" si="4"/>
        <v>0.98</v>
      </c>
      <c r="G314" s="625">
        <f>RF_Capex_Opex!$D$16</f>
        <v>5705.3347119527834</v>
      </c>
      <c r="H314" s="625">
        <f>INDEX($O$10:$S$10,1,MATCH(ECT_EfficiencyCost_RF[[#This Row],[EnergyConvTech]],$O$8:$S$8,0))</f>
        <v>5263.9211598497559</v>
      </c>
    </row>
    <row r="315" spans="1:8" x14ac:dyDescent="0.35">
      <c r="A315" s="304" t="s">
        <v>1851</v>
      </c>
      <c r="B315" s="304" t="s">
        <v>1609</v>
      </c>
      <c r="D315" s="629">
        <v>2020</v>
      </c>
      <c r="E315" s="629">
        <v>2025</v>
      </c>
      <c r="F315" s="625">
        <f t="shared" si="4"/>
        <v>0.98</v>
      </c>
      <c r="G315" s="625">
        <f>RF_Capex_Opex!$D$16</f>
        <v>5705.3347119527834</v>
      </c>
      <c r="H315" s="625">
        <f>INDEX($O$10:$S$10,1,MATCH(ECT_EfficiencyCost_RF[[#This Row],[EnergyConvTech]],$O$8:$S$8,0))</f>
        <v>5263.9211598497559</v>
      </c>
    </row>
    <row r="316" spans="1:8" x14ac:dyDescent="0.35">
      <c r="A316" s="304" t="s">
        <v>1851</v>
      </c>
      <c r="B316" s="304" t="s">
        <v>1609</v>
      </c>
      <c r="D316" s="629">
        <v>2020</v>
      </c>
      <c r="E316" s="629">
        <v>2026</v>
      </c>
      <c r="F316" s="625">
        <f t="shared" si="4"/>
        <v>0.98</v>
      </c>
      <c r="G316" s="625">
        <f>RF_Capex_Opex!$D$16</f>
        <v>5705.3347119527834</v>
      </c>
      <c r="H316" s="625">
        <f>INDEX($O$10:$S$10,1,MATCH(ECT_EfficiencyCost_RF[[#This Row],[EnergyConvTech]],$O$8:$S$8,0))</f>
        <v>5263.9211598497559</v>
      </c>
    </row>
    <row r="317" spans="1:8" x14ac:dyDescent="0.35">
      <c r="A317" s="304" t="s">
        <v>1851</v>
      </c>
      <c r="B317" s="304" t="s">
        <v>1609</v>
      </c>
      <c r="D317" s="629">
        <v>2020</v>
      </c>
      <c r="E317" s="629">
        <v>2027</v>
      </c>
      <c r="F317" s="625">
        <f t="shared" si="4"/>
        <v>0.98</v>
      </c>
      <c r="G317" s="625">
        <f>RF_Capex_Opex!$D$16</f>
        <v>5705.3347119527834</v>
      </c>
      <c r="H317" s="625">
        <f>INDEX($O$10:$S$10,1,MATCH(ECT_EfficiencyCost_RF[[#This Row],[EnergyConvTech]],$O$8:$S$8,0))</f>
        <v>5263.9211598497559</v>
      </c>
    </row>
    <row r="318" spans="1:8" x14ac:dyDescent="0.35">
      <c r="A318" s="304" t="s">
        <v>1851</v>
      </c>
      <c r="B318" s="304" t="s">
        <v>1609</v>
      </c>
      <c r="D318" s="629">
        <v>2020</v>
      </c>
      <c r="E318" s="629">
        <v>2028</v>
      </c>
      <c r="F318" s="625">
        <f t="shared" si="4"/>
        <v>0.98</v>
      </c>
      <c r="G318" s="625">
        <f>RF_Capex_Opex!$D$16</f>
        <v>5705.3347119527834</v>
      </c>
      <c r="H318" s="625">
        <f>INDEX($O$10:$S$10,1,MATCH(ECT_EfficiencyCost_RF[[#This Row],[EnergyConvTech]],$O$8:$S$8,0))</f>
        <v>5263.9211598497559</v>
      </c>
    </row>
    <row r="319" spans="1:8" x14ac:dyDescent="0.35">
      <c r="A319" s="304" t="s">
        <v>1851</v>
      </c>
      <c r="B319" s="304" t="s">
        <v>1609</v>
      </c>
      <c r="D319" s="629">
        <v>2020</v>
      </c>
      <c r="E319" s="629">
        <v>2029</v>
      </c>
      <c r="F319" s="625">
        <f t="shared" si="4"/>
        <v>0.98</v>
      </c>
      <c r="G319" s="625">
        <f>RF_Capex_Opex!$D$16</f>
        <v>5705.3347119527834</v>
      </c>
      <c r="H319" s="625">
        <f>INDEX($O$10:$S$10,1,MATCH(ECT_EfficiencyCost_RF[[#This Row],[EnergyConvTech]],$O$8:$S$8,0))</f>
        <v>5263.9211598497559</v>
      </c>
    </row>
    <row r="320" spans="1:8" x14ac:dyDescent="0.35">
      <c r="A320" s="304" t="s">
        <v>1851</v>
      </c>
      <c r="B320" s="304" t="s">
        <v>1609</v>
      </c>
      <c r="D320" s="629">
        <v>2020</v>
      </c>
      <c r="E320" s="629">
        <v>2030</v>
      </c>
      <c r="F320" s="625">
        <f t="shared" si="4"/>
        <v>0.98</v>
      </c>
      <c r="G320" s="625">
        <f>RF_Capex_Opex!$D$16</f>
        <v>5705.3347119527834</v>
      </c>
      <c r="H320" s="625">
        <f>INDEX($O$10:$S$10,1,MATCH(ECT_EfficiencyCost_RF[[#This Row],[EnergyConvTech]],$O$8:$S$8,0))</f>
        <v>5263.9211598497559</v>
      </c>
    </row>
    <row r="321" spans="1:8" x14ac:dyDescent="0.35">
      <c r="A321" s="304" t="s">
        <v>1851</v>
      </c>
      <c r="B321" s="304" t="s">
        <v>1609</v>
      </c>
      <c r="D321" s="629">
        <v>2020</v>
      </c>
      <c r="E321" s="629">
        <v>2031</v>
      </c>
      <c r="F321" s="625">
        <f t="shared" si="4"/>
        <v>0.98</v>
      </c>
      <c r="G321" s="625">
        <f>RF_Capex_Opex!$D$16</f>
        <v>5705.3347119527834</v>
      </c>
      <c r="H321" s="625">
        <f>INDEX($O$10:$S$10,1,MATCH(ECT_EfficiencyCost_RF[[#This Row],[EnergyConvTech]],$O$8:$S$8,0))</f>
        <v>5263.9211598497559</v>
      </c>
    </row>
    <row r="322" spans="1:8" x14ac:dyDescent="0.35">
      <c r="A322" s="304" t="s">
        <v>1851</v>
      </c>
      <c r="B322" s="304" t="s">
        <v>1609</v>
      </c>
      <c r="D322" s="629">
        <v>2021</v>
      </c>
      <c r="E322" s="629">
        <v>2021</v>
      </c>
      <c r="F322" s="625">
        <f t="shared" si="4"/>
        <v>0.98</v>
      </c>
      <c r="G322" s="625">
        <f>RF_Capex_Opex!$D$16</f>
        <v>5705.3347119527834</v>
      </c>
      <c r="H322" s="625">
        <f>INDEX($O$10:$S$10,1,MATCH(ECT_EfficiencyCost_RF[[#This Row],[EnergyConvTech]],$O$8:$S$8,0))</f>
        <v>5263.9211598497559</v>
      </c>
    </row>
    <row r="323" spans="1:8" x14ac:dyDescent="0.35">
      <c r="A323" s="304" t="s">
        <v>1851</v>
      </c>
      <c r="B323" s="304" t="s">
        <v>1609</v>
      </c>
      <c r="D323" s="629">
        <v>2021</v>
      </c>
      <c r="E323" s="629">
        <v>2022</v>
      </c>
      <c r="F323" s="625">
        <f t="shared" ref="F323:F386" si="5">$N$12</f>
        <v>0.98</v>
      </c>
      <c r="G323" s="625">
        <f>RF_Capex_Opex!$D$16</f>
        <v>5705.3347119527834</v>
      </c>
      <c r="H323" s="625">
        <f>INDEX($O$10:$S$10,1,MATCH(ECT_EfficiencyCost_RF[[#This Row],[EnergyConvTech]],$O$8:$S$8,0))</f>
        <v>5263.9211598497559</v>
      </c>
    </row>
    <row r="324" spans="1:8" x14ac:dyDescent="0.35">
      <c r="A324" s="304" t="s">
        <v>1851</v>
      </c>
      <c r="B324" s="304" t="s">
        <v>1609</v>
      </c>
      <c r="D324" s="629">
        <v>2022</v>
      </c>
      <c r="E324" s="629">
        <v>2022</v>
      </c>
      <c r="F324" s="625">
        <f t="shared" si="5"/>
        <v>0.98</v>
      </c>
      <c r="G324" s="625">
        <f>RF_Capex_Opex!$D$16</f>
        <v>5705.3347119527834</v>
      </c>
      <c r="H324" s="625">
        <f>INDEX($O$10:$S$10,1,MATCH(ECT_EfficiencyCost_RF[[#This Row],[EnergyConvTech]],$O$8:$S$8,0))</f>
        <v>5263.9211598497559</v>
      </c>
    </row>
    <row r="325" spans="1:8" x14ac:dyDescent="0.35">
      <c r="A325" s="304" t="s">
        <v>1851</v>
      </c>
      <c r="B325" s="304" t="s">
        <v>1609</v>
      </c>
      <c r="D325" s="629">
        <v>2021</v>
      </c>
      <c r="E325" s="629">
        <v>2023</v>
      </c>
      <c r="F325" s="625">
        <f t="shared" si="5"/>
        <v>0.98</v>
      </c>
      <c r="G325" s="625">
        <f>RF_Capex_Opex!$D$16</f>
        <v>5705.3347119527834</v>
      </c>
      <c r="H325" s="625">
        <f>INDEX($O$10:$S$10,1,MATCH(ECT_EfficiencyCost_RF[[#This Row],[EnergyConvTech]],$O$8:$S$8,0))</f>
        <v>5263.9211598497559</v>
      </c>
    </row>
    <row r="326" spans="1:8" x14ac:dyDescent="0.35">
      <c r="A326" s="304" t="s">
        <v>1851</v>
      </c>
      <c r="B326" s="304" t="s">
        <v>1609</v>
      </c>
      <c r="D326" s="629">
        <v>2022</v>
      </c>
      <c r="E326" s="629">
        <v>2023</v>
      </c>
      <c r="F326" s="625">
        <f t="shared" si="5"/>
        <v>0.98</v>
      </c>
      <c r="G326" s="625">
        <f>RF_Capex_Opex!$D$16</f>
        <v>5705.3347119527834</v>
      </c>
      <c r="H326" s="625">
        <f>INDEX($O$10:$S$10,1,MATCH(ECT_EfficiencyCost_RF[[#This Row],[EnergyConvTech]],$O$8:$S$8,0))</f>
        <v>5263.9211598497559</v>
      </c>
    </row>
    <row r="327" spans="1:8" x14ac:dyDescent="0.35">
      <c r="A327" s="304" t="s">
        <v>1851</v>
      </c>
      <c r="B327" s="304" t="s">
        <v>1609</v>
      </c>
      <c r="D327" s="629">
        <v>2023</v>
      </c>
      <c r="E327" s="629">
        <v>2023</v>
      </c>
      <c r="F327" s="625">
        <f t="shared" si="5"/>
        <v>0.98</v>
      </c>
      <c r="G327" s="625">
        <f>RF_Capex_Opex!$D$16</f>
        <v>5705.3347119527834</v>
      </c>
      <c r="H327" s="625">
        <f>INDEX($O$10:$S$10,1,MATCH(ECT_EfficiencyCost_RF[[#This Row],[EnergyConvTech]],$O$8:$S$8,0))</f>
        <v>5263.9211598497559</v>
      </c>
    </row>
    <row r="328" spans="1:8" x14ac:dyDescent="0.35">
      <c r="A328" s="304" t="s">
        <v>1851</v>
      </c>
      <c r="B328" s="304" t="s">
        <v>1609</v>
      </c>
      <c r="D328" s="629">
        <v>2021</v>
      </c>
      <c r="E328" s="629">
        <v>2024</v>
      </c>
      <c r="F328" s="625">
        <f t="shared" si="5"/>
        <v>0.98</v>
      </c>
      <c r="G328" s="625">
        <f>RF_Capex_Opex!$D$16</f>
        <v>5705.3347119527834</v>
      </c>
      <c r="H328" s="625">
        <f>INDEX($O$10:$S$10,1,MATCH(ECT_EfficiencyCost_RF[[#This Row],[EnergyConvTech]],$O$8:$S$8,0))</f>
        <v>5263.9211598497559</v>
      </c>
    </row>
    <row r="329" spans="1:8" x14ac:dyDescent="0.35">
      <c r="A329" s="304" t="s">
        <v>1851</v>
      </c>
      <c r="B329" s="304" t="s">
        <v>1609</v>
      </c>
      <c r="D329" s="629">
        <v>2022</v>
      </c>
      <c r="E329" s="629">
        <v>2024</v>
      </c>
      <c r="F329" s="625">
        <f t="shared" si="5"/>
        <v>0.98</v>
      </c>
      <c r="G329" s="625">
        <f>RF_Capex_Opex!$D$16</f>
        <v>5705.3347119527834</v>
      </c>
      <c r="H329" s="625">
        <f>INDEX($O$10:$S$10,1,MATCH(ECT_EfficiencyCost_RF[[#This Row],[EnergyConvTech]],$O$8:$S$8,0))</f>
        <v>5263.9211598497559</v>
      </c>
    </row>
    <row r="330" spans="1:8" x14ac:dyDescent="0.35">
      <c r="A330" s="304" t="s">
        <v>1851</v>
      </c>
      <c r="B330" s="304" t="s">
        <v>1609</v>
      </c>
      <c r="D330" s="629">
        <v>2023</v>
      </c>
      <c r="E330" s="629">
        <v>2024</v>
      </c>
      <c r="F330" s="625">
        <f t="shared" si="5"/>
        <v>0.98</v>
      </c>
      <c r="G330" s="625">
        <f>RF_Capex_Opex!$D$16</f>
        <v>5705.3347119527834</v>
      </c>
      <c r="H330" s="625">
        <f>INDEX($O$10:$S$10,1,MATCH(ECT_EfficiencyCost_RF[[#This Row],[EnergyConvTech]],$O$8:$S$8,0))</f>
        <v>5263.9211598497559</v>
      </c>
    </row>
    <row r="331" spans="1:8" x14ac:dyDescent="0.35">
      <c r="A331" s="304" t="s">
        <v>1851</v>
      </c>
      <c r="B331" s="304" t="s">
        <v>1609</v>
      </c>
      <c r="D331" s="629">
        <v>2024</v>
      </c>
      <c r="E331" s="629">
        <v>2024</v>
      </c>
      <c r="F331" s="625">
        <f t="shared" si="5"/>
        <v>0.98</v>
      </c>
      <c r="G331" s="625">
        <f>RF_Capex_Opex!$D$16</f>
        <v>5705.3347119527834</v>
      </c>
      <c r="H331" s="625">
        <f>INDEX($O$10:$S$10,1,MATCH(ECT_EfficiencyCost_RF[[#This Row],[EnergyConvTech]],$O$8:$S$8,0))</f>
        <v>5263.9211598497559</v>
      </c>
    </row>
    <row r="332" spans="1:8" x14ac:dyDescent="0.35">
      <c r="A332" s="304" t="s">
        <v>1851</v>
      </c>
      <c r="B332" s="304" t="s">
        <v>1609</v>
      </c>
      <c r="D332" s="629">
        <v>2021</v>
      </c>
      <c r="E332" s="629">
        <v>2025</v>
      </c>
      <c r="F332" s="625">
        <f t="shared" si="5"/>
        <v>0.98</v>
      </c>
      <c r="G332" s="625">
        <f>RF_Capex_Opex!$D$16</f>
        <v>5705.3347119527834</v>
      </c>
      <c r="H332" s="625">
        <f>INDEX($O$10:$S$10,1,MATCH(ECT_EfficiencyCost_RF[[#This Row],[EnergyConvTech]],$O$8:$S$8,0))</f>
        <v>5263.9211598497559</v>
      </c>
    </row>
    <row r="333" spans="1:8" x14ac:dyDescent="0.35">
      <c r="A333" s="304" t="s">
        <v>1851</v>
      </c>
      <c r="B333" s="304" t="s">
        <v>1609</v>
      </c>
      <c r="D333" s="629">
        <v>2022</v>
      </c>
      <c r="E333" s="629">
        <v>2025</v>
      </c>
      <c r="F333" s="625">
        <f t="shared" si="5"/>
        <v>0.98</v>
      </c>
      <c r="G333" s="625">
        <f>RF_Capex_Opex!$D$16</f>
        <v>5705.3347119527834</v>
      </c>
      <c r="H333" s="625">
        <f>INDEX($O$10:$S$10,1,MATCH(ECT_EfficiencyCost_RF[[#This Row],[EnergyConvTech]],$O$8:$S$8,0))</f>
        <v>5263.9211598497559</v>
      </c>
    </row>
    <row r="334" spans="1:8" x14ac:dyDescent="0.35">
      <c r="A334" s="304" t="s">
        <v>1851</v>
      </c>
      <c r="B334" s="304" t="s">
        <v>1609</v>
      </c>
      <c r="D334" s="629">
        <v>2023</v>
      </c>
      <c r="E334" s="629">
        <v>2025</v>
      </c>
      <c r="F334" s="625">
        <f t="shared" si="5"/>
        <v>0.98</v>
      </c>
      <c r="G334" s="625">
        <f>RF_Capex_Opex!$D$16</f>
        <v>5705.3347119527834</v>
      </c>
      <c r="H334" s="625">
        <f>INDEX($O$10:$S$10,1,MATCH(ECT_EfficiencyCost_RF[[#This Row],[EnergyConvTech]],$O$8:$S$8,0))</f>
        <v>5263.9211598497559</v>
      </c>
    </row>
    <row r="335" spans="1:8" x14ac:dyDescent="0.35">
      <c r="A335" s="304" t="s">
        <v>1851</v>
      </c>
      <c r="B335" s="304" t="s">
        <v>1609</v>
      </c>
      <c r="D335" s="629">
        <v>2024</v>
      </c>
      <c r="E335" s="629">
        <v>2025</v>
      </c>
      <c r="F335" s="625">
        <f t="shared" si="5"/>
        <v>0.98</v>
      </c>
      <c r="G335" s="625">
        <f>RF_Capex_Opex!$D$16</f>
        <v>5705.3347119527834</v>
      </c>
      <c r="H335" s="625">
        <f>INDEX($O$10:$S$10,1,MATCH(ECT_EfficiencyCost_RF[[#This Row],[EnergyConvTech]],$O$8:$S$8,0))</f>
        <v>5263.9211598497559</v>
      </c>
    </row>
    <row r="336" spans="1:8" x14ac:dyDescent="0.35">
      <c r="A336" s="304" t="s">
        <v>1851</v>
      </c>
      <c r="B336" s="304" t="s">
        <v>1609</v>
      </c>
      <c r="D336" s="629">
        <v>2025</v>
      </c>
      <c r="E336" s="629">
        <v>2025</v>
      </c>
      <c r="F336" s="625">
        <f t="shared" si="5"/>
        <v>0.98</v>
      </c>
      <c r="G336" s="625">
        <f>RF_Capex_Opex!$D$16</f>
        <v>5705.3347119527834</v>
      </c>
      <c r="H336" s="625">
        <f>INDEX($O$10:$S$10,1,MATCH(ECT_EfficiencyCost_RF[[#This Row],[EnergyConvTech]],$O$8:$S$8,0))</f>
        <v>5263.9211598497559</v>
      </c>
    </row>
    <row r="337" spans="1:8" x14ac:dyDescent="0.35">
      <c r="A337" s="304" t="s">
        <v>1851</v>
      </c>
      <c r="B337" s="304" t="s">
        <v>1609</v>
      </c>
      <c r="D337" s="629">
        <v>2021</v>
      </c>
      <c r="E337" s="629">
        <v>2026</v>
      </c>
      <c r="F337" s="625">
        <f t="shared" si="5"/>
        <v>0.98</v>
      </c>
      <c r="G337" s="625">
        <f>RF_Capex_Opex!$D$16</f>
        <v>5705.3347119527834</v>
      </c>
      <c r="H337" s="625">
        <f>INDEX($O$10:$S$10,1,MATCH(ECT_EfficiencyCost_RF[[#This Row],[EnergyConvTech]],$O$8:$S$8,0))</f>
        <v>5263.9211598497559</v>
      </c>
    </row>
    <row r="338" spans="1:8" x14ac:dyDescent="0.35">
      <c r="A338" s="304" t="s">
        <v>1851</v>
      </c>
      <c r="B338" s="304" t="s">
        <v>1609</v>
      </c>
      <c r="D338" s="629">
        <v>2022</v>
      </c>
      <c r="E338" s="629">
        <v>2026</v>
      </c>
      <c r="F338" s="625">
        <f t="shared" si="5"/>
        <v>0.98</v>
      </c>
      <c r="G338" s="625">
        <f>RF_Capex_Opex!$D$16</f>
        <v>5705.3347119527834</v>
      </c>
      <c r="H338" s="625">
        <f>INDEX($O$10:$S$10,1,MATCH(ECT_EfficiencyCost_RF[[#This Row],[EnergyConvTech]],$O$8:$S$8,0))</f>
        <v>5263.9211598497559</v>
      </c>
    </row>
    <row r="339" spans="1:8" x14ac:dyDescent="0.35">
      <c r="A339" s="304" t="s">
        <v>1851</v>
      </c>
      <c r="B339" s="304" t="s">
        <v>1609</v>
      </c>
      <c r="D339" s="629">
        <v>2023</v>
      </c>
      <c r="E339" s="629">
        <v>2026</v>
      </c>
      <c r="F339" s="625">
        <f t="shared" si="5"/>
        <v>0.98</v>
      </c>
      <c r="G339" s="625">
        <f>RF_Capex_Opex!$D$16</f>
        <v>5705.3347119527834</v>
      </c>
      <c r="H339" s="625">
        <f>INDEX($O$10:$S$10,1,MATCH(ECT_EfficiencyCost_RF[[#This Row],[EnergyConvTech]],$O$8:$S$8,0))</f>
        <v>5263.9211598497559</v>
      </c>
    </row>
    <row r="340" spans="1:8" x14ac:dyDescent="0.35">
      <c r="A340" s="304" t="s">
        <v>1851</v>
      </c>
      <c r="B340" s="304" t="s">
        <v>1609</v>
      </c>
      <c r="D340" s="629">
        <v>2024</v>
      </c>
      <c r="E340" s="629">
        <v>2026</v>
      </c>
      <c r="F340" s="625">
        <f t="shared" si="5"/>
        <v>0.98</v>
      </c>
      <c r="G340" s="625">
        <f>RF_Capex_Opex!$D$16</f>
        <v>5705.3347119527834</v>
      </c>
      <c r="H340" s="625">
        <f>INDEX($O$10:$S$10,1,MATCH(ECT_EfficiencyCost_RF[[#This Row],[EnergyConvTech]],$O$8:$S$8,0))</f>
        <v>5263.9211598497559</v>
      </c>
    </row>
    <row r="341" spans="1:8" x14ac:dyDescent="0.35">
      <c r="A341" s="304" t="s">
        <v>1851</v>
      </c>
      <c r="B341" s="304" t="s">
        <v>1609</v>
      </c>
      <c r="D341" s="629">
        <v>2025</v>
      </c>
      <c r="E341" s="629">
        <v>2026</v>
      </c>
      <c r="F341" s="625">
        <f t="shared" si="5"/>
        <v>0.98</v>
      </c>
      <c r="G341" s="625">
        <f>RF_Capex_Opex!$D$16</f>
        <v>5705.3347119527834</v>
      </c>
      <c r="H341" s="625">
        <f>INDEX($O$10:$S$10,1,MATCH(ECT_EfficiencyCost_RF[[#This Row],[EnergyConvTech]],$O$8:$S$8,0))</f>
        <v>5263.9211598497559</v>
      </c>
    </row>
    <row r="342" spans="1:8" x14ac:dyDescent="0.35">
      <c r="A342" s="304" t="s">
        <v>1851</v>
      </c>
      <c r="B342" s="304" t="s">
        <v>1609</v>
      </c>
      <c r="D342" s="629">
        <v>2026</v>
      </c>
      <c r="E342" s="629">
        <v>2026</v>
      </c>
      <c r="F342" s="625">
        <f t="shared" si="5"/>
        <v>0.98</v>
      </c>
      <c r="G342" s="625">
        <f>RF_Capex_Opex!$D$16</f>
        <v>5705.3347119527834</v>
      </c>
      <c r="H342" s="625">
        <f>INDEX($O$10:$S$10,1,MATCH(ECT_EfficiencyCost_RF[[#This Row],[EnergyConvTech]],$O$8:$S$8,0))</f>
        <v>5263.9211598497559</v>
      </c>
    </row>
    <row r="343" spans="1:8" x14ac:dyDescent="0.35">
      <c r="A343" s="304" t="s">
        <v>1851</v>
      </c>
      <c r="B343" s="304" t="s">
        <v>1609</v>
      </c>
      <c r="D343" s="629">
        <v>2021</v>
      </c>
      <c r="E343" s="629">
        <v>2027</v>
      </c>
      <c r="F343" s="625">
        <f t="shared" si="5"/>
        <v>0.98</v>
      </c>
      <c r="G343" s="625">
        <f>RF_Capex_Opex!$D$16</f>
        <v>5705.3347119527834</v>
      </c>
      <c r="H343" s="625">
        <f>INDEX($O$10:$S$10,1,MATCH(ECT_EfficiencyCost_RF[[#This Row],[EnergyConvTech]],$O$8:$S$8,0))</f>
        <v>5263.9211598497559</v>
      </c>
    </row>
    <row r="344" spans="1:8" x14ac:dyDescent="0.35">
      <c r="A344" s="304" t="s">
        <v>1851</v>
      </c>
      <c r="B344" s="304" t="s">
        <v>1609</v>
      </c>
      <c r="D344" s="629">
        <v>2022</v>
      </c>
      <c r="E344" s="629">
        <v>2027</v>
      </c>
      <c r="F344" s="625">
        <f t="shared" si="5"/>
        <v>0.98</v>
      </c>
      <c r="G344" s="625">
        <f>RF_Capex_Opex!$D$16</f>
        <v>5705.3347119527834</v>
      </c>
      <c r="H344" s="625">
        <f>INDEX($O$10:$S$10,1,MATCH(ECT_EfficiencyCost_RF[[#This Row],[EnergyConvTech]],$O$8:$S$8,0))</f>
        <v>5263.9211598497559</v>
      </c>
    </row>
    <row r="345" spans="1:8" x14ac:dyDescent="0.35">
      <c r="A345" s="304" t="s">
        <v>1851</v>
      </c>
      <c r="B345" s="304" t="s">
        <v>1609</v>
      </c>
      <c r="D345" s="629">
        <v>2023</v>
      </c>
      <c r="E345" s="629">
        <v>2027</v>
      </c>
      <c r="F345" s="625">
        <f t="shared" si="5"/>
        <v>0.98</v>
      </c>
      <c r="G345" s="625">
        <f>RF_Capex_Opex!$D$16</f>
        <v>5705.3347119527834</v>
      </c>
      <c r="H345" s="625">
        <f>INDEX($O$10:$S$10,1,MATCH(ECT_EfficiencyCost_RF[[#This Row],[EnergyConvTech]],$O$8:$S$8,0))</f>
        <v>5263.9211598497559</v>
      </c>
    </row>
    <row r="346" spans="1:8" x14ac:dyDescent="0.35">
      <c r="A346" s="304" t="s">
        <v>1851</v>
      </c>
      <c r="B346" s="304" t="s">
        <v>1609</v>
      </c>
      <c r="D346" s="629">
        <v>2024</v>
      </c>
      <c r="E346" s="629">
        <v>2027</v>
      </c>
      <c r="F346" s="625">
        <f t="shared" si="5"/>
        <v>0.98</v>
      </c>
      <c r="G346" s="625">
        <f>RF_Capex_Opex!$D$16</f>
        <v>5705.3347119527834</v>
      </c>
      <c r="H346" s="625">
        <f>INDEX($O$10:$S$10,1,MATCH(ECT_EfficiencyCost_RF[[#This Row],[EnergyConvTech]],$O$8:$S$8,0))</f>
        <v>5263.9211598497559</v>
      </c>
    </row>
    <row r="347" spans="1:8" x14ac:dyDescent="0.35">
      <c r="A347" s="304" t="s">
        <v>1851</v>
      </c>
      <c r="B347" s="304" t="s">
        <v>1609</v>
      </c>
      <c r="D347" s="629">
        <v>2025</v>
      </c>
      <c r="E347" s="629">
        <v>2027</v>
      </c>
      <c r="F347" s="625">
        <f t="shared" si="5"/>
        <v>0.98</v>
      </c>
      <c r="G347" s="625">
        <f>RF_Capex_Opex!$D$16</f>
        <v>5705.3347119527834</v>
      </c>
      <c r="H347" s="625">
        <f>INDEX($O$10:$S$10,1,MATCH(ECT_EfficiencyCost_RF[[#This Row],[EnergyConvTech]],$O$8:$S$8,0))</f>
        <v>5263.9211598497559</v>
      </c>
    </row>
    <row r="348" spans="1:8" x14ac:dyDescent="0.35">
      <c r="A348" s="304" t="s">
        <v>1851</v>
      </c>
      <c r="B348" s="304" t="s">
        <v>1609</v>
      </c>
      <c r="D348" s="629">
        <v>2026</v>
      </c>
      <c r="E348" s="629">
        <v>2027</v>
      </c>
      <c r="F348" s="625">
        <f t="shared" si="5"/>
        <v>0.98</v>
      </c>
      <c r="G348" s="625">
        <f>RF_Capex_Opex!$D$16</f>
        <v>5705.3347119527834</v>
      </c>
      <c r="H348" s="625">
        <f>INDEX($O$10:$S$10,1,MATCH(ECT_EfficiencyCost_RF[[#This Row],[EnergyConvTech]],$O$8:$S$8,0))</f>
        <v>5263.9211598497559</v>
      </c>
    </row>
    <row r="349" spans="1:8" x14ac:dyDescent="0.35">
      <c r="A349" s="304" t="s">
        <v>1851</v>
      </c>
      <c r="B349" s="304" t="s">
        <v>1609</v>
      </c>
      <c r="D349" s="629">
        <v>2027</v>
      </c>
      <c r="E349" s="629">
        <v>2027</v>
      </c>
      <c r="F349" s="625">
        <f t="shared" si="5"/>
        <v>0.98</v>
      </c>
      <c r="G349" s="625">
        <f>RF_Capex_Opex!$D$16</f>
        <v>5705.3347119527834</v>
      </c>
      <c r="H349" s="625">
        <f>INDEX($O$10:$S$10,1,MATCH(ECT_EfficiencyCost_RF[[#This Row],[EnergyConvTech]],$O$8:$S$8,0))</f>
        <v>5263.9211598497559</v>
      </c>
    </row>
    <row r="350" spans="1:8" x14ac:dyDescent="0.35">
      <c r="A350" s="304" t="s">
        <v>1851</v>
      </c>
      <c r="B350" s="304" t="s">
        <v>1609</v>
      </c>
      <c r="D350" s="629">
        <v>2021</v>
      </c>
      <c r="E350" s="629">
        <v>2028</v>
      </c>
      <c r="F350" s="625">
        <f t="shared" si="5"/>
        <v>0.98</v>
      </c>
      <c r="G350" s="625">
        <f>RF_Capex_Opex!$D$16</f>
        <v>5705.3347119527834</v>
      </c>
      <c r="H350" s="625">
        <f>INDEX($O$10:$S$10,1,MATCH(ECT_EfficiencyCost_RF[[#This Row],[EnergyConvTech]],$O$8:$S$8,0))</f>
        <v>5263.9211598497559</v>
      </c>
    </row>
    <row r="351" spans="1:8" x14ac:dyDescent="0.35">
      <c r="A351" s="304" t="s">
        <v>1851</v>
      </c>
      <c r="B351" s="304" t="s">
        <v>1609</v>
      </c>
      <c r="D351" s="629">
        <v>2022</v>
      </c>
      <c r="E351" s="629">
        <v>2028</v>
      </c>
      <c r="F351" s="625">
        <f t="shared" si="5"/>
        <v>0.98</v>
      </c>
      <c r="G351" s="625">
        <f>RF_Capex_Opex!$D$16</f>
        <v>5705.3347119527834</v>
      </c>
      <c r="H351" s="625">
        <f>INDEX($O$10:$S$10,1,MATCH(ECT_EfficiencyCost_RF[[#This Row],[EnergyConvTech]],$O$8:$S$8,0))</f>
        <v>5263.9211598497559</v>
      </c>
    </row>
    <row r="352" spans="1:8" x14ac:dyDescent="0.35">
      <c r="A352" s="304" t="s">
        <v>1851</v>
      </c>
      <c r="B352" s="304" t="s">
        <v>1609</v>
      </c>
      <c r="D352" s="629">
        <v>2023</v>
      </c>
      <c r="E352" s="629">
        <v>2028</v>
      </c>
      <c r="F352" s="625">
        <f t="shared" si="5"/>
        <v>0.98</v>
      </c>
      <c r="G352" s="625">
        <f>RF_Capex_Opex!$D$16</f>
        <v>5705.3347119527834</v>
      </c>
      <c r="H352" s="625">
        <f>INDEX($O$10:$S$10,1,MATCH(ECT_EfficiencyCost_RF[[#This Row],[EnergyConvTech]],$O$8:$S$8,0))</f>
        <v>5263.9211598497559</v>
      </c>
    </row>
    <row r="353" spans="1:8" x14ac:dyDescent="0.35">
      <c r="A353" s="304" t="s">
        <v>1851</v>
      </c>
      <c r="B353" s="304" t="s">
        <v>1609</v>
      </c>
      <c r="D353" s="629">
        <v>2024</v>
      </c>
      <c r="E353" s="629">
        <v>2028</v>
      </c>
      <c r="F353" s="625">
        <f t="shared" si="5"/>
        <v>0.98</v>
      </c>
      <c r="G353" s="625">
        <f>RF_Capex_Opex!$D$16</f>
        <v>5705.3347119527834</v>
      </c>
      <c r="H353" s="625">
        <f>INDEX($O$10:$S$10,1,MATCH(ECT_EfficiencyCost_RF[[#This Row],[EnergyConvTech]],$O$8:$S$8,0))</f>
        <v>5263.9211598497559</v>
      </c>
    </row>
    <row r="354" spans="1:8" x14ac:dyDescent="0.35">
      <c r="A354" s="304" t="s">
        <v>1851</v>
      </c>
      <c r="B354" s="304" t="s">
        <v>1609</v>
      </c>
      <c r="D354" s="629">
        <v>2025</v>
      </c>
      <c r="E354" s="629">
        <v>2028</v>
      </c>
      <c r="F354" s="625">
        <f t="shared" si="5"/>
        <v>0.98</v>
      </c>
      <c r="G354" s="625">
        <f>RF_Capex_Opex!$D$16</f>
        <v>5705.3347119527834</v>
      </c>
      <c r="H354" s="625">
        <f>INDEX($O$10:$S$10,1,MATCH(ECT_EfficiencyCost_RF[[#This Row],[EnergyConvTech]],$O$8:$S$8,0))</f>
        <v>5263.9211598497559</v>
      </c>
    </row>
    <row r="355" spans="1:8" x14ac:dyDescent="0.35">
      <c r="A355" s="304" t="s">
        <v>1851</v>
      </c>
      <c r="B355" s="304" t="s">
        <v>1609</v>
      </c>
      <c r="D355" s="629">
        <v>2026</v>
      </c>
      <c r="E355" s="629">
        <v>2028</v>
      </c>
      <c r="F355" s="625">
        <f t="shared" si="5"/>
        <v>0.98</v>
      </c>
      <c r="G355" s="625">
        <f>RF_Capex_Opex!$D$16</f>
        <v>5705.3347119527834</v>
      </c>
      <c r="H355" s="625">
        <f>INDEX($O$10:$S$10,1,MATCH(ECT_EfficiencyCost_RF[[#This Row],[EnergyConvTech]],$O$8:$S$8,0))</f>
        <v>5263.9211598497559</v>
      </c>
    </row>
    <row r="356" spans="1:8" x14ac:dyDescent="0.35">
      <c r="A356" s="304" t="s">
        <v>1851</v>
      </c>
      <c r="B356" s="304" t="s">
        <v>1609</v>
      </c>
      <c r="D356" s="629">
        <v>2027</v>
      </c>
      <c r="E356" s="629">
        <v>2028</v>
      </c>
      <c r="F356" s="625">
        <f t="shared" si="5"/>
        <v>0.98</v>
      </c>
      <c r="G356" s="625">
        <f>RF_Capex_Opex!$D$16</f>
        <v>5705.3347119527834</v>
      </c>
      <c r="H356" s="625">
        <f>INDEX($O$10:$S$10,1,MATCH(ECT_EfficiencyCost_RF[[#This Row],[EnergyConvTech]],$O$8:$S$8,0))</f>
        <v>5263.9211598497559</v>
      </c>
    </row>
    <row r="357" spans="1:8" x14ac:dyDescent="0.35">
      <c r="A357" s="304" t="s">
        <v>1851</v>
      </c>
      <c r="B357" s="304" t="s">
        <v>1609</v>
      </c>
      <c r="D357" s="629">
        <v>2028</v>
      </c>
      <c r="E357" s="629">
        <v>2028</v>
      </c>
      <c r="F357" s="625">
        <f t="shared" si="5"/>
        <v>0.98</v>
      </c>
      <c r="G357" s="625">
        <f>RF_Capex_Opex!$D$16</f>
        <v>5705.3347119527834</v>
      </c>
      <c r="H357" s="625">
        <f>INDEX($O$10:$S$10,1,MATCH(ECT_EfficiencyCost_RF[[#This Row],[EnergyConvTech]],$O$8:$S$8,0))</f>
        <v>5263.9211598497559</v>
      </c>
    </row>
    <row r="358" spans="1:8" x14ac:dyDescent="0.35">
      <c r="A358" s="304" t="s">
        <v>1851</v>
      </c>
      <c r="B358" s="304" t="s">
        <v>1609</v>
      </c>
      <c r="D358" s="629">
        <v>2021</v>
      </c>
      <c r="E358" s="629">
        <v>2029</v>
      </c>
      <c r="F358" s="625">
        <f t="shared" si="5"/>
        <v>0.98</v>
      </c>
      <c r="G358" s="625">
        <f>RF_Capex_Opex!$D$16</f>
        <v>5705.3347119527834</v>
      </c>
      <c r="H358" s="625">
        <f>INDEX($O$10:$S$10,1,MATCH(ECT_EfficiencyCost_RF[[#This Row],[EnergyConvTech]],$O$8:$S$8,0))</f>
        <v>5263.9211598497559</v>
      </c>
    </row>
    <row r="359" spans="1:8" x14ac:dyDescent="0.35">
      <c r="A359" s="304" t="s">
        <v>1851</v>
      </c>
      <c r="B359" s="304" t="s">
        <v>1609</v>
      </c>
      <c r="D359" s="629">
        <v>2022</v>
      </c>
      <c r="E359" s="629">
        <v>2029</v>
      </c>
      <c r="F359" s="625">
        <f t="shared" si="5"/>
        <v>0.98</v>
      </c>
      <c r="G359" s="625">
        <f>RF_Capex_Opex!$D$16</f>
        <v>5705.3347119527834</v>
      </c>
      <c r="H359" s="625">
        <f>INDEX($O$10:$S$10,1,MATCH(ECT_EfficiencyCost_RF[[#This Row],[EnergyConvTech]],$O$8:$S$8,0))</f>
        <v>5263.9211598497559</v>
      </c>
    </row>
    <row r="360" spans="1:8" x14ac:dyDescent="0.35">
      <c r="A360" s="304" t="s">
        <v>1851</v>
      </c>
      <c r="B360" s="304" t="s">
        <v>1609</v>
      </c>
      <c r="D360" s="629">
        <v>2023</v>
      </c>
      <c r="E360" s="629">
        <v>2029</v>
      </c>
      <c r="F360" s="625">
        <f t="shared" si="5"/>
        <v>0.98</v>
      </c>
      <c r="G360" s="625">
        <f>RF_Capex_Opex!$D$16</f>
        <v>5705.3347119527834</v>
      </c>
      <c r="H360" s="625">
        <f>INDEX($O$10:$S$10,1,MATCH(ECT_EfficiencyCost_RF[[#This Row],[EnergyConvTech]],$O$8:$S$8,0))</f>
        <v>5263.9211598497559</v>
      </c>
    </row>
    <row r="361" spans="1:8" x14ac:dyDescent="0.35">
      <c r="A361" s="304" t="s">
        <v>1851</v>
      </c>
      <c r="B361" s="304" t="s">
        <v>1609</v>
      </c>
      <c r="D361" s="629">
        <v>2024</v>
      </c>
      <c r="E361" s="629">
        <v>2029</v>
      </c>
      <c r="F361" s="625">
        <f t="shared" si="5"/>
        <v>0.98</v>
      </c>
      <c r="G361" s="625">
        <f>RF_Capex_Opex!$D$16</f>
        <v>5705.3347119527834</v>
      </c>
      <c r="H361" s="625">
        <f>INDEX($O$10:$S$10,1,MATCH(ECT_EfficiencyCost_RF[[#This Row],[EnergyConvTech]],$O$8:$S$8,0))</f>
        <v>5263.9211598497559</v>
      </c>
    </row>
    <row r="362" spans="1:8" x14ac:dyDescent="0.35">
      <c r="A362" s="304" t="s">
        <v>1851</v>
      </c>
      <c r="B362" s="304" t="s">
        <v>1609</v>
      </c>
      <c r="D362" s="629">
        <v>2025</v>
      </c>
      <c r="E362" s="629">
        <v>2029</v>
      </c>
      <c r="F362" s="625">
        <f t="shared" si="5"/>
        <v>0.98</v>
      </c>
      <c r="G362" s="625">
        <f>RF_Capex_Opex!$D$16</f>
        <v>5705.3347119527834</v>
      </c>
      <c r="H362" s="625">
        <f>INDEX($O$10:$S$10,1,MATCH(ECT_EfficiencyCost_RF[[#This Row],[EnergyConvTech]],$O$8:$S$8,0))</f>
        <v>5263.9211598497559</v>
      </c>
    </row>
    <row r="363" spans="1:8" x14ac:dyDescent="0.35">
      <c r="A363" s="304" t="s">
        <v>1851</v>
      </c>
      <c r="B363" s="304" t="s">
        <v>1609</v>
      </c>
      <c r="D363" s="629">
        <v>2026</v>
      </c>
      <c r="E363" s="629">
        <v>2029</v>
      </c>
      <c r="F363" s="625">
        <f t="shared" si="5"/>
        <v>0.98</v>
      </c>
      <c r="G363" s="625">
        <f>RF_Capex_Opex!$D$16</f>
        <v>5705.3347119527834</v>
      </c>
      <c r="H363" s="625">
        <f>INDEX($O$10:$S$10,1,MATCH(ECT_EfficiencyCost_RF[[#This Row],[EnergyConvTech]],$O$8:$S$8,0))</f>
        <v>5263.9211598497559</v>
      </c>
    </row>
    <row r="364" spans="1:8" x14ac:dyDescent="0.35">
      <c r="A364" s="304" t="s">
        <v>1851</v>
      </c>
      <c r="B364" s="304" t="s">
        <v>1609</v>
      </c>
      <c r="D364" s="629">
        <v>2027</v>
      </c>
      <c r="E364" s="629">
        <v>2029</v>
      </c>
      <c r="F364" s="625">
        <f t="shared" si="5"/>
        <v>0.98</v>
      </c>
      <c r="G364" s="625">
        <f>RF_Capex_Opex!$D$16</f>
        <v>5705.3347119527834</v>
      </c>
      <c r="H364" s="625">
        <f>INDEX($O$10:$S$10,1,MATCH(ECT_EfficiencyCost_RF[[#This Row],[EnergyConvTech]],$O$8:$S$8,0))</f>
        <v>5263.9211598497559</v>
      </c>
    </row>
    <row r="365" spans="1:8" x14ac:dyDescent="0.35">
      <c r="A365" s="304" t="s">
        <v>1851</v>
      </c>
      <c r="B365" s="304" t="s">
        <v>1609</v>
      </c>
      <c r="D365" s="629">
        <v>2028</v>
      </c>
      <c r="E365" s="629">
        <v>2029</v>
      </c>
      <c r="F365" s="625">
        <f t="shared" si="5"/>
        <v>0.98</v>
      </c>
      <c r="G365" s="625">
        <f>RF_Capex_Opex!$D$16</f>
        <v>5705.3347119527834</v>
      </c>
      <c r="H365" s="625">
        <f>INDEX($O$10:$S$10,1,MATCH(ECT_EfficiencyCost_RF[[#This Row],[EnergyConvTech]],$O$8:$S$8,0))</f>
        <v>5263.9211598497559</v>
      </c>
    </row>
    <row r="366" spans="1:8" x14ac:dyDescent="0.35">
      <c r="A366" s="304" t="s">
        <v>1851</v>
      </c>
      <c r="B366" s="304" t="s">
        <v>1609</v>
      </c>
      <c r="D366" s="629">
        <v>2029</v>
      </c>
      <c r="E366" s="629">
        <v>2029</v>
      </c>
      <c r="F366" s="625">
        <f t="shared" si="5"/>
        <v>0.98</v>
      </c>
      <c r="G366" s="625">
        <f>RF_Capex_Opex!$D$16</f>
        <v>5705.3347119527834</v>
      </c>
      <c r="H366" s="625">
        <f>INDEX($O$10:$S$10,1,MATCH(ECT_EfficiencyCost_RF[[#This Row],[EnergyConvTech]],$O$8:$S$8,0))</f>
        <v>5263.9211598497559</v>
      </c>
    </row>
    <row r="367" spans="1:8" x14ac:dyDescent="0.35">
      <c r="A367" s="304" t="s">
        <v>1851</v>
      </c>
      <c r="B367" s="304" t="s">
        <v>1609</v>
      </c>
      <c r="D367" s="629">
        <v>2021</v>
      </c>
      <c r="E367" s="629">
        <v>2030</v>
      </c>
      <c r="F367" s="625">
        <f t="shared" si="5"/>
        <v>0.98</v>
      </c>
      <c r="G367" s="625">
        <f>RF_Capex_Opex!$D$16</f>
        <v>5705.3347119527834</v>
      </c>
      <c r="H367" s="625">
        <f>INDEX($O$10:$S$10,1,MATCH(ECT_EfficiencyCost_RF[[#This Row],[EnergyConvTech]],$O$8:$S$8,0))</f>
        <v>5263.9211598497559</v>
      </c>
    </row>
    <row r="368" spans="1:8" x14ac:dyDescent="0.35">
      <c r="A368" s="304" t="s">
        <v>1851</v>
      </c>
      <c r="B368" s="304" t="s">
        <v>1609</v>
      </c>
      <c r="D368" s="629">
        <v>2022</v>
      </c>
      <c r="E368" s="629">
        <v>2030</v>
      </c>
      <c r="F368" s="625">
        <f t="shared" si="5"/>
        <v>0.98</v>
      </c>
      <c r="G368" s="625">
        <f>RF_Capex_Opex!$D$16</f>
        <v>5705.3347119527834</v>
      </c>
      <c r="H368" s="625">
        <f>INDEX($O$10:$S$10,1,MATCH(ECT_EfficiencyCost_RF[[#This Row],[EnergyConvTech]],$O$8:$S$8,0))</f>
        <v>5263.9211598497559</v>
      </c>
    </row>
    <row r="369" spans="1:8" x14ac:dyDescent="0.35">
      <c r="A369" s="304" t="s">
        <v>1851</v>
      </c>
      <c r="B369" s="304" t="s">
        <v>1609</v>
      </c>
      <c r="D369" s="629">
        <v>2023</v>
      </c>
      <c r="E369" s="629">
        <v>2030</v>
      </c>
      <c r="F369" s="625">
        <f t="shared" si="5"/>
        <v>0.98</v>
      </c>
      <c r="G369" s="625">
        <f>RF_Capex_Opex!$D$16</f>
        <v>5705.3347119527834</v>
      </c>
      <c r="H369" s="625">
        <f>INDEX($O$10:$S$10,1,MATCH(ECT_EfficiencyCost_RF[[#This Row],[EnergyConvTech]],$O$8:$S$8,0))</f>
        <v>5263.9211598497559</v>
      </c>
    </row>
    <row r="370" spans="1:8" x14ac:dyDescent="0.35">
      <c r="A370" s="304" t="s">
        <v>1851</v>
      </c>
      <c r="B370" s="304" t="s">
        <v>1609</v>
      </c>
      <c r="D370" s="629">
        <v>2024</v>
      </c>
      <c r="E370" s="629">
        <v>2030</v>
      </c>
      <c r="F370" s="625">
        <f t="shared" si="5"/>
        <v>0.98</v>
      </c>
      <c r="G370" s="625">
        <f>RF_Capex_Opex!$D$16</f>
        <v>5705.3347119527834</v>
      </c>
      <c r="H370" s="625">
        <f>INDEX($O$10:$S$10,1,MATCH(ECT_EfficiencyCost_RF[[#This Row],[EnergyConvTech]],$O$8:$S$8,0))</f>
        <v>5263.9211598497559</v>
      </c>
    </row>
    <row r="371" spans="1:8" x14ac:dyDescent="0.35">
      <c r="A371" s="304" t="s">
        <v>1851</v>
      </c>
      <c r="B371" s="304" t="s">
        <v>1609</v>
      </c>
      <c r="D371" s="629">
        <v>2025</v>
      </c>
      <c r="E371" s="629">
        <v>2030</v>
      </c>
      <c r="F371" s="625">
        <f t="shared" si="5"/>
        <v>0.98</v>
      </c>
      <c r="G371" s="625">
        <f>RF_Capex_Opex!$D$16</f>
        <v>5705.3347119527834</v>
      </c>
      <c r="H371" s="625">
        <f>INDEX($O$10:$S$10,1,MATCH(ECT_EfficiencyCost_RF[[#This Row],[EnergyConvTech]],$O$8:$S$8,0))</f>
        <v>5263.9211598497559</v>
      </c>
    </row>
    <row r="372" spans="1:8" x14ac:dyDescent="0.35">
      <c r="A372" s="304" t="s">
        <v>1851</v>
      </c>
      <c r="B372" s="304" t="s">
        <v>1609</v>
      </c>
      <c r="D372" s="629">
        <v>2026</v>
      </c>
      <c r="E372" s="629">
        <v>2030</v>
      </c>
      <c r="F372" s="625">
        <f t="shared" si="5"/>
        <v>0.98</v>
      </c>
      <c r="G372" s="625">
        <f>RF_Capex_Opex!$D$16</f>
        <v>5705.3347119527834</v>
      </c>
      <c r="H372" s="625">
        <f>INDEX($O$10:$S$10,1,MATCH(ECT_EfficiencyCost_RF[[#This Row],[EnergyConvTech]],$O$8:$S$8,0))</f>
        <v>5263.9211598497559</v>
      </c>
    </row>
    <row r="373" spans="1:8" x14ac:dyDescent="0.35">
      <c r="A373" s="304" t="s">
        <v>1851</v>
      </c>
      <c r="B373" s="304" t="s">
        <v>1609</v>
      </c>
      <c r="D373" s="629">
        <v>2027</v>
      </c>
      <c r="E373" s="629">
        <v>2030</v>
      </c>
      <c r="F373" s="625">
        <f t="shared" si="5"/>
        <v>0.98</v>
      </c>
      <c r="G373" s="625">
        <f>RF_Capex_Opex!$D$16</f>
        <v>5705.3347119527834</v>
      </c>
      <c r="H373" s="625">
        <f>INDEX($O$10:$S$10,1,MATCH(ECT_EfficiencyCost_RF[[#This Row],[EnergyConvTech]],$O$8:$S$8,0))</f>
        <v>5263.9211598497559</v>
      </c>
    </row>
    <row r="374" spans="1:8" x14ac:dyDescent="0.35">
      <c r="A374" s="304" t="s">
        <v>1851</v>
      </c>
      <c r="B374" s="304" t="s">
        <v>1609</v>
      </c>
      <c r="D374" s="629">
        <v>2028</v>
      </c>
      <c r="E374" s="629">
        <v>2030</v>
      </c>
      <c r="F374" s="625">
        <f t="shared" si="5"/>
        <v>0.98</v>
      </c>
      <c r="G374" s="625">
        <f>RF_Capex_Opex!$D$16</f>
        <v>5705.3347119527834</v>
      </c>
      <c r="H374" s="625">
        <f>INDEX($O$10:$S$10,1,MATCH(ECT_EfficiencyCost_RF[[#This Row],[EnergyConvTech]],$O$8:$S$8,0))</f>
        <v>5263.9211598497559</v>
      </c>
    </row>
    <row r="375" spans="1:8" x14ac:dyDescent="0.35">
      <c r="A375" s="304" t="s">
        <v>1851</v>
      </c>
      <c r="B375" s="304" t="s">
        <v>1609</v>
      </c>
      <c r="D375" s="629">
        <v>2029</v>
      </c>
      <c r="E375" s="629">
        <v>2030</v>
      </c>
      <c r="F375" s="625">
        <f t="shared" si="5"/>
        <v>0.98</v>
      </c>
      <c r="G375" s="625">
        <f>RF_Capex_Opex!$D$16</f>
        <v>5705.3347119527834</v>
      </c>
      <c r="H375" s="625">
        <f>INDEX($O$10:$S$10,1,MATCH(ECT_EfficiencyCost_RF[[#This Row],[EnergyConvTech]],$O$8:$S$8,0))</f>
        <v>5263.9211598497559</v>
      </c>
    </row>
    <row r="376" spans="1:8" x14ac:dyDescent="0.35">
      <c r="A376" s="304" t="s">
        <v>1851</v>
      </c>
      <c r="B376" s="304" t="s">
        <v>1609</v>
      </c>
      <c r="D376" s="629">
        <v>2030</v>
      </c>
      <c r="E376" s="629">
        <v>2030</v>
      </c>
      <c r="F376" s="625">
        <f t="shared" si="5"/>
        <v>0.98</v>
      </c>
      <c r="G376" s="625">
        <f>RF_Capex_Opex!$D$16</f>
        <v>5705.3347119527834</v>
      </c>
      <c r="H376" s="625">
        <f>INDEX($O$10:$S$10,1,MATCH(ECT_EfficiencyCost_RF[[#This Row],[EnergyConvTech]],$O$8:$S$8,0))</f>
        <v>5263.9211598497559</v>
      </c>
    </row>
    <row r="377" spans="1:8" x14ac:dyDescent="0.35">
      <c r="A377" s="304" t="s">
        <v>1851</v>
      </c>
      <c r="B377" s="304" t="s">
        <v>1609</v>
      </c>
      <c r="D377" s="629">
        <v>2021</v>
      </c>
      <c r="E377" s="629">
        <v>2031</v>
      </c>
      <c r="F377" s="625">
        <f t="shared" si="5"/>
        <v>0.98</v>
      </c>
      <c r="G377" s="625">
        <f>RF_Capex_Opex!$D$16</f>
        <v>5705.3347119527834</v>
      </c>
      <c r="H377" s="625">
        <f>INDEX($O$10:$S$10,1,MATCH(ECT_EfficiencyCost_RF[[#This Row],[EnergyConvTech]],$O$8:$S$8,0))</f>
        <v>5263.9211598497559</v>
      </c>
    </row>
    <row r="378" spans="1:8" x14ac:dyDescent="0.35">
      <c r="A378" s="304" t="s">
        <v>1851</v>
      </c>
      <c r="B378" s="304" t="s">
        <v>1609</v>
      </c>
      <c r="D378" s="629">
        <v>2022</v>
      </c>
      <c r="E378" s="629">
        <v>2031</v>
      </c>
      <c r="F378" s="625">
        <f t="shared" si="5"/>
        <v>0.98</v>
      </c>
      <c r="G378" s="625">
        <f>RF_Capex_Opex!$D$16</f>
        <v>5705.3347119527834</v>
      </c>
      <c r="H378" s="625">
        <f>INDEX($O$10:$S$10,1,MATCH(ECT_EfficiencyCost_RF[[#This Row],[EnergyConvTech]],$O$8:$S$8,0))</f>
        <v>5263.9211598497559</v>
      </c>
    </row>
    <row r="379" spans="1:8" x14ac:dyDescent="0.35">
      <c r="A379" s="304" t="s">
        <v>1851</v>
      </c>
      <c r="B379" s="304" t="s">
        <v>1609</v>
      </c>
      <c r="D379" s="629">
        <v>2023</v>
      </c>
      <c r="E379" s="629">
        <v>2031</v>
      </c>
      <c r="F379" s="625">
        <f t="shared" si="5"/>
        <v>0.98</v>
      </c>
      <c r="G379" s="625">
        <f>RF_Capex_Opex!$D$16</f>
        <v>5705.3347119527834</v>
      </c>
      <c r="H379" s="625">
        <f>INDEX($O$10:$S$10,1,MATCH(ECT_EfficiencyCost_RF[[#This Row],[EnergyConvTech]],$O$8:$S$8,0))</f>
        <v>5263.9211598497559</v>
      </c>
    </row>
    <row r="380" spans="1:8" x14ac:dyDescent="0.35">
      <c r="A380" s="304" t="s">
        <v>1851</v>
      </c>
      <c r="B380" s="304" t="s">
        <v>1609</v>
      </c>
      <c r="D380" s="629">
        <v>2024</v>
      </c>
      <c r="E380" s="629">
        <v>2031</v>
      </c>
      <c r="F380" s="625">
        <f t="shared" si="5"/>
        <v>0.98</v>
      </c>
      <c r="G380" s="625">
        <f>RF_Capex_Opex!$D$16</f>
        <v>5705.3347119527834</v>
      </c>
      <c r="H380" s="625">
        <f>INDEX($O$10:$S$10,1,MATCH(ECT_EfficiencyCost_RF[[#This Row],[EnergyConvTech]],$O$8:$S$8,0))</f>
        <v>5263.9211598497559</v>
      </c>
    </row>
    <row r="381" spans="1:8" x14ac:dyDescent="0.35">
      <c r="A381" s="304" t="s">
        <v>1851</v>
      </c>
      <c r="B381" s="304" t="s">
        <v>1609</v>
      </c>
      <c r="D381" s="629">
        <v>2025</v>
      </c>
      <c r="E381" s="629">
        <v>2031</v>
      </c>
      <c r="F381" s="625">
        <f t="shared" si="5"/>
        <v>0.98</v>
      </c>
      <c r="G381" s="625">
        <f>RF_Capex_Opex!$D$16</f>
        <v>5705.3347119527834</v>
      </c>
      <c r="H381" s="625">
        <f>INDEX($O$10:$S$10,1,MATCH(ECT_EfficiencyCost_RF[[#This Row],[EnergyConvTech]],$O$8:$S$8,0))</f>
        <v>5263.9211598497559</v>
      </c>
    </row>
    <row r="382" spans="1:8" x14ac:dyDescent="0.35">
      <c r="A382" s="304" t="s">
        <v>1851</v>
      </c>
      <c r="B382" s="304" t="s">
        <v>1609</v>
      </c>
      <c r="D382" s="629">
        <v>2026</v>
      </c>
      <c r="E382" s="629">
        <v>2031</v>
      </c>
      <c r="F382" s="625">
        <f t="shared" si="5"/>
        <v>0.98</v>
      </c>
      <c r="G382" s="625">
        <f>RF_Capex_Opex!$D$16</f>
        <v>5705.3347119527834</v>
      </c>
      <c r="H382" s="625">
        <f>INDEX($O$10:$S$10,1,MATCH(ECT_EfficiencyCost_RF[[#This Row],[EnergyConvTech]],$O$8:$S$8,0))</f>
        <v>5263.9211598497559</v>
      </c>
    </row>
    <row r="383" spans="1:8" x14ac:dyDescent="0.35">
      <c r="A383" s="304" t="s">
        <v>1851</v>
      </c>
      <c r="B383" s="304" t="s">
        <v>1609</v>
      </c>
      <c r="D383" s="629">
        <v>2027</v>
      </c>
      <c r="E383" s="629">
        <v>2031</v>
      </c>
      <c r="F383" s="625">
        <f t="shared" si="5"/>
        <v>0.98</v>
      </c>
      <c r="G383" s="625">
        <f>RF_Capex_Opex!$D$16</f>
        <v>5705.3347119527834</v>
      </c>
      <c r="H383" s="625">
        <f>INDEX($O$10:$S$10,1,MATCH(ECT_EfficiencyCost_RF[[#This Row],[EnergyConvTech]],$O$8:$S$8,0))</f>
        <v>5263.9211598497559</v>
      </c>
    </row>
    <row r="384" spans="1:8" x14ac:dyDescent="0.35">
      <c r="A384" s="304" t="s">
        <v>1851</v>
      </c>
      <c r="B384" s="304" t="s">
        <v>1609</v>
      </c>
      <c r="D384" s="629">
        <v>2028</v>
      </c>
      <c r="E384" s="629">
        <v>2031</v>
      </c>
      <c r="F384" s="625">
        <f t="shared" si="5"/>
        <v>0.98</v>
      </c>
      <c r="G384" s="625">
        <f>RF_Capex_Opex!$D$16</f>
        <v>5705.3347119527834</v>
      </c>
      <c r="H384" s="625">
        <f>INDEX($O$10:$S$10,1,MATCH(ECT_EfficiencyCost_RF[[#This Row],[EnergyConvTech]],$O$8:$S$8,0))</f>
        <v>5263.9211598497559</v>
      </c>
    </row>
    <row r="385" spans="1:8" x14ac:dyDescent="0.35">
      <c r="A385" s="304" t="s">
        <v>1851</v>
      </c>
      <c r="B385" s="304" t="s">
        <v>1609</v>
      </c>
      <c r="D385" s="629">
        <v>2029</v>
      </c>
      <c r="E385" s="629">
        <v>2031</v>
      </c>
      <c r="F385" s="625">
        <f t="shared" si="5"/>
        <v>0.98</v>
      </c>
      <c r="G385" s="625">
        <f>RF_Capex_Opex!$D$16</f>
        <v>5705.3347119527834</v>
      </c>
      <c r="H385" s="625">
        <f>INDEX($O$10:$S$10,1,MATCH(ECT_EfficiencyCost_RF[[#This Row],[EnergyConvTech]],$O$8:$S$8,0))</f>
        <v>5263.9211598497559</v>
      </c>
    </row>
    <row r="386" spans="1:8" x14ac:dyDescent="0.35">
      <c r="A386" s="304" t="s">
        <v>1851</v>
      </c>
      <c r="B386" s="304" t="s">
        <v>1609</v>
      </c>
      <c r="D386" s="629">
        <v>2030</v>
      </c>
      <c r="E386" s="629">
        <v>2031</v>
      </c>
      <c r="F386" s="625">
        <f t="shared" si="5"/>
        <v>0.98</v>
      </c>
      <c r="G386" s="625">
        <f>RF_Capex_Opex!$D$16</f>
        <v>5705.3347119527834</v>
      </c>
      <c r="H386" s="625">
        <f>INDEX($O$10:$S$10,1,MATCH(ECT_EfficiencyCost_RF[[#This Row],[EnergyConvTech]],$O$8:$S$8,0))</f>
        <v>5263.9211598497559</v>
      </c>
    </row>
    <row r="387" spans="1:8" x14ac:dyDescent="0.35">
      <c r="A387" s="304" t="s">
        <v>1851</v>
      </c>
      <c r="B387" s="304" t="s">
        <v>1609</v>
      </c>
      <c r="D387" s="629">
        <v>2031</v>
      </c>
      <c r="E387" s="629">
        <v>2031</v>
      </c>
      <c r="F387" s="625">
        <f>$N$12</f>
        <v>0.98</v>
      </c>
      <c r="G387" s="625">
        <f>RF_Capex_Opex!$D$16</f>
        <v>5705.3347119527834</v>
      </c>
      <c r="H387" s="625">
        <f>INDEX($O$10:$S$10,1,MATCH(ECT_EfficiencyCost_RF[[#This Row],[EnergyConvTech]],$O$8:$S$8,0))</f>
        <v>5263.9211598497559</v>
      </c>
    </row>
    <row r="388" spans="1:8" x14ac:dyDescent="0.35">
      <c r="D388" s="629"/>
      <c r="E388" s="629"/>
      <c r="F388" s="625"/>
      <c r="G388" s="625"/>
      <c r="H388" s="625"/>
    </row>
    <row r="389" spans="1:8" x14ac:dyDescent="0.35">
      <c r="D389" s="629"/>
      <c r="E389" s="629"/>
      <c r="F389" s="625"/>
      <c r="G389" s="625"/>
      <c r="H389" s="625"/>
    </row>
    <row r="390" spans="1:8" x14ac:dyDescent="0.35">
      <c r="D390" s="629"/>
      <c r="E390" s="629"/>
      <c r="F390" s="625"/>
      <c r="G390" s="625"/>
      <c r="H390" s="625"/>
    </row>
    <row r="391" spans="1:8" x14ac:dyDescent="0.35">
      <c r="D391" s="629"/>
      <c r="E391" s="629"/>
      <c r="F391" s="625"/>
      <c r="G391" s="625"/>
      <c r="H391" s="625"/>
    </row>
    <row r="392" spans="1:8" x14ac:dyDescent="0.35">
      <c r="D392" s="629"/>
      <c r="E392" s="629"/>
      <c r="F392" s="625"/>
      <c r="G392" s="625"/>
      <c r="H392" s="625"/>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4"/>
  <sheetViews>
    <sheetView zoomScaleNormal="100" workbookViewId="0"/>
  </sheetViews>
  <sheetFormatPr defaultColWidth="8.7265625" defaultRowHeight="14.5" x14ac:dyDescent="0.35"/>
  <cols>
    <col min="1" max="1" width="11.54296875" style="304" bestFit="1" customWidth="1"/>
    <col min="2" max="2" width="24.7265625" style="304" customWidth="1"/>
    <col min="3" max="3" width="19.26953125" style="304" customWidth="1"/>
    <col min="4" max="4" width="27.26953125" style="304" bestFit="1" customWidth="1"/>
    <col min="5" max="6" width="27.26953125" style="304" customWidth="1"/>
    <col min="7" max="7" width="27" style="304" bestFit="1" customWidth="1"/>
    <col min="8" max="8" width="23.453125" style="304" bestFit="1" customWidth="1"/>
    <col min="9" max="12" width="27.26953125" style="304" customWidth="1"/>
    <col min="13" max="13" width="84" style="304" customWidth="1"/>
    <col min="14" max="14" width="28" style="304" bestFit="1" customWidth="1"/>
    <col min="15" max="16384" width="8.7265625" style="304"/>
  </cols>
  <sheetData>
    <row r="1" spans="1:16" x14ac:dyDescent="0.35">
      <c r="A1" s="29" t="s">
        <v>1910</v>
      </c>
    </row>
    <row r="2" spans="1:16" x14ac:dyDescent="0.35">
      <c r="B2" s="304" t="s">
        <v>1911</v>
      </c>
    </row>
    <row r="3" spans="1:16" x14ac:dyDescent="0.35">
      <c r="A3" s="418"/>
    </row>
    <row r="4" spans="1:16" ht="15" thickBot="1" x14ac:dyDescent="0.4">
      <c r="A4" s="693" t="s">
        <v>1620</v>
      </c>
    </row>
    <row r="5" spans="1:16" ht="15" thickBot="1" x14ac:dyDescent="0.4">
      <c r="B5" s="447"/>
      <c r="C5" s="473" t="s">
        <v>1584</v>
      </c>
      <c r="D5" s="473" t="s">
        <v>249</v>
      </c>
      <c r="E5" s="474" t="s">
        <v>1588</v>
      </c>
      <c r="F5" s="420"/>
      <c r="G5" s="420"/>
      <c r="H5" s="420"/>
      <c r="I5" s="420"/>
      <c r="J5" s="420"/>
      <c r="K5" s="420"/>
      <c r="L5" s="420"/>
    </row>
    <row r="6" spans="1:16" ht="72.5" x14ac:dyDescent="0.35">
      <c r="A6" s="151"/>
      <c r="B6" s="475" t="s">
        <v>1467</v>
      </c>
      <c r="C6" s="476">
        <v>4.2645778938207091E-2</v>
      </c>
      <c r="D6" s="694" t="s">
        <v>1520</v>
      </c>
      <c r="E6" s="695" t="s">
        <v>1590</v>
      </c>
      <c r="F6" s="391"/>
      <c r="G6" s="391"/>
      <c r="H6" s="391"/>
      <c r="I6" s="391"/>
      <c r="J6" s="391"/>
      <c r="K6" s="391"/>
      <c r="L6" s="391"/>
    </row>
    <row r="7" spans="1:16" ht="72.5" x14ac:dyDescent="0.35">
      <c r="A7" s="151"/>
      <c r="B7" s="448" t="s">
        <v>1468</v>
      </c>
      <c r="C7" s="449">
        <v>0.04</v>
      </c>
      <c r="D7" s="696" t="s">
        <v>1586</v>
      </c>
      <c r="E7" s="697" t="s">
        <v>1587</v>
      </c>
      <c r="F7" s="381"/>
      <c r="G7" s="381"/>
      <c r="H7" s="381"/>
      <c r="I7" s="381"/>
      <c r="J7" s="381"/>
      <c r="K7" s="381"/>
      <c r="L7" s="381"/>
    </row>
    <row r="8" spans="1:16" ht="58" x14ac:dyDescent="0.35">
      <c r="A8" s="151"/>
      <c r="B8" s="448" t="s">
        <v>1519</v>
      </c>
      <c r="C8" s="449">
        <v>0.02</v>
      </c>
      <c r="D8" s="696" t="s">
        <v>1585</v>
      </c>
      <c r="E8" s="697" t="s">
        <v>1589</v>
      </c>
      <c r="F8" s="381"/>
      <c r="G8" s="381"/>
      <c r="H8" s="381"/>
      <c r="I8" s="381"/>
      <c r="J8" s="381"/>
      <c r="K8" s="381"/>
      <c r="L8" s="381"/>
    </row>
    <row r="9" spans="1:16" x14ac:dyDescent="0.35">
      <c r="A9" s="151"/>
      <c r="B9" s="448" t="s">
        <v>1527</v>
      </c>
      <c r="C9" s="449">
        <v>0.1</v>
      </c>
      <c r="D9" s="696" t="s">
        <v>1597</v>
      </c>
      <c r="E9" s="697"/>
      <c r="F9" s="381"/>
      <c r="G9" s="381"/>
      <c r="H9" s="381"/>
      <c r="I9" s="381"/>
      <c r="J9" s="381"/>
      <c r="K9" s="381"/>
      <c r="L9" s="381"/>
    </row>
    <row r="10" spans="1:16" ht="15" thickBot="1" x14ac:dyDescent="0.4">
      <c r="A10" s="151"/>
      <c r="B10" s="450" t="s">
        <v>1596</v>
      </c>
      <c r="C10" s="451">
        <f>(1+C9)/(1+C7)-1</f>
        <v>5.7692307692307709E-2</v>
      </c>
      <c r="D10" s="698" t="s">
        <v>1162</v>
      </c>
      <c r="E10" s="699"/>
      <c r="F10" s="381"/>
      <c r="G10" s="381"/>
      <c r="H10" s="381"/>
      <c r="I10" s="381"/>
      <c r="J10" s="381"/>
      <c r="K10" s="381"/>
      <c r="L10" s="381"/>
    </row>
    <row r="11" spans="1:16" x14ac:dyDescent="0.35">
      <c r="A11" s="151"/>
      <c r="B11" s="382"/>
      <c r="C11" s="151"/>
      <c r="D11" s="381"/>
      <c r="E11" s="381"/>
      <c r="F11" s="381"/>
      <c r="G11" s="381"/>
      <c r="H11" s="381"/>
      <c r="I11" s="381"/>
      <c r="J11" s="381"/>
      <c r="K11" s="381"/>
      <c r="L11" s="381"/>
      <c r="M11" s="382"/>
    </row>
    <row r="12" spans="1:16" ht="15" thickBot="1" x14ac:dyDescent="0.4">
      <c r="A12" s="446" t="s">
        <v>1919</v>
      </c>
      <c r="B12" s="382"/>
      <c r="C12" s="151"/>
      <c r="D12" s="381"/>
      <c r="E12" s="381"/>
      <c r="F12" s="381"/>
      <c r="G12" s="381"/>
      <c r="H12" s="381"/>
      <c r="I12" s="381"/>
      <c r="J12" s="381"/>
      <c r="K12" s="381"/>
      <c r="L12" s="381"/>
      <c r="M12" s="382"/>
    </row>
    <row r="13" spans="1:16" ht="15" thickBot="1" x14ac:dyDescent="0.4">
      <c r="B13" s="466" t="s">
        <v>1561</v>
      </c>
      <c r="C13" s="467" t="s">
        <v>1621</v>
      </c>
      <c r="D13" s="468" t="s">
        <v>1622</v>
      </c>
      <c r="E13" s="418"/>
      <c r="P13" s="382"/>
    </row>
    <row r="14" spans="1:16" x14ac:dyDescent="0.35">
      <c r="A14" s="478"/>
      <c r="B14" s="452" t="s">
        <v>1612</v>
      </c>
      <c r="C14" s="459">
        <v>1.7235807818078985E-3</v>
      </c>
      <c r="D14" s="469">
        <v>0</v>
      </c>
      <c r="E14" s="418"/>
    </row>
    <row r="15" spans="1:16" x14ac:dyDescent="0.35">
      <c r="A15" s="478"/>
      <c r="B15" s="452" t="s">
        <v>1613</v>
      </c>
      <c r="C15" s="459">
        <v>1.7235807818078985E-3</v>
      </c>
      <c r="D15" s="469">
        <v>0</v>
      </c>
      <c r="E15" s="418"/>
    </row>
    <row r="16" spans="1:16" x14ac:dyDescent="0.35">
      <c r="A16" s="478"/>
      <c r="B16" s="452" t="s">
        <v>1614</v>
      </c>
      <c r="C16" s="459">
        <v>1.7235807818078985E-3</v>
      </c>
      <c r="D16" s="469">
        <v>0</v>
      </c>
      <c r="E16" s="418"/>
    </row>
    <row r="17" spans="1:12" x14ac:dyDescent="0.35">
      <c r="A17" s="171"/>
      <c r="B17" s="452" t="s">
        <v>1604</v>
      </c>
      <c r="C17" s="459">
        <f>0%</f>
        <v>0</v>
      </c>
      <c r="D17" s="469">
        <v>0</v>
      </c>
      <c r="E17" s="459"/>
    </row>
    <row r="18" spans="1:12" x14ac:dyDescent="0.35">
      <c r="A18" s="478"/>
      <c r="B18" s="452" t="s">
        <v>1615</v>
      </c>
      <c r="C18" s="459">
        <f>0%</f>
        <v>0</v>
      </c>
      <c r="D18" s="469">
        <v>0</v>
      </c>
      <c r="E18" s="459"/>
    </row>
    <row r="19" spans="1:12" x14ac:dyDescent="0.35">
      <c r="A19" s="171"/>
      <c r="B19" s="452" t="s">
        <v>1603</v>
      </c>
      <c r="C19" s="459">
        <f>0%</f>
        <v>0</v>
      </c>
      <c r="D19" s="469">
        <v>0</v>
      </c>
      <c r="E19" s="459"/>
    </row>
    <row r="20" spans="1:12" x14ac:dyDescent="0.35">
      <c r="A20" s="171"/>
      <c r="B20" s="452" t="s">
        <v>1605</v>
      </c>
      <c r="C20" s="459">
        <f>0%</f>
        <v>0</v>
      </c>
      <c r="D20" s="469">
        <v>0</v>
      </c>
      <c r="E20" s="459"/>
    </row>
    <row r="21" spans="1:12" x14ac:dyDescent="0.35">
      <c r="A21" s="375"/>
      <c r="B21" s="452" t="s">
        <v>1636</v>
      </c>
      <c r="C21" s="459">
        <f>-$C$7</f>
        <v>-0.04</v>
      </c>
      <c r="D21" s="469">
        <v>-0.02</v>
      </c>
      <c r="E21" s="459"/>
    </row>
    <row r="22" spans="1:12" ht="15" thickBot="1" x14ac:dyDescent="0.4">
      <c r="A22" s="375"/>
      <c r="B22" s="455" t="s">
        <v>1606</v>
      </c>
      <c r="C22" s="470">
        <f>-$C$7</f>
        <v>-0.04</v>
      </c>
      <c r="D22" s="471">
        <v>-0.01</v>
      </c>
      <c r="E22" s="459"/>
    </row>
    <row r="23" spans="1:12" x14ac:dyDescent="0.35">
      <c r="A23" s="29" t="s">
        <v>1169</v>
      </c>
    </row>
    <row r="24" spans="1:12" x14ac:dyDescent="0.35">
      <c r="B24" s="375" t="s">
        <v>1918</v>
      </c>
    </row>
    <row r="25" spans="1:12" x14ac:dyDescent="0.35">
      <c r="A25" s="29"/>
      <c r="B25" t="s">
        <v>1621</v>
      </c>
      <c r="C25" s="304" t="s">
        <v>1632</v>
      </c>
      <c r="D25" s="170" t="s">
        <v>1514</v>
      </c>
    </row>
    <row r="26" spans="1:12" x14ac:dyDescent="0.35">
      <c r="B26" s="304" t="s">
        <v>1621</v>
      </c>
      <c r="C26" s="139" t="s">
        <v>1634</v>
      </c>
      <c r="D26" s="170" t="s">
        <v>1616</v>
      </c>
      <c r="G26" s="139"/>
      <c r="H26" s="139"/>
      <c r="I26" s="139"/>
      <c r="K26" s="390"/>
      <c r="L26" s="390"/>
    </row>
    <row r="27" spans="1:12" x14ac:dyDescent="0.35">
      <c r="B27" s="304" t="s">
        <v>1621</v>
      </c>
      <c r="C27" s="304" t="s">
        <v>1637</v>
      </c>
      <c r="D27" s="170" t="s">
        <v>1617</v>
      </c>
      <c r="G27" s="139"/>
      <c r="H27" s="139"/>
      <c r="I27" s="139"/>
      <c r="K27" s="390"/>
      <c r="L27" s="390"/>
    </row>
    <row r="28" spans="1:12" x14ac:dyDescent="0.35">
      <c r="B28" s="304" t="s">
        <v>1622</v>
      </c>
      <c r="C28" s="304" t="s">
        <v>1636</v>
      </c>
      <c r="D28" s="170" t="s">
        <v>2001</v>
      </c>
      <c r="G28" s="437"/>
      <c r="H28" s="437"/>
      <c r="I28" s="379"/>
      <c r="J28" s="390"/>
      <c r="L28" s="390"/>
    </row>
    <row r="29" spans="1:12" x14ac:dyDescent="0.35">
      <c r="B29" s="304" t="s">
        <v>1622</v>
      </c>
      <c r="C29" s="304" t="s">
        <v>1606</v>
      </c>
      <c r="D29" s="170" t="s">
        <v>2002</v>
      </c>
      <c r="G29" s="139"/>
      <c r="H29" s="139"/>
      <c r="I29" s="139"/>
      <c r="J29" s="139"/>
      <c r="K29" s="139"/>
      <c r="L29" s="139"/>
    </row>
    <row r="30" spans="1:12" x14ac:dyDescent="0.35">
      <c r="B30" s="304" t="s">
        <v>1622</v>
      </c>
      <c r="C30" s="139" t="s">
        <v>1615</v>
      </c>
      <c r="D30" s="437" t="s">
        <v>1515</v>
      </c>
      <c r="E30" s="437"/>
      <c r="F30" s="139"/>
      <c r="G30" s="139"/>
      <c r="H30" s="139"/>
      <c r="I30" s="139"/>
      <c r="J30" s="139"/>
      <c r="K30" s="139"/>
      <c r="L30" s="139"/>
    </row>
    <row r="31" spans="1:12" x14ac:dyDescent="0.35">
      <c r="B31" s="304" t="s">
        <v>1622</v>
      </c>
      <c r="C31" s="304" t="s">
        <v>683</v>
      </c>
      <c r="D31" s="170" t="s">
        <v>1616</v>
      </c>
      <c r="G31" s="139"/>
    </row>
    <row r="32" spans="1:12" x14ac:dyDescent="0.35">
      <c r="G32" s="139"/>
      <c r="H32" s="139"/>
      <c r="I32" s="139"/>
      <c r="J32" s="139"/>
      <c r="K32" s="139"/>
      <c r="L32" s="139"/>
    </row>
    <row r="33" spans="1:16" x14ac:dyDescent="0.35">
      <c r="B33" s="139"/>
      <c r="C33" s="139"/>
      <c r="D33" s="437"/>
      <c r="E33" s="437"/>
      <c r="F33" s="139"/>
      <c r="G33" s="139"/>
    </row>
    <row r="34" spans="1:16" x14ac:dyDescent="0.35">
      <c r="A34" s="29" t="s">
        <v>2003</v>
      </c>
      <c r="D34" s="180"/>
      <c r="E34" s="437"/>
      <c r="F34" s="139"/>
      <c r="G34" s="139"/>
      <c r="H34" s="437"/>
      <c r="I34" s="379"/>
      <c r="J34" s="390"/>
      <c r="K34" s="390"/>
      <c r="L34" s="390"/>
    </row>
    <row r="35" spans="1:16" x14ac:dyDescent="0.35">
      <c r="A35" s="29"/>
      <c r="B35" s="304" t="s">
        <v>1927</v>
      </c>
      <c r="D35" s="180"/>
      <c r="E35" s="437"/>
      <c r="F35" s="139"/>
      <c r="G35" s="139"/>
      <c r="H35" s="437"/>
      <c r="I35" s="379"/>
      <c r="J35" s="390"/>
      <c r="K35" s="390"/>
      <c r="L35" s="390"/>
    </row>
    <row r="36" spans="1:16" x14ac:dyDescent="0.35">
      <c r="A36" s="29"/>
      <c r="B36" s="304" t="s">
        <v>2004</v>
      </c>
      <c r="D36" s="180"/>
      <c r="E36" s="437"/>
      <c r="F36" s="139"/>
      <c r="G36" s="139"/>
      <c r="H36" s="437"/>
      <c r="I36" s="379"/>
      <c r="J36" s="390"/>
      <c r="K36" s="390"/>
      <c r="L36" s="390"/>
    </row>
    <row r="37" spans="1:16" x14ac:dyDescent="0.35">
      <c r="A37" s="29"/>
      <c r="B37" s="304" t="s">
        <v>1931</v>
      </c>
      <c r="D37" s="180"/>
      <c r="E37" s="437"/>
      <c r="F37" s="139"/>
      <c r="G37" s="139"/>
      <c r="H37" s="437"/>
      <c r="I37" s="379"/>
      <c r="J37" s="390"/>
      <c r="K37" s="390"/>
      <c r="L37" s="390"/>
    </row>
    <row r="38" spans="1:16" ht="15" thickBot="1" x14ac:dyDescent="0.4">
      <c r="A38" s="29"/>
      <c r="D38" s="180"/>
      <c r="E38" s="437"/>
      <c r="F38" s="139"/>
      <c r="G38" s="139"/>
      <c r="H38" s="437"/>
      <c r="I38" s="379"/>
      <c r="J38" s="390"/>
      <c r="K38" s="390"/>
      <c r="L38" s="390"/>
    </row>
    <row r="39" spans="1:16" ht="15" thickBot="1" x14ac:dyDescent="0.4">
      <c r="B39" s="466" t="s">
        <v>1561</v>
      </c>
      <c r="C39" s="709" t="s">
        <v>153</v>
      </c>
      <c r="D39" s="501" t="s">
        <v>1618</v>
      </c>
      <c r="E39" s="501" t="s">
        <v>1627</v>
      </c>
      <c r="F39" s="531" t="s">
        <v>1623</v>
      </c>
      <c r="G39" s="508" t="s">
        <v>1624</v>
      </c>
      <c r="H39" s="418"/>
      <c r="I39" s="215"/>
      <c r="J39" s="215"/>
      <c r="K39" s="215"/>
      <c r="L39" s="437"/>
      <c r="M39" s="379"/>
      <c r="N39" s="390"/>
      <c r="O39" s="390"/>
      <c r="P39" s="390"/>
    </row>
    <row r="40" spans="1:16" x14ac:dyDescent="0.35">
      <c r="B40" s="452" t="s">
        <v>1612</v>
      </c>
      <c r="C40" s="375"/>
      <c r="D40" s="418"/>
      <c r="E40" s="418"/>
      <c r="F40" s="461">
        <f>Levelised_Fixed_Costs!$C$43</f>
        <v>9928.6887826901675</v>
      </c>
      <c r="G40" s="506">
        <f t="shared" ref="G40:G48" si="0">F40*(1+D14)^2</f>
        <v>9928.6887826901675</v>
      </c>
      <c r="H40" s="418"/>
      <c r="I40" s="462"/>
      <c r="J40" s="462"/>
      <c r="K40" s="419"/>
      <c r="L40" s="437"/>
      <c r="M40" s="379"/>
      <c r="N40" s="390"/>
      <c r="O40" s="390"/>
      <c r="P40" s="390"/>
    </row>
    <row r="41" spans="1:16" x14ac:dyDescent="0.35">
      <c r="B41" s="452" t="s">
        <v>1613</v>
      </c>
      <c r="C41" s="375"/>
      <c r="D41" s="418"/>
      <c r="E41" s="418"/>
      <c r="F41" s="461">
        <f>Levelised_Fixed_Costs!$C$44</f>
        <v>8848.5269568257354</v>
      </c>
      <c r="G41" s="506">
        <f t="shared" si="0"/>
        <v>8848.5269568257354</v>
      </c>
      <c r="H41" s="418"/>
      <c r="I41" s="462"/>
      <c r="J41" s="462"/>
      <c r="K41" s="419"/>
      <c r="L41" s="437"/>
      <c r="M41" s="379"/>
      <c r="N41" s="390"/>
      <c r="O41" s="390"/>
      <c r="P41" s="390"/>
    </row>
    <row r="42" spans="1:16" x14ac:dyDescent="0.35">
      <c r="B42" s="452" t="s">
        <v>1614</v>
      </c>
      <c r="C42" s="375"/>
      <c r="D42" s="418"/>
      <c r="E42" s="418"/>
      <c r="F42" s="461">
        <f>Levelised_Fixed_Costs!$C$45</f>
        <v>6454.3984013550207</v>
      </c>
      <c r="G42" s="506">
        <f t="shared" si="0"/>
        <v>6454.3984013550207</v>
      </c>
      <c r="H42" s="418"/>
      <c r="I42" s="463"/>
      <c r="J42" s="462"/>
      <c r="K42" s="419"/>
      <c r="L42" s="437"/>
      <c r="M42" s="379"/>
      <c r="N42" s="390"/>
      <c r="O42" s="390"/>
      <c r="P42" s="390"/>
    </row>
    <row r="43" spans="1:16" x14ac:dyDescent="0.35">
      <c r="B43" s="452" t="s">
        <v>1604</v>
      </c>
      <c r="C43" s="375"/>
      <c r="D43" s="461">
        <f>NewHydro!$B$8</f>
        <v>16905.359223300969</v>
      </c>
      <c r="E43" s="459">
        <f>-Assumptions_EG!$C$7</f>
        <v>-0.04</v>
      </c>
      <c r="F43" s="441">
        <f>Levelised_Fixed_Costs!$F49</f>
        <v>10872.741503138899</v>
      </c>
      <c r="G43" s="454">
        <f t="shared" si="0"/>
        <v>10872.741503138899</v>
      </c>
      <c r="H43" s="461"/>
      <c r="I43" s="462"/>
      <c r="J43" s="462"/>
      <c r="K43" s="462"/>
      <c r="L43" s="437"/>
      <c r="M43" s="379"/>
      <c r="N43" s="390"/>
      <c r="O43" s="390"/>
      <c r="P43" s="390"/>
    </row>
    <row r="44" spans="1:16" x14ac:dyDescent="0.35">
      <c r="B44" s="452" t="s">
        <v>1615</v>
      </c>
      <c r="C44" s="375">
        <v>3.5</v>
      </c>
      <c r="D44" s="481">
        <f>C44*8760*SUMIF(Legacy_FC_VC!$J$35:$J$43,B44,Legacy_FC_VC!$K$35:$K$43)</f>
        <v>20148.813739673951</v>
      </c>
      <c r="E44" s="459">
        <f>0%</f>
        <v>0</v>
      </c>
      <c r="F44" s="441">
        <f>Levelised_Fixed_Costs!$F50</f>
        <v>20148.813739673951</v>
      </c>
      <c r="G44" s="454">
        <f t="shared" si="0"/>
        <v>20148.813739673951</v>
      </c>
      <c r="H44" s="461"/>
      <c r="I44" s="462"/>
      <c r="J44" s="462"/>
      <c r="K44" s="462"/>
      <c r="L44" s="437"/>
      <c r="M44" s="379"/>
      <c r="N44" s="390"/>
      <c r="O44" s="390"/>
      <c r="P44" s="390"/>
    </row>
    <row r="45" spans="1:16" x14ac:dyDescent="0.35">
      <c r="B45" s="452" t="s">
        <v>1603</v>
      </c>
      <c r="C45" s="375">
        <v>5.25</v>
      </c>
      <c r="D45" s="481">
        <f>C45*8760*SUMIF(Legacy_FC_VC!$J$35:$J$43,B45,Legacy_FC_VC!$K$35:$K$43)</f>
        <v>9486.7910922851552</v>
      </c>
      <c r="E45" s="459">
        <f>-Assumptions_EG!$C$7</f>
        <v>-0.04</v>
      </c>
      <c r="F45" s="441">
        <f>Levelised_Fixed_Costs!$F51</f>
        <v>6101.463203368502</v>
      </c>
      <c r="G45" s="454">
        <f t="shared" si="0"/>
        <v>6101.463203368502</v>
      </c>
      <c r="H45" s="461"/>
      <c r="I45" s="462"/>
      <c r="J45" s="462"/>
      <c r="K45" s="462"/>
      <c r="L45" s="437"/>
      <c r="M45" s="379"/>
      <c r="N45" s="390"/>
      <c r="O45" s="390"/>
      <c r="P45" s="390"/>
    </row>
    <row r="46" spans="1:16" x14ac:dyDescent="0.35">
      <c r="B46" s="452" t="s">
        <v>1605</v>
      </c>
      <c r="C46" s="375">
        <f>(8*0.25+6.5*0.75)</f>
        <v>6.875</v>
      </c>
      <c r="D46" s="481">
        <f>C46*8760*SUMIF(Legacy_FC_VC!$J$35:$J$43,B46,Legacy_FC_VC!$K$35:$K$43)</f>
        <v>13933.989426319249</v>
      </c>
      <c r="E46" s="459">
        <f>-Assumptions_EG!$C$7</f>
        <v>-0.04</v>
      </c>
      <c r="F46" s="441">
        <f>Levelised_Fixed_Costs!$F52</f>
        <v>10426.102375692073</v>
      </c>
      <c r="G46" s="454">
        <f t="shared" si="0"/>
        <v>10426.102375692073</v>
      </c>
      <c r="H46" s="461"/>
      <c r="I46" s="462"/>
      <c r="J46" s="462"/>
      <c r="K46" s="462"/>
      <c r="L46" s="437"/>
      <c r="M46" s="379"/>
      <c r="N46" s="390"/>
      <c r="O46" s="390"/>
      <c r="P46" s="390"/>
    </row>
    <row r="47" spans="1:16" x14ac:dyDescent="0.35">
      <c r="B47" s="452" t="s">
        <v>1636</v>
      </c>
      <c r="C47" s="375"/>
      <c r="D47" s="461"/>
      <c r="E47" s="461"/>
      <c r="F47" s="461">
        <f>Levelised_Fixed_Costs!$C$41</f>
        <v>3974.4352851565664</v>
      </c>
      <c r="G47" s="506">
        <f t="shared" si="0"/>
        <v>3817.0476478643659</v>
      </c>
      <c r="H47" s="461"/>
      <c r="I47" s="462"/>
      <c r="J47" s="462"/>
      <c r="K47" s="462"/>
      <c r="L47" s="437"/>
      <c r="M47" s="379"/>
      <c r="N47" s="390"/>
      <c r="O47" s="390"/>
      <c r="P47" s="390"/>
    </row>
    <row r="48" spans="1:16" ht="15" thickBot="1" x14ac:dyDescent="0.4">
      <c r="B48" s="455" t="s">
        <v>1606</v>
      </c>
      <c r="C48" s="710"/>
      <c r="D48" s="465"/>
      <c r="E48" s="465"/>
      <c r="F48" s="465">
        <f>Levelised_Fixed_Costs!$C$42</f>
        <v>6302.2333255981339</v>
      </c>
      <c r="G48" s="507">
        <f t="shared" si="0"/>
        <v>6176.8188824187309</v>
      </c>
      <c r="H48" s="461"/>
      <c r="I48" s="462"/>
      <c r="J48" s="462"/>
      <c r="K48" s="462"/>
      <c r="L48" s="437"/>
      <c r="M48" s="379"/>
      <c r="N48" s="390"/>
      <c r="P48" s="390"/>
    </row>
    <row r="49" spans="2:12" x14ac:dyDescent="0.35">
      <c r="B49" s="29" t="s">
        <v>1169</v>
      </c>
      <c r="C49" s="460"/>
      <c r="D49" s="461"/>
      <c r="E49" s="462"/>
      <c r="F49" s="462"/>
      <c r="G49" s="462"/>
      <c r="H49" s="437"/>
      <c r="I49" s="379"/>
      <c r="J49" s="390"/>
      <c r="L49" s="390"/>
    </row>
    <row r="50" spans="2:12" ht="34.9" customHeight="1" x14ac:dyDescent="0.35">
      <c r="B50" s="631" t="s">
        <v>153</v>
      </c>
      <c r="C50" s="304" t="s">
        <v>1615</v>
      </c>
      <c r="D50" s="771" t="s">
        <v>2008</v>
      </c>
      <c r="E50" s="771"/>
      <c r="F50" s="771"/>
      <c r="G50" s="462"/>
      <c r="H50" s="437"/>
      <c r="I50" s="379"/>
      <c r="J50" s="390"/>
      <c r="L50" s="390"/>
    </row>
    <row r="51" spans="2:12" ht="120" customHeight="1" x14ac:dyDescent="0.35">
      <c r="B51" s="631" t="s">
        <v>153</v>
      </c>
      <c r="C51" s="304" t="s">
        <v>1603</v>
      </c>
      <c r="D51" s="771" t="s">
        <v>2009</v>
      </c>
      <c r="E51" s="771"/>
      <c r="F51" s="771"/>
      <c r="G51" s="462"/>
      <c r="H51" s="437"/>
      <c r="I51" s="379"/>
      <c r="J51" s="390"/>
      <c r="L51" s="390"/>
    </row>
    <row r="52" spans="2:12" ht="91.5" customHeight="1" x14ac:dyDescent="0.35">
      <c r="B52" s="631" t="s">
        <v>153</v>
      </c>
      <c r="C52" s="304" t="s">
        <v>1605</v>
      </c>
      <c r="D52" s="771" t="s">
        <v>2010</v>
      </c>
      <c r="E52" s="771"/>
      <c r="F52" s="771"/>
      <c r="G52" s="462"/>
      <c r="H52" s="437"/>
      <c r="I52" s="379"/>
      <c r="J52" s="390"/>
      <c r="L52" s="390"/>
    </row>
    <row r="53" spans="2:12" ht="37.15" customHeight="1" x14ac:dyDescent="0.35">
      <c r="B53" s="20" t="s">
        <v>1618</v>
      </c>
      <c r="C53" s="304" t="s">
        <v>1604</v>
      </c>
      <c r="D53" s="771" t="s">
        <v>1930</v>
      </c>
      <c r="E53" s="771"/>
      <c r="F53" s="771"/>
      <c r="G53" s="379"/>
      <c r="H53" s="379"/>
      <c r="I53" s="379"/>
      <c r="J53" s="379"/>
      <c r="K53" s="379"/>
      <c r="L53" s="379"/>
    </row>
    <row r="54" spans="2:12" ht="29" x14ac:dyDescent="0.35">
      <c r="B54" s="20" t="s">
        <v>1618</v>
      </c>
      <c r="C54" s="20" t="s">
        <v>1928</v>
      </c>
      <c r="D54" s="774" t="s">
        <v>1929</v>
      </c>
      <c r="E54" s="774"/>
      <c r="F54" s="774"/>
      <c r="G54" s="390"/>
      <c r="H54" s="390"/>
      <c r="I54" s="390"/>
      <c r="J54" s="390"/>
      <c r="K54" s="390"/>
      <c r="L54" s="390"/>
    </row>
    <row r="55" spans="2:12" ht="38.15" customHeight="1" x14ac:dyDescent="0.35">
      <c r="B55" s="700" t="s">
        <v>1627</v>
      </c>
      <c r="C55" s="304" t="s">
        <v>1604</v>
      </c>
      <c r="D55" s="773" t="s">
        <v>1925</v>
      </c>
      <c r="E55" s="773"/>
      <c r="F55" s="773"/>
      <c r="G55" s="462"/>
      <c r="H55" s="437"/>
      <c r="I55" s="379"/>
      <c r="J55" s="390"/>
      <c r="L55" s="390"/>
    </row>
    <row r="56" spans="2:12" ht="29.15" customHeight="1" x14ac:dyDescent="0.35">
      <c r="B56" s="700" t="s">
        <v>1627</v>
      </c>
      <c r="C56" s="304" t="s">
        <v>1615</v>
      </c>
      <c r="D56" s="773" t="s">
        <v>1616</v>
      </c>
      <c r="E56" s="773"/>
      <c r="F56" s="773"/>
      <c r="G56" s="462"/>
      <c r="H56" s="437"/>
      <c r="I56" s="379"/>
      <c r="J56" s="390"/>
      <c r="L56" s="390"/>
    </row>
    <row r="57" spans="2:12" ht="20.65" customHeight="1" x14ac:dyDescent="0.35">
      <c r="B57" s="700" t="s">
        <v>1627</v>
      </c>
      <c r="C57" s="20" t="s">
        <v>1635</v>
      </c>
      <c r="D57" s="772" t="s">
        <v>1617</v>
      </c>
      <c r="E57" s="772"/>
      <c r="F57" s="772"/>
      <c r="G57" s="462"/>
      <c r="H57" s="437"/>
      <c r="I57" s="379"/>
      <c r="J57" s="390"/>
      <c r="L57" s="390"/>
    </row>
    <row r="58" spans="2:12" ht="25.15" customHeight="1" x14ac:dyDescent="0.35">
      <c r="B58" s="20" t="s">
        <v>1623</v>
      </c>
      <c r="C58" s="304" t="s">
        <v>1612</v>
      </c>
      <c r="D58" s="774" t="s">
        <v>1922</v>
      </c>
      <c r="E58" s="774"/>
      <c r="F58" s="774"/>
      <c r="G58" s="379"/>
      <c r="H58" s="379"/>
      <c r="I58" s="379"/>
      <c r="J58" s="379"/>
      <c r="K58" s="379"/>
      <c r="L58" s="379"/>
    </row>
    <row r="59" spans="2:12" ht="34.15" customHeight="1" x14ac:dyDescent="0.35">
      <c r="B59" s="20" t="s">
        <v>1623</v>
      </c>
      <c r="C59" s="304" t="s">
        <v>1613</v>
      </c>
      <c r="D59" s="771" t="s">
        <v>1923</v>
      </c>
      <c r="E59" s="771"/>
      <c r="F59" s="771"/>
      <c r="G59" s="379"/>
      <c r="H59" s="379"/>
      <c r="I59" s="379"/>
      <c r="J59" s="379"/>
      <c r="K59" s="379"/>
      <c r="L59" s="379"/>
    </row>
    <row r="60" spans="2:12" ht="42" customHeight="1" x14ac:dyDescent="0.35">
      <c r="B60" s="20" t="s">
        <v>1623</v>
      </c>
      <c r="C60" s="304" t="s">
        <v>1614</v>
      </c>
      <c r="D60" s="771" t="s">
        <v>1924</v>
      </c>
      <c r="E60" s="771"/>
      <c r="F60" s="771"/>
      <c r="G60" s="379"/>
      <c r="H60" s="379"/>
      <c r="I60" s="379"/>
      <c r="J60" s="379"/>
      <c r="K60" s="379"/>
      <c r="L60" s="379"/>
    </row>
    <row r="61" spans="2:12" ht="84" customHeight="1" x14ac:dyDescent="0.35">
      <c r="B61" s="20" t="s">
        <v>1623</v>
      </c>
      <c r="C61" s="304" t="s">
        <v>1604</v>
      </c>
      <c r="D61" s="771" t="s">
        <v>2005</v>
      </c>
      <c r="E61" s="771"/>
      <c r="F61" s="771"/>
      <c r="G61" s="379"/>
      <c r="H61" s="379"/>
      <c r="I61" s="379"/>
      <c r="J61" s="379"/>
      <c r="K61" s="379"/>
      <c r="L61" s="379"/>
    </row>
    <row r="62" spans="2:12" ht="37.15" customHeight="1" x14ac:dyDescent="0.35">
      <c r="B62" s="20" t="s">
        <v>1623</v>
      </c>
      <c r="C62" s="304" t="s">
        <v>1615</v>
      </c>
      <c r="D62" s="771" t="s">
        <v>1486</v>
      </c>
      <c r="E62" s="771"/>
      <c r="F62" s="771"/>
      <c r="G62" s="379"/>
      <c r="H62" s="379"/>
      <c r="I62" s="379"/>
      <c r="J62" s="379"/>
      <c r="K62" s="379"/>
      <c r="L62" s="379"/>
    </row>
    <row r="63" spans="2:12" ht="31.5" customHeight="1" x14ac:dyDescent="0.35">
      <c r="B63" s="20" t="s">
        <v>1623</v>
      </c>
      <c r="C63" s="304" t="s">
        <v>1635</v>
      </c>
      <c r="D63" s="771" t="s">
        <v>1617</v>
      </c>
      <c r="E63" s="771"/>
      <c r="F63" s="771"/>
      <c r="G63" s="379"/>
      <c r="H63" s="379"/>
      <c r="I63" s="379"/>
      <c r="J63" s="379"/>
      <c r="K63" s="379"/>
      <c r="L63" s="379"/>
    </row>
    <row r="64" spans="2:12" ht="29.15" customHeight="1" x14ac:dyDescent="0.35">
      <c r="B64" s="20" t="s">
        <v>1623</v>
      </c>
      <c r="C64" s="304" t="s">
        <v>1636</v>
      </c>
      <c r="D64" s="771" t="s">
        <v>1920</v>
      </c>
      <c r="E64" s="771"/>
      <c r="F64" s="771"/>
      <c r="G64" s="379"/>
      <c r="H64" s="379"/>
      <c r="I64" s="379"/>
      <c r="J64" s="379"/>
      <c r="K64" s="379"/>
      <c r="L64" s="379"/>
    </row>
    <row r="65" spans="1:12" ht="27" customHeight="1" x14ac:dyDescent="0.35">
      <c r="B65" s="20" t="s">
        <v>1623</v>
      </c>
      <c r="C65" s="304" t="s">
        <v>1606</v>
      </c>
      <c r="D65" s="771" t="s">
        <v>1921</v>
      </c>
      <c r="E65" s="771"/>
      <c r="F65" s="771"/>
      <c r="G65" s="379"/>
      <c r="H65" s="379"/>
      <c r="I65" s="379"/>
      <c r="J65" s="379"/>
      <c r="K65" s="379"/>
      <c r="L65" s="379"/>
    </row>
    <row r="66" spans="1:12" x14ac:dyDescent="0.35">
      <c r="D66" s="170"/>
      <c r="G66" s="379"/>
      <c r="H66" s="379"/>
      <c r="I66" s="379"/>
      <c r="J66" s="379"/>
      <c r="K66" s="379"/>
      <c r="L66" s="379"/>
    </row>
    <row r="67" spans="1:12" ht="15" thickBot="1" x14ac:dyDescent="0.4">
      <c r="A67" s="29" t="s">
        <v>1639</v>
      </c>
      <c r="D67" s="170"/>
      <c r="G67" s="379"/>
      <c r="H67" s="379"/>
      <c r="I67" s="379"/>
      <c r="J67" s="379"/>
      <c r="K67" s="379"/>
      <c r="L67" s="379"/>
    </row>
    <row r="68" spans="1:12" ht="15" thickBot="1" x14ac:dyDescent="0.4">
      <c r="B68" s="466" t="s">
        <v>1561</v>
      </c>
      <c r="C68" s="501" t="s">
        <v>1611</v>
      </c>
      <c r="D68" s="468" t="s">
        <v>1645</v>
      </c>
      <c r="G68" s="379"/>
      <c r="H68" s="379"/>
      <c r="I68" s="379"/>
      <c r="J68" s="379"/>
      <c r="K68" s="379"/>
      <c r="L68" s="379"/>
    </row>
    <row r="69" spans="1:12" x14ac:dyDescent="0.35">
      <c r="B69" s="452" t="s">
        <v>1612</v>
      </c>
      <c r="C69" s="462">
        <v>0.25</v>
      </c>
      <c r="D69" s="494">
        <v>1.6646150552129813E-2</v>
      </c>
      <c r="G69" s="379"/>
      <c r="H69" s="379"/>
      <c r="I69" s="379"/>
      <c r="J69" s="379"/>
      <c r="K69" s="379"/>
      <c r="L69" s="379"/>
    </row>
    <row r="70" spans="1:12" x14ac:dyDescent="0.35">
      <c r="B70" s="452" t="s">
        <v>1613</v>
      </c>
      <c r="C70" s="462">
        <v>0.25</v>
      </c>
      <c r="D70" s="494">
        <v>1.1963499083305962E-2</v>
      </c>
      <c r="G70" s="379"/>
      <c r="H70" s="379"/>
      <c r="I70" s="379"/>
      <c r="J70" s="379"/>
      <c r="K70" s="379"/>
      <c r="L70" s="379"/>
    </row>
    <row r="71" spans="1:12" ht="15" thickBot="1" x14ac:dyDescent="0.4">
      <c r="B71" s="455" t="s">
        <v>1614</v>
      </c>
      <c r="C71" s="703">
        <v>0.25</v>
      </c>
      <c r="D71" s="495">
        <f>D70</f>
        <v>1.1963499083305962E-2</v>
      </c>
      <c r="G71" s="379"/>
      <c r="H71" s="379"/>
      <c r="I71" s="379"/>
      <c r="J71" s="379"/>
      <c r="K71" s="379"/>
      <c r="L71" s="379"/>
    </row>
    <row r="72" spans="1:12" x14ac:dyDescent="0.35">
      <c r="B72" s="29" t="s">
        <v>1169</v>
      </c>
      <c r="C72" s="459"/>
      <c r="D72" s="462"/>
      <c r="G72" s="379"/>
      <c r="H72" s="379"/>
      <c r="I72" s="379"/>
      <c r="J72" s="379"/>
      <c r="K72" s="379"/>
      <c r="L72" s="379"/>
    </row>
    <row r="73" spans="1:12" x14ac:dyDescent="0.35">
      <c r="B73" s="304" t="s">
        <v>1942</v>
      </c>
    </row>
    <row r="74" spans="1:12" x14ac:dyDescent="0.35">
      <c r="B74" s="304" t="s">
        <v>1650</v>
      </c>
    </row>
    <row r="75" spans="1:12" x14ac:dyDescent="0.35">
      <c r="B75" s="304" t="s">
        <v>1940</v>
      </c>
    </row>
    <row r="76" spans="1:12" x14ac:dyDescent="0.35">
      <c r="B76" s="304" t="s">
        <v>1941</v>
      </c>
    </row>
    <row r="77" spans="1:12" x14ac:dyDescent="0.35">
      <c r="B77" s="304" t="s">
        <v>1943</v>
      </c>
    </row>
    <row r="78" spans="1:12" x14ac:dyDescent="0.35">
      <c r="B78" s="304" t="s">
        <v>1944</v>
      </c>
    </row>
    <row r="79" spans="1:12" x14ac:dyDescent="0.35">
      <c r="B79" s="304" t="s">
        <v>1945</v>
      </c>
    </row>
    <row r="80" spans="1:12" x14ac:dyDescent="0.35">
      <c r="B80" s="304" t="s">
        <v>1946</v>
      </c>
    </row>
    <row r="81" spans="2:12" x14ac:dyDescent="0.35">
      <c r="B81" s="304" t="s">
        <v>1947</v>
      </c>
    </row>
    <row r="82" spans="2:12" x14ac:dyDescent="0.35">
      <c r="B82" s="375"/>
      <c r="D82" s="170"/>
      <c r="G82" s="379"/>
      <c r="H82" s="379"/>
      <c r="I82" s="379"/>
      <c r="J82" s="379"/>
      <c r="K82" s="379"/>
      <c r="L82" s="379"/>
    </row>
    <row r="83" spans="2:12" x14ac:dyDescent="0.35">
      <c r="B83" s="304" t="s">
        <v>1645</v>
      </c>
      <c r="C83" s="304" t="s">
        <v>1612</v>
      </c>
      <c r="D83" s="170" t="s">
        <v>1466</v>
      </c>
      <c r="G83" s="438"/>
      <c r="H83" s="438"/>
      <c r="I83" s="438"/>
      <c r="J83" s="438"/>
      <c r="K83" s="438"/>
      <c r="L83" s="438"/>
    </row>
    <row r="84" spans="2:12" x14ac:dyDescent="0.35">
      <c r="B84" s="304" t="s">
        <v>1645</v>
      </c>
      <c r="C84" s="304" t="s">
        <v>1633</v>
      </c>
      <c r="D84" s="170" t="s">
        <v>1595</v>
      </c>
      <c r="G84" s="437"/>
      <c r="H84" s="437"/>
      <c r="I84" s="379"/>
      <c r="J84" s="390"/>
      <c r="L84" s="390"/>
    </row>
  </sheetData>
  <mergeCells count="16">
    <mergeCell ref="D51:F51"/>
    <mergeCell ref="D52:F52"/>
    <mergeCell ref="D50:F50"/>
    <mergeCell ref="D53:F53"/>
    <mergeCell ref="D54:F54"/>
    <mergeCell ref="D65:F65"/>
    <mergeCell ref="D57:F57"/>
    <mergeCell ref="D55:F55"/>
    <mergeCell ref="D56:F56"/>
    <mergeCell ref="D59:F59"/>
    <mergeCell ref="D60:F60"/>
    <mergeCell ref="D61:F61"/>
    <mergeCell ref="D62:F62"/>
    <mergeCell ref="D63:F63"/>
    <mergeCell ref="D64:F64"/>
    <mergeCell ref="D58:F5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70"/>
  <sheetViews>
    <sheetView workbookViewId="0">
      <selection activeCell="I24" sqref="I24"/>
    </sheetView>
  </sheetViews>
  <sheetFormatPr defaultColWidth="20.54296875" defaultRowHeight="14.5" x14ac:dyDescent="0.35"/>
  <cols>
    <col min="1" max="1" width="8.26953125" style="395" customWidth="1"/>
    <col min="2" max="2" width="30.453125" style="395" customWidth="1"/>
    <col min="3" max="3" width="16.26953125" style="395" customWidth="1"/>
    <col min="4" max="4" width="11.7265625" style="395" customWidth="1"/>
    <col min="5" max="5" width="11.453125" style="395" bestFit="1" customWidth="1"/>
    <col min="6" max="6" width="8.453125" style="395" customWidth="1"/>
    <col min="7" max="7" width="9" style="395" customWidth="1"/>
    <col min="8" max="8" width="9.26953125" style="395" customWidth="1"/>
    <col min="9" max="10" width="7.26953125" style="395" bestFit="1" customWidth="1"/>
    <col min="11" max="11" width="16.26953125" style="395" customWidth="1"/>
    <col min="12" max="12" width="6.453125" style="395" bestFit="1" customWidth="1"/>
    <col min="13" max="15" width="7.26953125" style="395" bestFit="1" customWidth="1"/>
    <col min="16" max="16" width="8.26953125" style="395" customWidth="1"/>
    <col min="17" max="22" width="7.26953125" style="395" bestFit="1" customWidth="1"/>
    <col min="23" max="27" width="8.26953125" style="395" bestFit="1" customWidth="1"/>
    <col min="28" max="28" width="7.26953125" style="395" bestFit="1" customWidth="1"/>
    <col min="29" max="84" width="7.7265625" style="395" customWidth="1"/>
    <col min="85" max="16384" width="20.54296875" style="395"/>
  </cols>
  <sheetData>
    <row r="1" spans="1:2" x14ac:dyDescent="0.35">
      <c r="A1" s="129" t="s">
        <v>1654</v>
      </c>
    </row>
    <row r="2" spans="1:2" x14ac:dyDescent="0.35">
      <c r="B2" s="536" t="s">
        <v>1657</v>
      </c>
    </row>
    <row r="3" spans="1:2" x14ac:dyDescent="0.35">
      <c r="B3" s="536" t="s">
        <v>1652</v>
      </c>
    </row>
    <row r="4" spans="1:2" x14ac:dyDescent="0.35">
      <c r="B4" s="536" t="s">
        <v>2011</v>
      </c>
    </row>
    <row r="5" spans="1:2" x14ac:dyDescent="0.35">
      <c r="B5" s="536" t="s">
        <v>1653</v>
      </c>
    </row>
    <row r="6" spans="1:2" x14ac:dyDescent="0.35">
      <c r="B6" s="536" t="s">
        <v>1655</v>
      </c>
    </row>
    <row r="7" spans="1:2" x14ac:dyDescent="0.35">
      <c r="B7" s="536" t="s">
        <v>1661</v>
      </c>
    </row>
    <row r="8" spans="1:2" x14ac:dyDescent="0.35">
      <c r="B8" s="536"/>
    </row>
    <row r="9" spans="1:2" x14ac:dyDescent="0.35">
      <c r="A9" s="129" t="s">
        <v>1656</v>
      </c>
      <c r="B9" s="536"/>
    </row>
    <row r="10" spans="1:2" x14ac:dyDescent="0.35">
      <c r="A10" s="129"/>
      <c r="B10" s="536" t="s">
        <v>1658</v>
      </c>
    </row>
    <row r="11" spans="1:2" x14ac:dyDescent="0.35">
      <c r="A11" s="129"/>
      <c r="B11" s="536" t="s">
        <v>1659</v>
      </c>
    </row>
    <row r="12" spans="1:2" x14ac:dyDescent="0.35">
      <c r="A12" s="129"/>
      <c r="B12" s="536" t="s">
        <v>1660</v>
      </c>
    </row>
    <row r="14" spans="1:2" x14ac:dyDescent="0.35">
      <c r="A14" s="29" t="s">
        <v>1651</v>
      </c>
    </row>
    <row r="15" spans="1:2" x14ac:dyDescent="0.35">
      <c r="B15" s="535" t="s">
        <v>1601</v>
      </c>
    </row>
    <row r="16" spans="1:2" x14ac:dyDescent="0.35">
      <c r="A16" s="2"/>
      <c r="B16" s="535" t="s">
        <v>1602</v>
      </c>
    </row>
    <row r="17" spans="2:15" x14ac:dyDescent="0.35">
      <c r="C17" s="410" t="s">
        <v>1512</v>
      </c>
      <c r="D17" s="395">
        <v>1</v>
      </c>
      <c r="E17" s="395">
        <v>2</v>
      </c>
      <c r="F17" s="395">
        <v>3</v>
      </c>
      <c r="G17" s="395">
        <v>4</v>
      </c>
      <c r="H17" s="395">
        <v>5</v>
      </c>
    </row>
    <row r="18" spans="2:15" ht="29" x14ac:dyDescent="0.35">
      <c r="B18" s="398" t="s">
        <v>1511</v>
      </c>
      <c r="C18" s="398" t="s">
        <v>1510</v>
      </c>
      <c r="D18" s="398" t="s">
        <v>1636</v>
      </c>
      <c r="E18" s="398" t="s">
        <v>1606</v>
      </c>
      <c r="F18" s="398" t="s">
        <v>1612</v>
      </c>
      <c r="G18" s="398" t="s">
        <v>1613</v>
      </c>
      <c r="H18" s="398" t="s">
        <v>1614</v>
      </c>
      <c r="I18" s="398"/>
      <c r="J18" s="402"/>
    </row>
    <row r="19" spans="2:15" x14ac:dyDescent="0.35">
      <c r="B19" s="395" t="s">
        <v>47</v>
      </c>
      <c r="C19" s="395" t="s">
        <v>1458</v>
      </c>
      <c r="D19" s="395">
        <v>1</v>
      </c>
      <c r="E19" s="395">
        <v>1</v>
      </c>
      <c r="F19" s="395">
        <v>660</v>
      </c>
      <c r="G19" s="395">
        <v>100</v>
      </c>
      <c r="H19" s="395">
        <v>100</v>
      </c>
      <c r="J19" s="402"/>
    </row>
    <row r="20" spans="2:15" x14ac:dyDescent="0.35">
      <c r="B20" s="406" t="s">
        <v>1509</v>
      </c>
      <c r="C20" s="405" t="s">
        <v>1460</v>
      </c>
      <c r="D20" s="396">
        <v>400</v>
      </c>
      <c r="E20" s="396">
        <v>700</v>
      </c>
      <c r="F20" s="395">
        <v>875</v>
      </c>
      <c r="G20" s="395">
        <v>700</v>
      </c>
      <c r="H20" s="395">
        <v>500</v>
      </c>
      <c r="I20" s="397"/>
    </row>
    <row r="21" spans="2:15" x14ac:dyDescent="0.35">
      <c r="B21" s="406" t="s">
        <v>743</v>
      </c>
      <c r="C21" s="405" t="s">
        <v>1422</v>
      </c>
      <c r="D21" s="408">
        <v>0.22</v>
      </c>
      <c r="E21" s="408">
        <v>0.35</v>
      </c>
      <c r="F21" s="408">
        <v>0.75</v>
      </c>
      <c r="G21" s="408">
        <v>0.5</v>
      </c>
      <c r="H21" s="408">
        <v>0.35</v>
      </c>
      <c r="I21" s="408"/>
    </row>
    <row r="22" spans="2:15" x14ac:dyDescent="0.35">
      <c r="B22" s="395" t="s">
        <v>1459</v>
      </c>
      <c r="C22" s="395" t="s">
        <v>1422</v>
      </c>
      <c r="D22" s="402">
        <v>0</v>
      </c>
      <c r="E22" s="402">
        <v>0</v>
      </c>
      <c r="F22" s="409">
        <v>6.25E-2</v>
      </c>
      <c r="G22" s="402">
        <v>0.02</v>
      </c>
      <c r="H22" s="402">
        <v>0.02</v>
      </c>
      <c r="M22" s="407"/>
      <c r="N22" s="402"/>
      <c r="O22" s="402"/>
    </row>
    <row r="23" spans="2:15" x14ac:dyDescent="0.35">
      <c r="B23" s="395" t="s">
        <v>1521</v>
      </c>
      <c r="C23" s="395" t="s">
        <v>1465</v>
      </c>
      <c r="D23" s="403">
        <v>25</v>
      </c>
      <c r="E23" s="403">
        <v>25</v>
      </c>
      <c r="F23" s="403">
        <v>40</v>
      </c>
      <c r="G23" s="403">
        <v>25</v>
      </c>
      <c r="H23" s="403">
        <v>25</v>
      </c>
      <c r="M23" s="304"/>
      <c r="N23" s="304"/>
    </row>
    <row r="24" spans="2:15" x14ac:dyDescent="0.35">
      <c r="B24" s="406" t="s">
        <v>1508</v>
      </c>
      <c r="C24" s="405" t="s">
        <v>1461</v>
      </c>
      <c r="D24" s="396">
        <v>7</v>
      </c>
      <c r="E24" s="396">
        <v>6</v>
      </c>
      <c r="F24" s="395">
        <f>2.5%*F20</f>
        <v>21.875</v>
      </c>
      <c r="G24" s="395">
        <f>2.5%*G20</f>
        <v>17.5</v>
      </c>
      <c r="H24" s="395">
        <f>2.5%*H20</f>
        <v>12.5</v>
      </c>
      <c r="I24" s="407"/>
      <c r="M24" s="304"/>
      <c r="N24" s="304"/>
    </row>
    <row r="25" spans="2:15" x14ac:dyDescent="0.35">
      <c r="B25" s="406" t="s">
        <v>1507</v>
      </c>
      <c r="C25" s="405" t="s">
        <v>1422</v>
      </c>
      <c r="D25" s="402">
        <v>0.04</v>
      </c>
      <c r="E25" s="402">
        <v>0.04</v>
      </c>
      <c r="F25" s="402">
        <v>0.04</v>
      </c>
      <c r="G25" s="402">
        <v>0.04</v>
      </c>
      <c r="H25" s="402">
        <v>0.04</v>
      </c>
      <c r="I25" s="402"/>
      <c r="M25" s="304"/>
      <c r="N25" s="304"/>
    </row>
    <row r="26" spans="2:15" ht="29" x14ac:dyDescent="0.35">
      <c r="B26" s="406" t="s">
        <v>1506</v>
      </c>
      <c r="C26" s="405" t="s">
        <v>1422</v>
      </c>
      <c r="D26" s="402">
        <v>0.15</v>
      </c>
      <c r="E26" s="402">
        <v>0.15</v>
      </c>
      <c r="F26" s="402">
        <v>0.1</v>
      </c>
      <c r="G26" s="402">
        <v>0.1</v>
      </c>
      <c r="H26" s="402">
        <v>0.1</v>
      </c>
      <c r="I26" s="402"/>
      <c r="K26" s="407"/>
      <c r="L26" s="407"/>
      <c r="M26" s="407"/>
      <c r="N26" s="407"/>
    </row>
    <row r="27" spans="2:15" x14ac:dyDescent="0.35">
      <c r="B27" s="406" t="s">
        <v>1505</v>
      </c>
      <c r="C27" s="405" t="s">
        <v>1422</v>
      </c>
      <c r="D27" s="402">
        <v>0.7</v>
      </c>
      <c r="E27" s="401">
        <v>0.7</v>
      </c>
      <c r="F27" s="402">
        <v>0.7</v>
      </c>
      <c r="G27" s="402">
        <v>0.7</v>
      </c>
      <c r="H27" s="402">
        <v>0.7</v>
      </c>
      <c r="I27" s="402"/>
      <c r="K27" s="407"/>
      <c r="L27" s="407"/>
    </row>
    <row r="28" spans="2:15" x14ac:dyDescent="0.35">
      <c r="B28" s="406" t="s">
        <v>1462</v>
      </c>
      <c r="C28" s="405" t="s">
        <v>1422</v>
      </c>
      <c r="D28" s="402">
        <v>0.08</v>
      </c>
      <c r="E28" s="401">
        <v>0.08</v>
      </c>
      <c r="F28" s="402">
        <v>0.1</v>
      </c>
      <c r="G28" s="402">
        <v>0.1</v>
      </c>
      <c r="H28" s="402">
        <v>0.1</v>
      </c>
      <c r="I28" s="402"/>
      <c r="K28" s="396"/>
      <c r="L28" s="404"/>
      <c r="M28" s="396"/>
      <c r="N28" s="396"/>
      <c r="O28" s="396"/>
    </row>
    <row r="29" spans="2:15" x14ac:dyDescent="0.35">
      <c r="B29" s="406" t="s">
        <v>1504</v>
      </c>
      <c r="C29" s="405" t="s">
        <v>1465</v>
      </c>
      <c r="D29" s="404">
        <v>12</v>
      </c>
      <c r="E29" s="404">
        <v>12</v>
      </c>
      <c r="F29" s="404">
        <v>12</v>
      </c>
      <c r="G29" s="404">
        <v>12</v>
      </c>
      <c r="H29" s="404">
        <v>12</v>
      </c>
      <c r="I29" s="404"/>
      <c r="K29" s="396"/>
      <c r="L29" s="404"/>
      <c r="M29" s="396"/>
      <c r="N29" s="396"/>
      <c r="O29" s="396"/>
    </row>
    <row r="30" spans="2:15" x14ac:dyDescent="0.35">
      <c r="B30" s="406" t="s">
        <v>1463</v>
      </c>
      <c r="C30" s="405" t="s">
        <v>1422</v>
      </c>
      <c r="D30" s="401">
        <v>0.11</v>
      </c>
      <c r="E30" s="401">
        <v>0.11</v>
      </c>
      <c r="F30" s="402">
        <v>0.11</v>
      </c>
      <c r="G30" s="402">
        <v>0.11</v>
      </c>
      <c r="H30" s="402">
        <v>0.11</v>
      </c>
      <c r="I30" s="402"/>
      <c r="K30" s="396"/>
      <c r="L30" s="404"/>
      <c r="M30" s="396"/>
      <c r="N30" s="396"/>
      <c r="O30" s="396"/>
    </row>
    <row r="31" spans="2:15" x14ac:dyDescent="0.35">
      <c r="B31" s="406" t="s">
        <v>1513</v>
      </c>
      <c r="C31" s="405" t="s">
        <v>1422</v>
      </c>
      <c r="D31" s="401">
        <v>0.28249999999999997</v>
      </c>
      <c r="E31" s="401">
        <v>0.28249999999999997</v>
      </c>
      <c r="F31" s="401">
        <v>0.28249999999999997</v>
      </c>
      <c r="G31" s="401">
        <v>0.28249999999999997</v>
      </c>
      <c r="H31" s="401">
        <v>0.28249999999999997</v>
      </c>
      <c r="I31" s="401"/>
      <c r="K31" s="396"/>
      <c r="L31" s="404"/>
      <c r="M31" s="396"/>
      <c r="N31" s="396"/>
      <c r="O31" s="396"/>
    </row>
    <row r="32" spans="2:15" x14ac:dyDescent="0.35">
      <c r="B32" s="406" t="s">
        <v>1522</v>
      </c>
      <c r="C32" s="405" t="s">
        <v>1422</v>
      </c>
      <c r="D32" s="401">
        <v>0.2</v>
      </c>
      <c r="E32" s="401">
        <v>0.2</v>
      </c>
      <c r="F32" s="401">
        <v>0.2</v>
      </c>
      <c r="G32" s="401">
        <v>0.2</v>
      </c>
      <c r="H32" s="401">
        <v>0.2</v>
      </c>
      <c r="I32" s="401"/>
      <c r="K32" s="396"/>
      <c r="L32" s="404"/>
      <c r="M32" s="396"/>
      <c r="N32" s="396"/>
      <c r="O32" s="396"/>
    </row>
    <row r="33" spans="1:46" x14ac:dyDescent="0.35">
      <c r="B33" s="406" t="s">
        <v>1503</v>
      </c>
      <c r="C33" s="405" t="s">
        <v>1422</v>
      </c>
      <c r="D33" s="402">
        <v>0.12</v>
      </c>
      <c r="E33" s="401">
        <v>0.12</v>
      </c>
      <c r="F33" s="402">
        <v>0.16</v>
      </c>
      <c r="G33" s="402">
        <v>0.16</v>
      </c>
      <c r="H33" s="402">
        <v>0.16</v>
      </c>
      <c r="I33" s="402"/>
      <c r="J33" s="396"/>
      <c r="K33" s="404"/>
      <c r="L33" s="404"/>
      <c r="M33" s="404"/>
      <c r="N33" s="404"/>
      <c r="O33" s="404"/>
    </row>
    <row r="34" spans="1:46" x14ac:dyDescent="0.35">
      <c r="B34" s="406" t="s">
        <v>1524</v>
      </c>
      <c r="C34" s="405" t="s">
        <v>1422</v>
      </c>
      <c r="D34" s="409">
        <f>(D$27*D$28*(1-D$31))+((1-D$27)*D$33)</f>
        <v>7.6179999999999998E-2</v>
      </c>
      <c r="E34" s="409">
        <f>(E$27*E$28*(1-E$31))+((1-E$27)*E$33)</f>
        <v>7.6179999999999998E-2</v>
      </c>
      <c r="F34" s="409">
        <f>(F$27*F$28*(1-F$31))+((1-F$27)*F$33)</f>
        <v>9.8225000000000007E-2</v>
      </c>
      <c r="G34" s="409">
        <f>(G$27*G$28*(1-G$31))+((1-G$27)*G$33)</f>
        <v>9.8225000000000007E-2</v>
      </c>
      <c r="H34" s="409">
        <f>(H$27*H$28*(1-H$31))+((1-H$27)*H$33)</f>
        <v>9.8225000000000007E-2</v>
      </c>
      <c r="I34" s="409"/>
      <c r="J34" s="396"/>
      <c r="K34" s="407"/>
      <c r="L34" s="411"/>
      <c r="M34" s="401"/>
      <c r="N34" s="401"/>
      <c r="O34" s="401"/>
    </row>
    <row r="35" spans="1:46" x14ac:dyDescent="0.35">
      <c r="B35" s="406" t="s">
        <v>1598</v>
      </c>
      <c r="C35" s="405" t="s">
        <v>1422</v>
      </c>
      <c r="D35" s="409">
        <f>(1+D34)/(1+Assumptions_EG!$C$7)-1</f>
        <v>3.478846153846149E-2</v>
      </c>
      <c r="E35" s="409">
        <f>(1+E34)/(1+Assumptions_EG!$C$7)-1</f>
        <v>3.478846153846149E-2</v>
      </c>
      <c r="F35" s="409">
        <f>(1+F34)/(1+Assumptions_EG!$C$7)-1</f>
        <v>5.5985576923076819E-2</v>
      </c>
      <c r="G35" s="409">
        <f>(1+G34)/(1+Assumptions_EG!$C$7)-1</f>
        <v>5.5985576923076819E-2</v>
      </c>
      <c r="H35" s="409">
        <f>(1+H34)/(1+Assumptions_EG!$C$7)-1</f>
        <v>5.5985576923076819E-2</v>
      </c>
      <c r="I35" s="409"/>
      <c r="J35" s="396"/>
      <c r="K35" s="407"/>
      <c r="L35" s="411"/>
      <c r="M35" s="401"/>
      <c r="N35" s="401"/>
      <c r="O35" s="401"/>
    </row>
    <row r="36" spans="1:46" x14ac:dyDescent="0.35">
      <c r="B36" s="406" t="s">
        <v>1523</v>
      </c>
      <c r="C36" s="405"/>
      <c r="D36" s="407">
        <f>(((1+D$35)^D$23-1)/(D$35*(1+D$35)^D$23))</f>
        <v>16.51941786633375</v>
      </c>
      <c r="E36" s="407">
        <f>(((1+E$35)^E$23-1)/(E$35*(1+E$35)^E$23))</f>
        <v>16.51941786633375</v>
      </c>
      <c r="F36" s="407">
        <f>(((1+F$35)^F$23-1)/(F$35*(1+F$35)^F$23))</f>
        <v>15.840566070871251</v>
      </c>
      <c r="G36" s="407">
        <f>(((1+G$35)^G$23-1)/(G$35*(1+G$35)^G$23))</f>
        <v>13.285867941181074</v>
      </c>
      <c r="H36" s="407">
        <f>(((1+H$35)^H$23-1)/(H$35*(1+H$35)^H$23))</f>
        <v>13.285867941181074</v>
      </c>
      <c r="I36" s="407"/>
      <c r="J36" s="396"/>
      <c r="K36" s="407"/>
      <c r="L36" s="411"/>
      <c r="M36" s="401"/>
      <c r="N36" s="401"/>
      <c r="O36" s="401"/>
    </row>
    <row r="37" spans="1:46" x14ac:dyDescent="0.35">
      <c r="J37" s="396"/>
    </row>
    <row r="38" spans="1:46" x14ac:dyDescent="0.35">
      <c r="B38" s="488"/>
      <c r="C38" s="491"/>
      <c r="D38" s="488"/>
      <c r="J38" s="396"/>
    </row>
    <row r="39" spans="1:46" x14ac:dyDescent="0.35">
      <c r="B39" s="399" t="s">
        <v>1502</v>
      </c>
      <c r="C39" s="399" t="s">
        <v>1600</v>
      </c>
      <c r="D39" s="395" t="s">
        <v>1926</v>
      </c>
    </row>
    <row r="40" spans="1:46" ht="29" x14ac:dyDescent="0.35">
      <c r="A40" s="398" t="s">
        <v>1501</v>
      </c>
      <c r="B40" s="398" t="s">
        <v>157</v>
      </c>
      <c r="C40" s="400" t="s">
        <v>1525</v>
      </c>
      <c r="D40" s="398">
        <v>1</v>
      </c>
      <c r="E40" s="398">
        <v>2</v>
      </c>
      <c r="F40" s="398">
        <v>3</v>
      </c>
      <c r="G40" s="398">
        <v>4</v>
      </c>
      <c r="H40" s="398">
        <v>5</v>
      </c>
      <c r="I40" s="398">
        <v>6</v>
      </c>
      <c r="J40" s="398">
        <v>7</v>
      </c>
      <c r="K40" s="398">
        <v>8</v>
      </c>
      <c r="L40" s="398">
        <v>9</v>
      </c>
      <c r="M40" s="398">
        <v>10</v>
      </c>
      <c r="N40" s="398">
        <v>11</v>
      </c>
      <c r="O40" s="398">
        <v>12</v>
      </c>
      <c r="P40" s="398">
        <v>13</v>
      </c>
      <c r="Q40" s="398">
        <v>14</v>
      </c>
      <c r="R40" s="398">
        <v>15</v>
      </c>
      <c r="S40" s="398">
        <v>16</v>
      </c>
      <c r="T40" s="398">
        <v>17</v>
      </c>
      <c r="U40" s="398">
        <v>18</v>
      </c>
      <c r="V40" s="398">
        <v>19</v>
      </c>
      <c r="W40" s="398">
        <v>20</v>
      </c>
      <c r="X40" s="398">
        <v>21</v>
      </c>
      <c r="Y40" s="398">
        <v>22</v>
      </c>
      <c r="Z40" s="398">
        <v>23</v>
      </c>
      <c r="AA40" s="398">
        <v>24</v>
      </c>
      <c r="AB40" s="398">
        <v>25</v>
      </c>
      <c r="AC40" s="398">
        <v>26</v>
      </c>
      <c r="AD40" s="398">
        <v>27</v>
      </c>
      <c r="AE40" s="398">
        <v>28</v>
      </c>
      <c r="AF40" s="398">
        <v>29</v>
      </c>
      <c r="AG40" s="398">
        <v>30</v>
      </c>
      <c r="AH40" s="398">
        <v>31</v>
      </c>
      <c r="AI40" s="398">
        <v>32</v>
      </c>
      <c r="AJ40" s="398">
        <v>33</v>
      </c>
      <c r="AK40" s="398">
        <v>34</v>
      </c>
      <c r="AL40" s="398">
        <v>35</v>
      </c>
      <c r="AM40" s="398">
        <v>36</v>
      </c>
      <c r="AN40" s="398">
        <v>37</v>
      </c>
      <c r="AO40" s="398">
        <v>38</v>
      </c>
      <c r="AP40" s="398">
        <v>39</v>
      </c>
      <c r="AQ40" s="398">
        <v>40</v>
      </c>
    </row>
    <row r="41" spans="1:46" x14ac:dyDescent="0.35">
      <c r="A41" s="395">
        <v>1</v>
      </c>
      <c r="B41" s="395" t="str">
        <f>INDEX($D$18:$I$18,1,A41)</f>
        <v>EG_SOLARPV</v>
      </c>
      <c r="C41" s="421">
        <f>NPV($D$35,D41:AB41)/$D$36</f>
        <v>3974.4352851565664</v>
      </c>
      <c r="D41" s="396">
        <f>D56/$C56*10^5/10^3</f>
        <v>7127.6950666666662</v>
      </c>
      <c r="E41" s="396">
        <f t="shared" ref="E41:AB45" si="0">E56/$C56*10^5/10^3</f>
        <v>6698.3017820512814</v>
      </c>
      <c r="F41" s="396">
        <f t="shared" si="0"/>
        <v>6292.7835675542401</v>
      </c>
      <c r="G41" s="396">
        <f t="shared" si="0"/>
        <v>5910.5014086443634</v>
      </c>
      <c r="H41" s="396">
        <f t="shared" si="0"/>
        <v>5548.5239948961571</v>
      </c>
      <c r="I41" s="396">
        <f t="shared" si="0"/>
        <v>5206.7097331789118</v>
      </c>
      <c r="J41" s="396">
        <f t="shared" si="0"/>
        <v>4884.8333958706316</v>
      </c>
      <c r="K41" s="396">
        <f t="shared" si="0"/>
        <v>4580.3167065383786</v>
      </c>
      <c r="L41" s="396">
        <f t="shared" si="0"/>
        <v>4293.0603738867057</v>
      </c>
      <c r="M41" s="396">
        <f t="shared" si="0"/>
        <v>4022.8897333818777</v>
      </c>
      <c r="N41" s="396">
        <f t="shared" si="0"/>
        <v>3909.9834771727969</v>
      </c>
      <c r="O41" s="396">
        <f t="shared" si="0"/>
        <v>3664.1353961001287</v>
      </c>
      <c r="P41" s="396">
        <f t="shared" si="0"/>
        <v>2400.5653517452115</v>
      </c>
      <c r="Q41" s="396">
        <f t="shared" si="0"/>
        <v>2336.4866022120686</v>
      </c>
      <c r="R41" s="396">
        <f t="shared" si="0"/>
        <v>2274.6439024528477</v>
      </c>
      <c r="S41" s="396">
        <f t="shared" si="0"/>
        <v>2215.360259238752</v>
      </c>
      <c r="T41" s="396">
        <f t="shared" si="0"/>
        <v>2158.3341192958787</v>
      </c>
      <c r="U41" s="396">
        <f t="shared" si="0"/>
        <v>2103.4795262235052</v>
      </c>
      <c r="V41" s="396">
        <f t="shared" si="0"/>
        <v>2050.7137961498506</v>
      </c>
      <c r="W41" s="396">
        <f t="shared" si="0"/>
        <v>1999.9573931535238</v>
      </c>
      <c r="X41" s="396">
        <f t="shared" si="0"/>
        <v>1951.1338094269092</v>
      </c>
      <c r="Y41" s="396">
        <f t="shared" si="0"/>
        <v>1904.1694500010303</v>
      </c>
      <c r="Z41" s="396">
        <f t="shared" si="0"/>
        <v>1859.142607135477</v>
      </c>
      <c r="AA41" s="396">
        <f t="shared" si="0"/>
        <v>1815.6812784940173</v>
      </c>
      <c r="AB41" s="396">
        <f t="shared" si="0"/>
        <v>1774.0128366086878</v>
      </c>
    </row>
    <row r="42" spans="1:46" x14ac:dyDescent="0.35">
      <c r="A42" s="395">
        <v>2</v>
      </c>
      <c r="B42" s="395" t="str">
        <f>INDEX($D$18:$I$18,1,A42)</f>
        <v>EG_WIND</v>
      </c>
      <c r="C42" s="421">
        <f>NPV($E$35,D42:AB42)/$E$36</f>
        <v>6302.2333255981339</v>
      </c>
      <c r="D42" s="396">
        <f>D57/$C57*10^5/10^3</f>
        <v>11820.370600000002</v>
      </c>
      <c r="E42" s="396">
        <f t="shared" ref="E42:S42" si="1">E57/$C57*10^5/10^3</f>
        <v>11069.041826923076</v>
      </c>
      <c r="F42" s="396">
        <f t="shared" si="1"/>
        <v>10359.45186760355</v>
      </c>
      <c r="G42" s="396">
        <f t="shared" si="1"/>
        <v>9690.3704853208928</v>
      </c>
      <c r="H42" s="396">
        <f t="shared" si="1"/>
        <v>9057.0073341378975</v>
      </c>
      <c r="I42" s="396">
        <f t="shared" si="1"/>
        <v>8458.9399128013429</v>
      </c>
      <c r="J42" s="396">
        <f t="shared" si="1"/>
        <v>7895.1804074333668</v>
      </c>
      <c r="K42" s="396">
        <f t="shared" si="1"/>
        <v>7362.4242303562314</v>
      </c>
      <c r="L42" s="396">
        <f t="shared" si="1"/>
        <v>6859.8803917414871</v>
      </c>
      <c r="M42" s="396">
        <f t="shared" si="1"/>
        <v>6386.7155531428116</v>
      </c>
      <c r="N42" s="396">
        <f t="shared" si="1"/>
        <v>6189.6576451875226</v>
      </c>
      <c r="O42" s="396">
        <f t="shared" si="1"/>
        <v>5759.1988613351141</v>
      </c>
      <c r="P42" s="396">
        <f t="shared" si="1"/>
        <v>3548.0458834342676</v>
      </c>
      <c r="Q42" s="396">
        <f t="shared" si="1"/>
        <v>3435.9269763821203</v>
      </c>
      <c r="R42" s="396">
        <f t="shared" si="1"/>
        <v>3327.7697683422466</v>
      </c>
      <c r="S42" s="396">
        <f t="shared" si="1"/>
        <v>3223.7599683522126</v>
      </c>
      <c r="T42" s="396">
        <f t="shared" si="0"/>
        <v>3124.0386506790023</v>
      </c>
      <c r="U42" s="396">
        <f t="shared" si="0"/>
        <v>3027.8411158313029</v>
      </c>
      <c r="V42" s="396">
        <f t="shared" si="0"/>
        <v>2935.6098558022013</v>
      </c>
      <c r="W42" s="396">
        <f t="shared" si="0"/>
        <v>2846.9046082075411</v>
      </c>
      <c r="X42" s="396">
        <f t="shared" si="0"/>
        <v>2761.3340429943255</v>
      </c>
      <c r="Y42" s="396">
        <f t="shared" si="0"/>
        <v>2679.2914549992738</v>
      </c>
      <c r="Z42" s="396">
        <f t="shared" si="0"/>
        <v>2600.3853766680509</v>
      </c>
      <c r="AA42" s="396">
        <f t="shared" si="0"/>
        <v>2524.4959028016574</v>
      </c>
      <c r="AB42" s="396">
        <f t="shared" si="0"/>
        <v>2451.5077118707441</v>
      </c>
    </row>
    <row r="43" spans="1:46" x14ac:dyDescent="0.35">
      <c r="A43" s="395">
        <v>3</v>
      </c>
      <c r="B43" s="395" t="str">
        <f>INDEX($D$18:$I$18,1,A43)</f>
        <v>EG_COAL</v>
      </c>
      <c r="C43" s="421">
        <f>NPV($F$35,D43:INDEX(D43:AQ43,$F$23))/$F$36</f>
        <v>9928.6887826901675</v>
      </c>
      <c r="D43" s="396">
        <f>D58/$C58*10^5/10^3</f>
        <v>18090.464174743844</v>
      </c>
      <c r="E43" s="396">
        <f t="shared" ref="E43:S43" si="2">E58/$C58*10^5/10^3</f>
        <v>16999.910646312259</v>
      </c>
      <c r="F43" s="396">
        <f t="shared" si="2"/>
        <v>15970.281811795963</v>
      </c>
      <c r="G43" s="396">
        <f t="shared" si="2"/>
        <v>14998.512214924109</v>
      </c>
      <c r="H43" s="396">
        <f t="shared" si="2"/>
        <v>14081.678032407694</v>
      </c>
      <c r="I43" s="396">
        <f t="shared" si="2"/>
        <v>13216.996155997109</v>
      </c>
      <c r="J43" s="396">
        <f t="shared" si="2"/>
        <v>12401.816346939402</v>
      </c>
      <c r="K43" s="396">
        <f t="shared" si="2"/>
        <v>11633.615132749261</v>
      </c>
      <c r="L43" s="396">
        <f t="shared" si="2"/>
        <v>10909.989976911171</v>
      </c>
      <c r="M43" s="396">
        <f t="shared" si="2"/>
        <v>10228.653709546645</v>
      </c>
      <c r="N43" s="396">
        <f t="shared" si="2"/>
        <v>9587.4292075969606</v>
      </c>
      <c r="O43" s="396">
        <f t="shared" si="2"/>
        <v>8984.2443135666272</v>
      </c>
      <c r="P43" s="396">
        <f t="shared" si="2"/>
        <v>6232.7894564135977</v>
      </c>
      <c r="Q43" s="396">
        <f t="shared" si="2"/>
        <v>6090.4191250527801</v>
      </c>
      <c r="R43" s="396">
        <f t="shared" si="2"/>
        <v>5953.6427703201289</v>
      </c>
      <c r="S43" s="396">
        <f t="shared" si="2"/>
        <v>5822.2463757554497</v>
      </c>
      <c r="T43" s="396">
        <f t="shared" si="0"/>
        <v>5696.0241672286274</v>
      </c>
      <c r="U43" s="396">
        <f t="shared" si="0"/>
        <v>5574.7782960319992</v>
      </c>
      <c r="V43" s="396">
        <f t="shared" si="0"/>
        <v>5458.3185341625049</v>
      </c>
      <c r="W43" s="396">
        <f t="shared" si="0"/>
        <v>5346.46198132476</v>
      </c>
      <c r="X43" s="396">
        <f t="shared" si="0"/>
        <v>5239.0327832042894</v>
      </c>
      <c r="Y43" s="396">
        <f t="shared" si="0"/>
        <v>5135.8618605774273</v>
      </c>
      <c r="Z43" s="396">
        <f t="shared" si="0"/>
        <v>5036.7866488411355</v>
      </c>
      <c r="AA43" s="396">
        <f t="shared" si="0"/>
        <v>4941.6508475619476</v>
      </c>
      <c r="AB43" s="396">
        <f t="shared" si="0"/>
        <v>4850.3041796587277</v>
      </c>
      <c r="AC43" s="396">
        <f t="shared" ref="AC43:AQ43" si="3">AC58/$C58*10^5/10^3</f>
        <v>7109.1910887907607</v>
      </c>
      <c r="AD43" s="396">
        <f t="shared" si="3"/>
        <v>6777.5926434298299</v>
      </c>
      <c r="AE43" s="396">
        <f t="shared" si="3"/>
        <v>6464.6313488522992</v>
      </c>
      <c r="AF43" s="396">
        <f t="shared" si="3"/>
        <v>6169.3714422809535</v>
      </c>
      <c r="AG43" s="396">
        <f t="shared" si="3"/>
        <v>5890.9196116958892</v>
      </c>
      <c r="AH43" s="396">
        <f t="shared" si="3"/>
        <v>5628.4266140316413</v>
      </c>
      <c r="AI43" s="396">
        <f t="shared" si="3"/>
        <v>5381.083693720353</v>
      </c>
      <c r="AJ43" s="396">
        <f t="shared" si="3"/>
        <v>5148.1194315225157</v>
      </c>
      <c r="AK43" s="396">
        <f t="shared" si="3"/>
        <v>4928.8011280441642</v>
      </c>
      <c r="AL43" s="396">
        <f t="shared" si="3"/>
        <v>4722.4295769413748</v>
      </c>
      <c r="AM43" s="396">
        <f t="shared" si="3"/>
        <v>4528.3408327334319</v>
      </c>
      <c r="AN43" s="396">
        <f t="shared" si="3"/>
        <v>4345.9013990330659</v>
      </c>
      <c r="AO43" s="396">
        <f t="shared" si="3"/>
        <v>4364.6648905711845</v>
      </c>
      <c r="AP43" s="396">
        <f t="shared" si="3"/>
        <v>4289.8567147532667</v>
      </c>
      <c r="AQ43" s="396">
        <f t="shared" si="3"/>
        <v>4218.0728372357798</v>
      </c>
    </row>
    <row r="44" spans="1:46" x14ac:dyDescent="0.35">
      <c r="A44" s="395">
        <v>4</v>
      </c>
      <c r="B44" s="395" t="str">
        <f>INDEX($D$18:$I$18,1,A44)</f>
        <v>EG_CCGT</v>
      </c>
      <c r="C44" s="421">
        <f>NPV($G$35,D44:INDEX(D44:AQ44,$G$23))/$G$36</f>
        <v>8848.5269568257354</v>
      </c>
      <c r="D44" s="396">
        <f>D59/$C59*10^5/10^3</f>
        <v>14572.346329896569</v>
      </c>
      <c r="E44" s="396">
        <f t="shared" ref="E44:S44" si="4">E59/$C59*10^5/10^3</f>
        <v>13711.503319509331</v>
      </c>
      <c r="F44" s="396">
        <f t="shared" si="4"/>
        <v>12899.705739952349</v>
      </c>
      <c r="G44" s="396">
        <f t="shared" si="4"/>
        <v>12134.506341303682</v>
      </c>
      <c r="H44" s="396">
        <f t="shared" si="4"/>
        <v>11413.602001044346</v>
      </c>
      <c r="I44" s="396">
        <f t="shared" si="4"/>
        <v>10734.77401601772</v>
      </c>
      <c r="J44" s="396">
        <f t="shared" si="4"/>
        <v>10095.911721570665</v>
      </c>
      <c r="K44" s="396">
        <f t="shared" si="4"/>
        <v>9495.0303011724282</v>
      </c>
      <c r="L44" s="396">
        <f t="shared" si="4"/>
        <v>8930.2178013772336</v>
      </c>
      <c r="M44" s="396">
        <f t="shared" si="4"/>
        <v>8399.6562209447166</v>
      </c>
      <c r="N44" s="396">
        <f t="shared" si="4"/>
        <v>7901.6374320526547</v>
      </c>
      <c r="O44" s="396">
        <f t="shared" si="4"/>
        <v>7434.5161621892703</v>
      </c>
      <c r="P44" s="396">
        <f t="shared" si="4"/>
        <v>5249.2605074034018</v>
      </c>
      <c r="Q44" s="396">
        <f t="shared" si="4"/>
        <v>5151.7821714159145</v>
      </c>
      <c r="R44" s="396">
        <f t="shared" si="4"/>
        <v>5059.3075858550128</v>
      </c>
      <c r="S44" s="396">
        <f t="shared" si="4"/>
        <v>4971.6875777777732</v>
      </c>
      <c r="T44" s="396">
        <f t="shared" si="0"/>
        <v>4888.7802046447341</v>
      </c>
      <c r="U44" s="396">
        <f t="shared" si="0"/>
        <v>4810.4505277304297</v>
      </c>
      <c r="V44" s="396">
        <f t="shared" si="0"/>
        <v>4736.5703960255714</v>
      </c>
      <c r="W44" s="396">
        <f t="shared" si="0"/>
        <v>4667.018240288683</v>
      </c>
      <c r="X44" s="396">
        <f t="shared" si="0"/>
        <v>4601.6788769201785</v>
      </c>
      <c r="Y44" s="396">
        <f t="shared" si="0"/>
        <v>4540.4433213467273</v>
      </c>
      <c r="Z44" s="396">
        <f t="shared" si="0"/>
        <v>4483.2086106179622</v>
      </c>
      <c r="AA44" s="396">
        <f t="shared" si="0"/>
        <v>4429.8776349313957</v>
      </c>
      <c r="AB44" s="396">
        <f t="shared" si="0"/>
        <v>4380.3589778148007</v>
      </c>
      <c r="AC44" s="396"/>
      <c r="AD44" s="396"/>
      <c r="AE44" s="396"/>
      <c r="AF44" s="396"/>
      <c r="AG44" s="396"/>
      <c r="AH44" s="396"/>
      <c r="AI44" s="396"/>
      <c r="AJ44" s="396"/>
      <c r="AK44" s="396"/>
      <c r="AL44" s="396"/>
      <c r="AM44" s="396"/>
      <c r="AN44" s="396"/>
      <c r="AO44" s="396"/>
      <c r="AP44" s="396"/>
      <c r="AQ44" s="396"/>
    </row>
    <row r="45" spans="1:46" x14ac:dyDescent="0.35">
      <c r="A45" s="395">
        <v>5</v>
      </c>
      <c r="B45" s="395" t="str">
        <f>INDEX($D$18:$I$18,1,A45)</f>
        <v>EG_OCGT</v>
      </c>
      <c r="C45" s="421">
        <f>NPV($H$35,D45:INDEX(D45:AQ45,$H$23))/$H$36</f>
        <v>6454.3984013550207</v>
      </c>
      <c r="D45" s="396">
        <f>D60/$C60*10^5/10^3</f>
        <v>10501.698299735381</v>
      </c>
      <c r="E45" s="396">
        <f t="shared" ref="E45:S45" si="5">E60/$C60*10^5/10^3</f>
        <v>9890.3571433161196</v>
      </c>
      <c r="F45" s="396">
        <f t="shared" si="5"/>
        <v>9314.1580083909303</v>
      </c>
      <c r="G45" s="396">
        <f t="shared" si="5"/>
        <v>8771.3723551487037</v>
      </c>
      <c r="H45" s="396">
        <f t="shared" si="5"/>
        <v>8260.328415056385</v>
      </c>
      <c r="I45" s="396">
        <f t="shared" si="5"/>
        <v>7779.4617679946923</v>
      </c>
      <c r="J45" s="396">
        <f t="shared" si="5"/>
        <v>7327.2830024258819</v>
      </c>
      <c r="K45" s="396">
        <f t="shared" si="5"/>
        <v>6902.3515774233201</v>
      </c>
      <c r="L45" s="396">
        <f t="shared" si="5"/>
        <v>6503.3208545966045</v>
      </c>
      <c r="M45" s="396">
        <f t="shared" si="5"/>
        <v>6128.9094147391352</v>
      </c>
      <c r="N45" s="396">
        <f t="shared" si="5"/>
        <v>5777.8778856141889</v>
      </c>
      <c r="O45" s="396">
        <f t="shared" si="5"/>
        <v>5449.0690373226143</v>
      </c>
      <c r="P45" s="396">
        <f t="shared" si="5"/>
        <v>3893.18711861468</v>
      </c>
      <c r="Q45" s="396">
        <f t="shared" si="5"/>
        <v>3828.735164604203</v>
      </c>
      <c r="R45" s="396">
        <f t="shared" si="5"/>
        <v>3768.0274792501154</v>
      </c>
      <c r="S45" s="396">
        <f t="shared" si="5"/>
        <v>3710.9637025278489</v>
      </c>
      <c r="T45" s="396">
        <f t="shared" si="0"/>
        <v>3657.4488402053857</v>
      </c>
      <c r="U45" s="396">
        <f t="shared" si="0"/>
        <v>3607.3931094114755</v>
      </c>
      <c r="V45" s="396">
        <f t="shared" si="0"/>
        <v>3560.7117919354364</v>
      </c>
      <c r="W45" s="396">
        <f t="shared" si="0"/>
        <v>3517.3250950230367</v>
      </c>
      <c r="X45" s="396">
        <f t="shared" si="0"/>
        <v>3477.1580194440571</v>
      </c>
      <c r="Y45" s="396">
        <f t="shared" si="0"/>
        <v>3440.1402346180212</v>
      </c>
      <c r="Z45" s="396">
        <f t="shared" si="0"/>
        <v>3406.2059605950694</v>
      </c>
      <c r="AA45" s="396">
        <f t="shared" si="0"/>
        <v>3375.2938566990956</v>
      </c>
      <c r="AB45" s="396">
        <f t="shared" si="0"/>
        <v>3347.3469166501609</v>
      </c>
      <c r="AC45" s="396"/>
      <c r="AD45" s="396"/>
      <c r="AE45" s="396"/>
      <c r="AF45" s="396"/>
      <c r="AG45" s="396"/>
      <c r="AH45" s="396"/>
      <c r="AI45" s="396"/>
      <c r="AJ45" s="396"/>
      <c r="AK45" s="396"/>
      <c r="AL45" s="396"/>
      <c r="AM45" s="396"/>
      <c r="AN45" s="396"/>
      <c r="AO45" s="396"/>
      <c r="AP45" s="396"/>
      <c r="AQ45" s="396"/>
    </row>
    <row r="46" spans="1:46" x14ac:dyDescent="0.35">
      <c r="C46" s="498"/>
      <c r="D46" s="396"/>
      <c r="E46" s="396"/>
      <c r="F46" s="396"/>
      <c r="G46" s="396"/>
      <c r="H46" s="396"/>
      <c r="I46" s="396"/>
      <c r="J46" s="396"/>
      <c r="K46" s="396"/>
      <c r="L46" s="396"/>
      <c r="M46" s="396"/>
      <c r="N46" s="396"/>
      <c r="O46" s="396"/>
      <c r="P46" s="396"/>
      <c r="Q46" s="396"/>
      <c r="R46" s="396"/>
      <c r="S46" s="396"/>
      <c r="T46" s="396"/>
      <c r="U46" s="396"/>
      <c r="V46" s="396"/>
      <c r="W46" s="396"/>
      <c r="X46" s="396"/>
      <c r="Y46" s="396"/>
      <c r="Z46" s="396"/>
      <c r="AA46" s="396"/>
      <c r="AB46" s="396"/>
      <c r="AC46" s="396"/>
      <c r="AD46" s="396"/>
      <c r="AE46" s="396"/>
      <c r="AF46" s="396"/>
      <c r="AG46" s="396"/>
      <c r="AH46" s="396"/>
      <c r="AI46" s="396"/>
      <c r="AJ46" s="396"/>
      <c r="AK46" s="396"/>
      <c r="AL46" s="396"/>
      <c r="AM46" s="396"/>
      <c r="AN46" s="396"/>
      <c r="AO46" s="396"/>
      <c r="AP46" s="396"/>
      <c r="AQ46" s="396"/>
    </row>
    <row r="47" spans="1:46" x14ac:dyDescent="0.35">
      <c r="B47" s="418"/>
      <c r="C47" s="459"/>
      <c r="D47" s="170"/>
    </row>
    <row r="48" spans="1:46" ht="43.5" x14ac:dyDescent="0.35">
      <c r="A48" s="424" t="s">
        <v>1619</v>
      </c>
      <c r="B48" s="425" t="s">
        <v>1561</v>
      </c>
      <c r="C48" s="425" t="s">
        <v>1521</v>
      </c>
      <c r="D48" s="426" t="s">
        <v>1596</v>
      </c>
      <c r="E48" s="425" t="s">
        <v>1528</v>
      </c>
      <c r="F48" s="426" t="s">
        <v>1525</v>
      </c>
      <c r="G48" s="426">
        <v>2019</v>
      </c>
      <c r="H48" s="426">
        <v>2020</v>
      </c>
      <c r="I48" s="425">
        <v>2021</v>
      </c>
      <c r="J48" s="426">
        <v>2022</v>
      </c>
      <c r="K48" s="425">
        <v>2023</v>
      </c>
      <c r="L48" s="426">
        <v>2024</v>
      </c>
      <c r="M48" s="425">
        <v>2025</v>
      </c>
      <c r="N48" s="426">
        <v>2026</v>
      </c>
      <c r="O48" s="425">
        <v>2027</v>
      </c>
      <c r="P48" s="426">
        <v>2028</v>
      </c>
      <c r="Q48" s="425">
        <v>2029</v>
      </c>
      <c r="R48" s="426">
        <v>2030</v>
      </c>
      <c r="S48" s="425">
        <v>2031</v>
      </c>
      <c r="T48" s="426">
        <v>2032</v>
      </c>
      <c r="U48" s="425">
        <v>2033</v>
      </c>
      <c r="V48" s="426">
        <v>2034</v>
      </c>
      <c r="W48" s="425">
        <v>2035</v>
      </c>
      <c r="X48" s="426">
        <v>2036</v>
      </c>
      <c r="Y48" s="425">
        <v>2037</v>
      </c>
      <c r="Z48" s="426">
        <v>2038</v>
      </c>
      <c r="AA48" s="425">
        <v>2039</v>
      </c>
      <c r="AB48" s="426">
        <v>2040</v>
      </c>
      <c r="AC48" s="425">
        <v>2041</v>
      </c>
      <c r="AD48" s="426">
        <v>2042</v>
      </c>
      <c r="AE48" s="425">
        <v>2043</v>
      </c>
      <c r="AF48" s="426">
        <v>2044</v>
      </c>
      <c r="AG48" s="425">
        <v>2045</v>
      </c>
      <c r="AH48" s="426">
        <v>2046</v>
      </c>
      <c r="AI48" s="425">
        <v>2047</v>
      </c>
      <c r="AJ48" s="426">
        <v>2048</v>
      </c>
      <c r="AK48" s="425">
        <v>2049</v>
      </c>
      <c r="AL48" s="426">
        <v>2050</v>
      </c>
      <c r="AM48" s="425">
        <v>2051</v>
      </c>
      <c r="AN48" s="426">
        <v>2052</v>
      </c>
      <c r="AO48" s="425">
        <v>2053</v>
      </c>
      <c r="AP48" s="426">
        <v>2054</v>
      </c>
      <c r="AQ48" s="425">
        <v>2055</v>
      </c>
      <c r="AR48" s="426">
        <v>2056</v>
      </c>
      <c r="AS48" s="425">
        <v>2057</v>
      </c>
      <c r="AT48" s="426">
        <v>2058</v>
      </c>
    </row>
    <row r="49" spans="1:53" x14ac:dyDescent="0.35">
      <c r="A49" s="427">
        <v>2020</v>
      </c>
      <c r="B49" s="428" t="s">
        <v>1604</v>
      </c>
      <c r="C49" s="428">
        <v>40</v>
      </c>
      <c r="D49" s="492">
        <f>$F$35</f>
        <v>5.5985576923076819E-2</v>
      </c>
      <c r="E49" s="429">
        <f>(((1+D49)^C49-1)/(D49*(1+D49)^C49))</f>
        <v>15.840566070871251</v>
      </c>
      <c r="F49" s="430">
        <f>NPV($D49,$G49:$AT49)/$E49</f>
        <v>10872.741503138899</v>
      </c>
      <c r="G49" s="430">
        <f>SUMIF(Assumptions_EG!$B$43:$B$48,$B49,Assumptions_EG!$D$43:$D$48)</f>
        <v>16905.359223300969</v>
      </c>
      <c r="H49" s="430">
        <f>G49*(1+INDEX(Assumptions_EG!$E$43:$E$46,MATCH($B49,Assumptions_EG!$B$43:$B$46,0)))</f>
        <v>16229.144854368929</v>
      </c>
      <c r="I49" s="430">
        <f>H49*(1+INDEX(Assumptions_EG!$E$43:$E$46,MATCH($B49,Assumptions_EG!$B$43:$B$46,0)))</f>
        <v>15579.979060194171</v>
      </c>
      <c r="J49" s="430">
        <f>I49*(1+INDEX(Assumptions_EG!$E$43:$E$46,MATCH($B49,Assumptions_EG!$B$43:$B$46,0)))</f>
        <v>14956.779897786404</v>
      </c>
      <c r="K49" s="430">
        <f>J49*(1+INDEX(Assumptions_EG!$E$43:$E$46,MATCH($B49,Assumptions_EG!$B$43:$B$46,0)))</f>
        <v>14358.508701874947</v>
      </c>
      <c r="L49" s="430">
        <f>K49*(1+INDEX(Assumptions_EG!$E$43:$E$46,MATCH($B49,Assumptions_EG!$B$43:$B$46,0)))</f>
        <v>13784.168353799949</v>
      </c>
      <c r="M49" s="430">
        <f>L49*(1+INDEX(Assumptions_EG!$E$43:$E$46,MATCH($B49,Assumptions_EG!$B$43:$B$46,0)))</f>
        <v>13232.801619647951</v>
      </c>
      <c r="N49" s="430">
        <f>M49*(1+INDEX(Assumptions_EG!$E$43:$E$46,MATCH($B49,Assumptions_EG!$B$43:$B$46,0)))</f>
        <v>12703.489554862033</v>
      </c>
      <c r="O49" s="430">
        <f>N49*(1+INDEX(Assumptions_EG!$E$43:$E$46,MATCH($B49,Assumptions_EG!$B$43:$B$46,0)))</f>
        <v>12195.349972667551</v>
      </c>
      <c r="P49" s="430">
        <f>O49*(1+INDEX(Assumptions_EG!$E$43:$E$46,MATCH($B49,Assumptions_EG!$B$43:$B$46,0)))</f>
        <v>11707.535973760849</v>
      </c>
      <c r="Q49" s="430">
        <f>P49*(1+INDEX(Assumptions_EG!$E$43:$E$46,MATCH($B49,Assumptions_EG!$B$43:$B$46,0)))</f>
        <v>11239.234534810414</v>
      </c>
      <c r="R49" s="430">
        <f>Q49*(1+INDEX(Assumptions_EG!$E$43:$E$46,MATCH($B49,Assumptions_EG!$B$43:$B$46,0)))</f>
        <v>10789.665153417996</v>
      </c>
      <c r="S49" s="430">
        <f>R49*(1+INDEX(Assumptions_EG!$E$43:$E$46,MATCH($B49,Assumptions_EG!$B$43:$B$46,0)))</f>
        <v>10358.078547281277</v>
      </c>
      <c r="T49" s="430">
        <f>S49*(1+INDEX(Assumptions_EG!$E$43:$E$46,MATCH($B49,Assumptions_EG!$B$43:$B$46,0)))</f>
        <v>9943.7554053900258</v>
      </c>
      <c r="U49" s="430">
        <f>T49*(1+INDEX(Assumptions_EG!$E$43:$E$46,MATCH($B49,Assumptions_EG!$B$43:$B$46,0)))</f>
        <v>9546.0051891744242</v>
      </c>
      <c r="V49" s="430">
        <f>U49*(1+INDEX(Assumptions_EG!$E$43:$E$46,MATCH($B49,Assumptions_EG!$B$43:$B$46,0)))</f>
        <v>9164.1649816074478</v>
      </c>
      <c r="W49" s="430">
        <f>V49*(1+INDEX(Assumptions_EG!$E$43:$E$46,MATCH($B49,Assumptions_EG!$B$43:$B$46,0)))</f>
        <v>8797.5983823431488</v>
      </c>
      <c r="X49" s="430">
        <f>W49*(1+INDEX(Assumptions_EG!$E$43:$E$46,MATCH($B49,Assumptions_EG!$B$43:$B$46,0)))</f>
        <v>8445.6944470494218</v>
      </c>
      <c r="Y49" s="430">
        <f>X49*(1+INDEX(Assumptions_EG!$E$43:$E$46,MATCH($B49,Assumptions_EG!$B$43:$B$46,0)))</f>
        <v>8107.8666691674443</v>
      </c>
      <c r="Z49" s="430">
        <f>Y49*(1+INDEX(Assumptions_EG!$E$43:$E$46,MATCH($B49,Assumptions_EG!$B$43:$B$46,0)))</f>
        <v>7783.5520024007465</v>
      </c>
      <c r="AA49" s="430">
        <f>Z49*(1+INDEX(Assumptions_EG!$E$43:$E$46,MATCH($B49,Assumptions_EG!$B$43:$B$46,0)))</f>
        <v>7472.2099223047162</v>
      </c>
      <c r="AB49" s="430">
        <f>AA49*(1+INDEX(Assumptions_EG!$E$43:$E$46,MATCH($B49,Assumptions_EG!$B$43:$B$46,0)))</f>
        <v>7173.3215254125271</v>
      </c>
      <c r="AC49" s="430">
        <f>AB49*(1+INDEX(Assumptions_EG!$E$43:$E$46,MATCH($B49,Assumptions_EG!$B$43:$B$46,0)))</f>
        <v>6886.3886643960259</v>
      </c>
      <c r="AD49" s="430">
        <f>AC49*(1+INDEX(Assumptions_EG!$E$43:$E$46,MATCH($B49,Assumptions_EG!$B$43:$B$46,0)))</f>
        <v>6610.9331178201846</v>
      </c>
      <c r="AE49" s="430">
        <f>AD49*(1+INDEX(Assumptions_EG!$E$43:$E$46,MATCH($B49,Assumptions_EG!$B$43:$B$46,0)))</f>
        <v>6346.4957931073768</v>
      </c>
      <c r="AF49" s="430">
        <f>AE49*(1+INDEX(Assumptions_EG!$E$43:$E$46,MATCH($B49,Assumptions_EG!$B$43:$B$46,0)))</f>
        <v>6092.6359613830818</v>
      </c>
      <c r="AG49" s="430">
        <f>AF49*(1+INDEX(Assumptions_EG!$E$43:$E$46,MATCH($B49,Assumptions_EG!$B$43:$B$46,0)))</f>
        <v>5848.9305229277579</v>
      </c>
      <c r="AH49" s="430">
        <f>AG49*(1+INDEX(Assumptions_EG!$E$43:$E$46,MATCH($B49,Assumptions_EG!$B$43:$B$46,0)))</f>
        <v>5614.9733020106478</v>
      </c>
      <c r="AI49" s="430">
        <f>AH49*(1+INDEX(Assumptions_EG!$E$43:$E$46,MATCH($B49,Assumptions_EG!$B$43:$B$46,0)))</f>
        <v>5390.3743699302213</v>
      </c>
      <c r="AJ49" s="430">
        <f>AI49*(1+INDEX(Assumptions_EG!$E$43:$E$46,MATCH($B49,Assumptions_EG!$B$43:$B$46,0)))</f>
        <v>5174.7593951330118</v>
      </c>
      <c r="AK49" s="430">
        <f>AJ49*(1+INDEX(Assumptions_EG!$E$43:$E$46,MATCH($B49,Assumptions_EG!$B$43:$B$46,0)))</f>
        <v>4967.7690193276912</v>
      </c>
      <c r="AL49" s="430">
        <f>AK49*(1+INDEX(Assumptions_EG!$E$43:$E$46,MATCH($B49,Assumptions_EG!$B$43:$B$46,0)))</f>
        <v>4769.0582585545835</v>
      </c>
      <c r="AM49" s="430">
        <f>AL49*(1+INDEX(Assumptions_EG!$E$43:$E$46,MATCH($B49,Assumptions_EG!$B$43:$B$46,0)))</f>
        <v>4578.2959282124002</v>
      </c>
      <c r="AN49" s="430">
        <f>AM49*(1+INDEX(Assumptions_EG!$E$43:$E$46,MATCH($B49,Assumptions_EG!$B$43:$B$46,0)))</f>
        <v>4395.1640910839042</v>
      </c>
      <c r="AO49" s="430">
        <f>AN49*(1+INDEX(Assumptions_EG!$E$43:$E$46,MATCH($B49,Assumptions_EG!$B$43:$B$46,0)))</f>
        <v>4219.3575274405475</v>
      </c>
      <c r="AP49" s="430">
        <f>AO49*(1+INDEX(Assumptions_EG!$E$43:$E$46,MATCH($B49,Assumptions_EG!$B$43:$B$46,0)))</f>
        <v>4050.5832263429256</v>
      </c>
      <c r="AQ49" s="430">
        <f>AP49*(1+INDEX(Assumptions_EG!$E$43:$E$46,MATCH($B49,Assumptions_EG!$B$43:$B$46,0)))</f>
        <v>3888.5598972892085</v>
      </c>
      <c r="AR49" s="430">
        <f>AQ49*(1+INDEX(Assumptions_EG!$E$43:$E$46,MATCH($B49,Assumptions_EG!$B$43:$B$46,0)))</f>
        <v>3733.01750139764</v>
      </c>
      <c r="AS49" s="430">
        <f>AR49*(1+INDEX(Assumptions_EG!$E$43:$E$46,MATCH($B49,Assumptions_EG!$B$43:$B$46,0)))</f>
        <v>3583.696801341734</v>
      </c>
      <c r="AT49" s="430">
        <f>AS49*(1+INDEX(Assumptions_EG!$E$43:$E$46,MATCH($B49,Assumptions_EG!$B$43:$B$46,0)))</f>
        <v>3440.3489292880645</v>
      </c>
    </row>
    <row r="50" spans="1:53" x14ac:dyDescent="0.35">
      <c r="A50" s="431">
        <v>2020</v>
      </c>
      <c r="B50" s="432" t="s">
        <v>1615</v>
      </c>
      <c r="C50" s="432">
        <v>40</v>
      </c>
      <c r="D50" s="493">
        <f>$F$35</f>
        <v>5.5985576923076819E-2</v>
      </c>
      <c r="E50" s="433">
        <f>(((1+D50)^C50-1)/(D50*(1+D50)^C50))</f>
        <v>15.840566070871251</v>
      </c>
      <c r="F50" s="434">
        <f>NPV($D50,$G50:$AT50)/$E50</f>
        <v>20148.813739673951</v>
      </c>
      <c r="G50" s="434">
        <f>SUMIF(Assumptions_EG!$B$43:$B$48,$B50,Assumptions_EG!$D$43:$D$48)</f>
        <v>20148.813739673951</v>
      </c>
      <c r="H50" s="434">
        <f>G50*(1+INDEX(Assumptions_EG!$E$43:$E$46,MATCH($B50,Assumptions_EG!$B$43:$B$46,0)))</f>
        <v>20148.813739673951</v>
      </c>
      <c r="I50" s="434">
        <f>H50*(1+INDEX(Assumptions_EG!$E$43:$E$46,MATCH($B50,Assumptions_EG!$B$43:$B$46,0)))</f>
        <v>20148.813739673951</v>
      </c>
      <c r="J50" s="434">
        <f>I50*(1+INDEX(Assumptions_EG!$E$43:$E$46,MATCH($B50,Assumptions_EG!$B$43:$B$46,0)))</f>
        <v>20148.813739673951</v>
      </c>
      <c r="K50" s="434">
        <f>J50*(1+INDEX(Assumptions_EG!$E$43:$E$46,MATCH($B50,Assumptions_EG!$B$43:$B$46,0)))</f>
        <v>20148.813739673951</v>
      </c>
      <c r="L50" s="434">
        <f>K50*(1+INDEX(Assumptions_EG!$E$43:$E$46,MATCH($B50,Assumptions_EG!$B$43:$B$46,0)))</f>
        <v>20148.813739673951</v>
      </c>
      <c r="M50" s="434">
        <f>L50*(1+INDEX(Assumptions_EG!$E$43:$E$46,MATCH($B50,Assumptions_EG!$B$43:$B$46,0)))</f>
        <v>20148.813739673951</v>
      </c>
      <c r="N50" s="434">
        <f>M50*(1+INDEX(Assumptions_EG!$E$43:$E$46,MATCH($B50,Assumptions_EG!$B$43:$B$46,0)))</f>
        <v>20148.813739673951</v>
      </c>
      <c r="O50" s="434">
        <f>N50*(1+INDEX(Assumptions_EG!$E$43:$E$46,MATCH($B50,Assumptions_EG!$B$43:$B$46,0)))</f>
        <v>20148.813739673951</v>
      </c>
      <c r="P50" s="434">
        <f>O50*(1+INDEX(Assumptions_EG!$E$43:$E$46,MATCH($B50,Assumptions_EG!$B$43:$B$46,0)))</f>
        <v>20148.813739673951</v>
      </c>
      <c r="Q50" s="434">
        <f>P50*(1+INDEX(Assumptions_EG!$E$43:$E$46,MATCH($B50,Assumptions_EG!$B$43:$B$46,0)))</f>
        <v>20148.813739673951</v>
      </c>
      <c r="R50" s="434">
        <f>Q50*(1+INDEX(Assumptions_EG!$E$43:$E$46,MATCH($B50,Assumptions_EG!$B$43:$B$46,0)))</f>
        <v>20148.813739673951</v>
      </c>
      <c r="S50" s="434">
        <f>R50*(1+INDEX(Assumptions_EG!$E$43:$E$46,MATCH($B50,Assumptions_EG!$B$43:$B$46,0)))</f>
        <v>20148.813739673951</v>
      </c>
      <c r="T50" s="434">
        <f>S50*(1+INDEX(Assumptions_EG!$E$43:$E$46,MATCH($B50,Assumptions_EG!$B$43:$B$46,0)))</f>
        <v>20148.813739673951</v>
      </c>
      <c r="U50" s="434">
        <f>T50*(1+INDEX(Assumptions_EG!$E$43:$E$46,MATCH($B50,Assumptions_EG!$B$43:$B$46,0)))</f>
        <v>20148.813739673951</v>
      </c>
      <c r="V50" s="434">
        <f>U50*(1+INDEX(Assumptions_EG!$E$43:$E$46,MATCH($B50,Assumptions_EG!$B$43:$B$46,0)))</f>
        <v>20148.813739673951</v>
      </c>
      <c r="W50" s="434">
        <f>V50*(1+INDEX(Assumptions_EG!$E$43:$E$46,MATCH($B50,Assumptions_EG!$B$43:$B$46,0)))</f>
        <v>20148.813739673951</v>
      </c>
      <c r="X50" s="434">
        <f>W50*(1+INDEX(Assumptions_EG!$E$43:$E$46,MATCH($B50,Assumptions_EG!$B$43:$B$46,0)))</f>
        <v>20148.813739673951</v>
      </c>
      <c r="Y50" s="434">
        <f>X50*(1+INDEX(Assumptions_EG!$E$43:$E$46,MATCH($B50,Assumptions_EG!$B$43:$B$46,0)))</f>
        <v>20148.813739673951</v>
      </c>
      <c r="Z50" s="434">
        <f>Y50*(1+INDEX(Assumptions_EG!$E$43:$E$46,MATCH($B50,Assumptions_EG!$B$43:$B$46,0)))</f>
        <v>20148.813739673951</v>
      </c>
      <c r="AA50" s="434">
        <f>Z50*(1+INDEX(Assumptions_EG!$E$43:$E$46,MATCH($B50,Assumptions_EG!$B$43:$B$46,0)))</f>
        <v>20148.813739673951</v>
      </c>
      <c r="AB50" s="434">
        <f>AA50*(1+INDEX(Assumptions_EG!$E$43:$E$46,MATCH($B50,Assumptions_EG!$B$43:$B$46,0)))</f>
        <v>20148.813739673951</v>
      </c>
      <c r="AC50" s="434">
        <f>AB50*(1+INDEX(Assumptions_EG!$E$43:$E$46,MATCH($B50,Assumptions_EG!$B$43:$B$46,0)))</f>
        <v>20148.813739673951</v>
      </c>
      <c r="AD50" s="434">
        <f>AC50*(1+INDEX(Assumptions_EG!$E$43:$E$46,MATCH($B50,Assumptions_EG!$B$43:$B$46,0)))</f>
        <v>20148.813739673951</v>
      </c>
      <c r="AE50" s="434">
        <f>AD50*(1+INDEX(Assumptions_EG!$E$43:$E$46,MATCH($B50,Assumptions_EG!$B$43:$B$46,0)))</f>
        <v>20148.813739673951</v>
      </c>
      <c r="AF50" s="434">
        <f>AE50*(1+INDEX(Assumptions_EG!$E$43:$E$46,MATCH($B50,Assumptions_EG!$B$43:$B$46,0)))</f>
        <v>20148.813739673951</v>
      </c>
      <c r="AG50" s="434">
        <f>AF50*(1+INDEX(Assumptions_EG!$E$43:$E$46,MATCH($B50,Assumptions_EG!$B$43:$B$46,0)))</f>
        <v>20148.813739673951</v>
      </c>
      <c r="AH50" s="434">
        <f>AG50*(1+INDEX(Assumptions_EG!$E$43:$E$46,MATCH($B50,Assumptions_EG!$B$43:$B$46,0)))</f>
        <v>20148.813739673951</v>
      </c>
      <c r="AI50" s="434">
        <f>AH50*(1+INDEX(Assumptions_EG!$E$43:$E$46,MATCH($B50,Assumptions_EG!$B$43:$B$46,0)))</f>
        <v>20148.813739673951</v>
      </c>
      <c r="AJ50" s="434">
        <f>AI50*(1+INDEX(Assumptions_EG!$E$43:$E$46,MATCH($B50,Assumptions_EG!$B$43:$B$46,0)))</f>
        <v>20148.813739673951</v>
      </c>
      <c r="AK50" s="434">
        <f>AJ50*(1+INDEX(Assumptions_EG!$E$43:$E$46,MATCH($B50,Assumptions_EG!$B$43:$B$46,0)))</f>
        <v>20148.813739673951</v>
      </c>
      <c r="AL50" s="434">
        <f>AK50*(1+INDEX(Assumptions_EG!$E$43:$E$46,MATCH($B50,Assumptions_EG!$B$43:$B$46,0)))</f>
        <v>20148.813739673951</v>
      </c>
      <c r="AM50" s="434">
        <f>AL50*(1+INDEX(Assumptions_EG!$E$43:$E$46,MATCH($B50,Assumptions_EG!$B$43:$B$46,0)))</f>
        <v>20148.813739673951</v>
      </c>
      <c r="AN50" s="434">
        <f>AM50*(1+INDEX(Assumptions_EG!$E$43:$E$46,MATCH($B50,Assumptions_EG!$B$43:$B$46,0)))</f>
        <v>20148.813739673951</v>
      </c>
      <c r="AO50" s="434">
        <f>AN50*(1+INDEX(Assumptions_EG!$E$43:$E$46,MATCH($B50,Assumptions_EG!$B$43:$B$46,0)))</f>
        <v>20148.813739673951</v>
      </c>
      <c r="AP50" s="434">
        <f>AO50*(1+INDEX(Assumptions_EG!$E$43:$E$46,MATCH($B50,Assumptions_EG!$B$43:$B$46,0)))</f>
        <v>20148.813739673951</v>
      </c>
      <c r="AQ50" s="434">
        <f>AP50*(1+INDEX(Assumptions_EG!$E$43:$E$46,MATCH($B50,Assumptions_EG!$B$43:$B$46,0)))</f>
        <v>20148.813739673951</v>
      </c>
      <c r="AR50" s="434">
        <f>AQ50*(1+INDEX(Assumptions_EG!$E$43:$E$46,MATCH($B50,Assumptions_EG!$B$43:$B$46,0)))</f>
        <v>20148.813739673951</v>
      </c>
      <c r="AS50" s="434">
        <f>AR50*(1+INDEX(Assumptions_EG!$E$43:$E$46,MATCH($B50,Assumptions_EG!$B$43:$B$46,0)))</f>
        <v>20148.813739673951</v>
      </c>
      <c r="AT50" s="434">
        <f>AS50*(1+INDEX(Assumptions_EG!$E$43:$E$46,MATCH($B50,Assumptions_EG!$B$43:$B$46,0)))</f>
        <v>20148.813739673951</v>
      </c>
    </row>
    <row r="51" spans="1:53" x14ac:dyDescent="0.35">
      <c r="A51" s="427">
        <v>2020</v>
      </c>
      <c r="B51" s="428" t="s">
        <v>1603</v>
      </c>
      <c r="C51" s="428">
        <v>40</v>
      </c>
      <c r="D51" s="492">
        <f>$F$35</f>
        <v>5.5985576923076819E-2</v>
      </c>
      <c r="E51" s="429">
        <f>(((1+D51)^C51-1)/(D51*(1+D51)^C51))</f>
        <v>15.840566070871251</v>
      </c>
      <c r="F51" s="430">
        <f>NPV($D51,$G51:$AT51)/$E51</f>
        <v>6101.463203368502</v>
      </c>
      <c r="G51" s="430">
        <f>SUMIF(Assumptions_EG!$B$43:$B$48,$B51,Assumptions_EG!$D$43:$D$48)</f>
        <v>9486.7910922851552</v>
      </c>
      <c r="H51" s="430">
        <f>G51*(1+INDEX(Assumptions_EG!$E$43:$E$46,MATCH($B51,Assumptions_EG!$B$43:$B$46,0)))</f>
        <v>9107.3194485937493</v>
      </c>
      <c r="I51" s="430">
        <f>H51*(1+INDEX(Assumptions_EG!$E$43:$E$46,MATCH($B51,Assumptions_EG!$B$43:$B$46,0)))</f>
        <v>8743.0266706499988</v>
      </c>
      <c r="J51" s="430">
        <f>I51*(1+INDEX(Assumptions_EG!$E$43:$E$46,MATCH($B51,Assumptions_EG!$B$43:$B$46,0)))</f>
        <v>8393.3056038239993</v>
      </c>
      <c r="K51" s="430">
        <f>J51*(1+INDEX(Assumptions_EG!$E$43:$E$46,MATCH($B51,Assumptions_EG!$B$43:$B$46,0)))</f>
        <v>8057.5733796710392</v>
      </c>
      <c r="L51" s="430">
        <f>K51*(1+INDEX(Assumptions_EG!$E$43:$E$46,MATCH($B51,Assumptions_EG!$B$43:$B$46,0)))</f>
        <v>7735.2704444841975</v>
      </c>
      <c r="M51" s="430">
        <f>L51*(1+INDEX(Assumptions_EG!$E$43:$E$46,MATCH($B51,Assumptions_EG!$B$43:$B$46,0)))</f>
        <v>7425.8596267048297</v>
      </c>
      <c r="N51" s="430">
        <f>M51*(1+INDEX(Assumptions_EG!$E$43:$E$46,MATCH($B51,Assumptions_EG!$B$43:$B$46,0)))</f>
        <v>7128.8252416366358</v>
      </c>
      <c r="O51" s="430">
        <f>N51*(1+INDEX(Assumptions_EG!$E$43:$E$46,MATCH($B51,Assumptions_EG!$B$43:$B$46,0)))</f>
        <v>6843.6722319711698</v>
      </c>
      <c r="P51" s="430">
        <f>O51*(1+INDEX(Assumptions_EG!$E$43:$E$46,MATCH($B51,Assumptions_EG!$B$43:$B$46,0)))</f>
        <v>6569.9253426923224</v>
      </c>
      <c r="Q51" s="430">
        <f>P51*(1+INDEX(Assumptions_EG!$E$43:$E$46,MATCH($B51,Assumptions_EG!$B$43:$B$46,0)))</f>
        <v>6307.1283289846297</v>
      </c>
      <c r="R51" s="430">
        <f>Q51*(1+INDEX(Assumptions_EG!$E$43:$E$46,MATCH($B51,Assumptions_EG!$B$43:$B$46,0)))</f>
        <v>6054.843195825244</v>
      </c>
      <c r="S51" s="430">
        <f>R51*(1+INDEX(Assumptions_EG!$E$43:$E$46,MATCH($B51,Assumptions_EG!$B$43:$B$46,0)))</f>
        <v>5812.6494679922343</v>
      </c>
      <c r="T51" s="430">
        <f>S51*(1+INDEX(Assumptions_EG!$E$43:$E$46,MATCH($B51,Assumptions_EG!$B$43:$B$46,0)))</f>
        <v>5580.1434892725447</v>
      </c>
      <c r="U51" s="430">
        <f>T51*(1+INDEX(Assumptions_EG!$E$43:$E$46,MATCH($B51,Assumptions_EG!$B$43:$B$46,0)))</f>
        <v>5356.937749701643</v>
      </c>
      <c r="V51" s="430">
        <f>U51*(1+INDEX(Assumptions_EG!$E$43:$E$46,MATCH($B51,Assumptions_EG!$B$43:$B$46,0)))</f>
        <v>5142.6602397135775</v>
      </c>
      <c r="W51" s="430">
        <f>V51*(1+INDEX(Assumptions_EG!$E$43:$E$46,MATCH($B51,Assumptions_EG!$B$43:$B$46,0)))</f>
        <v>4936.9538301250341</v>
      </c>
      <c r="X51" s="430">
        <f>W51*(1+INDEX(Assumptions_EG!$E$43:$E$46,MATCH($B51,Assumptions_EG!$B$43:$B$46,0)))</f>
        <v>4739.4756769200321</v>
      </c>
      <c r="Y51" s="430">
        <f>X51*(1+INDEX(Assumptions_EG!$E$43:$E$46,MATCH($B51,Assumptions_EG!$B$43:$B$46,0)))</f>
        <v>4549.896649843231</v>
      </c>
      <c r="Z51" s="430">
        <f>Y51*(1+INDEX(Assumptions_EG!$E$43:$E$46,MATCH($B51,Assumptions_EG!$B$43:$B$46,0)))</f>
        <v>4367.9007838495017</v>
      </c>
      <c r="AA51" s="430">
        <f>Z51*(1+INDEX(Assumptions_EG!$E$43:$E$46,MATCH($B51,Assumptions_EG!$B$43:$B$46,0)))</f>
        <v>4193.1847524955219</v>
      </c>
      <c r="AB51" s="430">
        <f>AA51*(1+INDEX(Assumptions_EG!$E$43:$E$46,MATCH($B51,Assumptions_EG!$B$43:$B$46,0)))</f>
        <v>4025.4573623957008</v>
      </c>
      <c r="AC51" s="430">
        <f>AB51*(1+INDEX(Assumptions_EG!$E$43:$E$46,MATCH($B51,Assumptions_EG!$B$43:$B$46,0)))</f>
        <v>3864.4390678998725</v>
      </c>
      <c r="AD51" s="430">
        <f>AC51*(1+INDEX(Assumptions_EG!$E$43:$E$46,MATCH($B51,Assumptions_EG!$B$43:$B$46,0)))</f>
        <v>3709.8615051838774</v>
      </c>
      <c r="AE51" s="430">
        <f>AD51*(1+INDEX(Assumptions_EG!$E$43:$E$46,MATCH($B51,Assumptions_EG!$B$43:$B$46,0)))</f>
        <v>3561.4670449765222</v>
      </c>
      <c r="AF51" s="430">
        <f>AE51*(1+INDEX(Assumptions_EG!$E$43:$E$46,MATCH($B51,Assumptions_EG!$B$43:$B$46,0)))</f>
        <v>3419.008363177461</v>
      </c>
      <c r="AG51" s="430">
        <f>AF51*(1+INDEX(Assumptions_EG!$E$43:$E$46,MATCH($B51,Assumptions_EG!$B$43:$B$46,0)))</f>
        <v>3282.2480286503624</v>
      </c>
      <c r="AH51" s="430">
        <f>AG51*(1+INDEX(Assumptions_EG!$E$43:$E$46,MATCH($B51,Assumptions_EG!$B$43:$B$46,0)))</f>
        <v>3150.9581075043479</v>
      </c>
      <c r="AI51" s="430">
        <f>AH51*(1+INDEX(Assumptions_EG!$E$43:$E$46,MATCH($B51,Assumptions_EG!$B$43:$B$46,0)))</f>
        <v>3024.9197832041741</v>
      </c>
      <c r="AJ51" s="430">
        <f>AI51*(1+INDEX(Assumptions_EG!$E$43:$E$46,MATCH($B51,Assumptions_EG!$B$43:$B$46,0)))</f>
        <v>2903.922991876007</v>
      </c>
      <c r="AK51" s="430">
        <f>AJ51*(1+INDEX(Assumptions_EG!$E$43:$E$46,MATCH($B51,Assumptions_EG!$B$43:$B$46,0)))</f>
        <v>2787.7660722009668</v>
      </c>
      <c r="AL51" s="430">
        <f>AK51*(1+INDEX(Assumptions_EG!$E$43:$E$46,MATCH($B51,Assumptions_EG!$B$43:$B$46,0)))</f>
        <v>2676.2554293129283</v>
      </c>
      <c r="AM51" s="430">
        <f>AL51*(1+INDEX(Assumptions_EG!$E$43:$E$46,MATCH($B51,Assumptions_EG!$B$43:$B$46,0)))</f>
        <v>2569.2052121404113</v>
      </c>
      <c r="AN51" s="430">
        <f>AM51*(1+INDEX(Assumptions_EG!$E$43:$E$46,MATCH($B51,Assumptions_EG!$B$43:$B$46,0)))</f>
        <v>2466.4370036547948</v>
      </c>
      <c r="AO51" s="430">
        <f>AN51*(1+INDEX(Assumptions_EG!$E$43:$E$46,MATCH($B51,Assumptions_EG!$B$43:$B$46,0)))</f>
        <v>2367.7795235086028</v>
      </c>
      <c r="AP51" s="430">
        <f>AO51*(1+INDEX(Assumptions_EG!$E$43:$E$46,MATCH($B51,Assumptions_EG!$B$43:$B$46,0)))</f>
        <v>2273.0683425682587</v>
      </c>
      <c r="AQ51" s="430">
        <f>AP51*(1+INDEX(Assumptions_EG!$E$43:$E$46,MATCH($B51,Assumptions_EG!$B$43:$B$46,0)))</f>
        <v>2182.1456088655282</v>
      </c>
      <c r="AR51" s="430">
        <f>AQ51*(1+INDEX(Assumptions_EG!$E$43:$E$46,MATCH($B51,Assumptions_EG!$B$43:$B$46,0)))</f>
        <v>2094.859784510907</v>
      </c>
      <c r="AS51" s="430">
        <f>AR51*(1+INDEX(Assumptions_EG!$E$43:$E$46,MATCH($B51,Assumptions_EG!$B$43:$B$46,0)))</f>
        <v>2011.0653931304707</v>
      </c>
      <c r="AT51" s="430">
        <f>AS51*(1+INDEX(Assumptions_EG!$E$43:$E$46,MATCH($B51,Assumptions_EG!$B$43:$B$46,0)))</f>
        <v>1930.6227774052518</v>
      </c>
    </row>
    <row r="52" spans="1:53" x14ac:dyDescent="0.35">
      <c r="A52" s="431">
        <v>2020</v>
      </c>
      <c r="B52" s="432" t="s">
        <v>1605</v>
      </c>
      <c r="C52" s="432">
        <v>20</v>
      </c>
      <c r="D52" s="493">
        <f>$F$35</f>
        <v>5.5985576923076819E-2</v>
      </c>
      <c r="E52" s="433">
        <f>(((1+D52)^C52-1)/(D52*(1+D52)^C52))</f>
        <v>11.853270254507041</v>
      </c>
      <c r="F52" s="434">
        <f>NPV($D52,$G52:$AT52)/$E52</f>
        <v>10426.102375692073</v>
      </c>
      <c r="G52" s="434">
        <f>SUMIF(Assumptions_EG!$B$43:$B$48,$B52,Assumptions_EG!$D$43:$D$48)</f>
        <v>13933.989426319249</v>
      </c>
      <c r="H52" s="434">
        <f>G52*(1+INDEX(Assumptions_EG!$E$43:$E$46,MATCH($B52,Assumptions_EG!$B$43:$B$46,0)))</f>
        <v>13376.629849266479</v>
      </c>
      <c r="I52" s="434">
        <f>H52*(1+INDEX(Assumptions_EG!$E$43:$E$46,MATCH($B52,Assumptions_EG!$B$43:$B$46,0)))</f>
        <v>12841.564655295819</v>
      </c>
      <c r="J52" s="434">
        <f>I52*(1+INDEX(Assumptions_EG!$E$43:$E$46,MATCH($B52,Assumptions_EG!$B$43:$B$46,0)))</f>
        <v>12327.902069083986</v>
      </c>
      <c r="K52" s="434">
        <f>J52*(1+INDEX(Assumptions_EG!$E$43:$E$46,MATCH($B52,Assumptions_EG!$B$43:$B$46,0)))</f>
        <v>11834.785986320627</v>
      </c>
      <c r="L52" s="434">
        <f>K52*(1+INDEX(Assumptions_EG!$E$43:$E$46,MATCH($B52,Assumptions_EG!$B$43:$B$46,0)))</f>
        <v>11361.394546867801</v>
      </c>
      <c r="M52" s="434">
        <f>L52*(1+INDEX(Assumptions_EG!$E$43:$E$46,MATCH($B52,Assumptions_EG!$B$43:$B$46,0)))</f>
        <v>10906.938764993089</v>
      </c>
      <c r="N52" s="434">
        <f>M52*(1+INDEX(Assumptions_EG!$E$43:$E$46,MATCH($B52,Assumptions_EG!$B$43:$B$46,0)))</f>
        <v>10470.661214393365</v>
      </c>
      <c r="O52" s="434">
        <f>N52*(1+INDEX(Assumptions_EG!$E$43:$E$46,MATCH($B52,Assumptions_EG!$B$43:$B$46,0)))</f>
        <v>10051.83476581763</v>
      </c>
      <c r="P52" s="434">
        <f>O52*(1+INDEX(Assumptions_EG!$E$43:$E$46,MATCH($B52,Assumptions_EG!$B$43:$B$46,0)))</f>
        <v>9649.761375184924</v>
      </c>
      <c r="Q52" s="434">
        <f>P52*(1+INDEX(Assumptions_EG!$E$43:$E$46,MATCH($B52,Assumptions_EG!$B$43:$B$46,0)))</f>
        <v>9263.7709201775269</v>
      </c>
      <c r="R52" s="434">
        <f>Q52*(1+INDEX(Assumptions_EG!$E$43:$E$46,MATCH($B52,Assumptions_EG!$B$43:$B$46,0)))</f>
        <v>8893.2200833704246</v>
      </c>
      <c r="S52" s="434">
        <f>R52*(1+INDEX(Assumptions_EG!$E$43:$E$46,MATCH($B52,Assumptions_EG!$B$43:$B$46,0)))</f>
        <v>8537.4912800356069</v>
      </c>
      <c r="T52" s="434">
        <f>S52*(1+INDEX(Assumptions_EG!$E$43:$E$46,MATCH($B52,Assumptions_EG!$B$43:$B$46,0)))</f>
        <v>8195.9916288341828</v>
      </c>
      <c r="U52" s="434">
        <f>T52*(1+INDEX(Assumptions_EG!$E$43:$E$46,MATCH($B52,Assumptions_EG!$B$43:$B$46,0)))</f>
        <v>7868.1519636808152</v>
      </c>
      <c r="V52" s="434">
        <f>U52*(1+INDEX(Assumptions_EG!$E$43:$E$46,MATCH($B52,Assumptions_EG!$B$43:$B$46,0)))</f>
        <v>7553.4258851335826</v>
      </c>
      <c r="W52" s="434">
        <f>V52*(1+INDEX(Assumptions_EG!$E$43:$E$46,MATCH($B52,Assumptions_EG!$B$43:$B$46,0)))</f>
        <v>7251.2888497282393</v>
      </c>
      <c r="X52" s="434">
        <f>W52*(1+INDEX(Assumptions_EG!$E$43:$E$46,MATCH($B52,Assumptions_EG!$B$43:$B$46,0)))</f>
        <v>6961.2372957391099</v>
      </c>
      <c r="Y52" s="434">
        <f>X52*(1+INDEX(Assumptions_EG!$E$43:$E$46,MATCH($B52,Assumptions_EG!$B$43:$B$46,0)))</f>
        <v>6682.7878039095449</v>
      </c>
      <c r="Z52" s="434">
        <f>Y52*(1+INDEX(Assumptions_EG!$E$43:$E$46,MATCH($B52,Assumptions_EG!$B$43:$B$46,0)))</f>
        <v>6415.4762917531625</v>
      </c>
      <c r="AA52" s="434"/>
      <c r="AB52" s="434"/>
      <c r="AC52" s="434"/>
      <c r="AD52" s="434"/>
      <c r="AE52" s="434"/>
      <c r="AF52" s="434"/>
      <c r="AG52" s="434"/>
      <c r="AH52" s="434"/>
      <c r="AI52" s="434"/>
      <c r="AJ52" s="434"/>
      <c r="AK52" s="434"/>
      <c r="AL52" s="434"/>
      <c r="AM52" s="434"/>
      <c r="AN52" s="434"/>
      <c r="AO52" s="434"/>
      <c r="AP52" s="434"/>
      <c r="AQ52" s="434"/>
      <c r="AR52" s="434"/>
      <c r="AS52" s="434"/>
      <c r="AT52" s="435"/>
      <c r="AU52" s="396"/>
      <c r="AV52" s="396"/>
      <c r="AW52" s="396"/>
      <c r="AX52" s="396"/>
      <c r="AY52" s="396"/>
      <c r="AZ52" s="396"/>
      <c r="BA52" s="396"/>
    </row>
    <row r="53" spans="1:53" x14ac:dyDescent="0.35">
      <c r="A53" s="487"/>
      <c r="B53" s="488"/>
      <c r="C53" s="488"/>
      <c r="D53" s="489"/>
      <c r="E53" s="490"/>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396"/>
      <c r="AV53" s="396"/>
      <c r="AW53" s="396"/>
      <c r="AX53" s="396"/>
      <c r="AY53" s="396"/>
      <c r="AZ53" s="396"/>
      <c r="BA53" s="396"/>
    </row>
    <row r="54" spans="1:53" x14ac:dyDescent="0.35">
      <c r="B54" s="399" t="s">
        <v>1464</v>
      </c>
      <c r="C54" s="399" t="s">
        <v>1599</v>
      </c>
      <c r="D54" s="395" t="s">
        <v>1926</v>
      </c>
    </row>
    <row r="55" spans="1:53" x14ac:dyDescent="0.35">
      <c r="A55" s="398" t="s">
        <v>1501</v>
      </c>
      <c r="B55" s="398" t="s">
        <v>1561</v>
      </c>
      <c r="C55" s="398" t="s">
        <v>146</v>
      </c>
      <c r="D55" s="398">
        <v>1</v>
      </c>
      <c r="E55" s="398">
        <v>2</v>
      </c>
      <c r="F55" s="398">
        <v>3</v>
      </c>
      <c r="G55" s="398">
        <v>4</v>
      </c>
      <c r="H55" s="398">
        <v>5</v>
      </c>
      <c r="I55" s="398">
        <v>6</v>
      </c>
      <c r="J55" s="398">
        <v>7</v>
      </c>
      <c r="K55" s="398">
        <v>8</v>
      </c>
      <c r="L55" s="398">
        <v>9</v>
      </c>
      <c r="M55" s="398">
        <v>10</v>
      </c>
      <c r="N55" s="398">
        <v>11</v>
      </c>
      <c r="O55" s="398">
        <v>12</v>
      </c>
      <c r="P55" s="398">
        <v>13</v>
      </c>
      <c r="Q55" s="398">
        <v>14</v>
      </c>
      <c r="R55" s="398">
        <v>15</v>
      </c>
      <c r="S55" s="398">
        <v>16</v>
      </c>
      <c r="T55" s="398">
        <v>17</v>
      </c>
      <c r="U55" s="398">
        <v>18</v>
      </c>
      <c r="V55" s="398">
        <v>19</v>
      </c>
      <c r="W55" s="398">
        <v>20</v>
      </c>
      <c r="X55" s="398">
        <v>21</v>
      </c>
      <c r="Y55" s="398">
        <v>22</v>
      </c>
      <c r="Z55" s="398">
        <v>23</v>
      </c>
      <c r="AA55" s="398">
        <v>24</v>
      </c>
      <c r="AB55" s="398">
        <v>25</v>
      </c>
      <c r="AC55" s="398">
        <v>26</v>
      </c>
      <c r="AD55" s="398">
        <v>27</v>
      </c>
      <c r="AE55" s="398">
        <v>28</v>
      </c>
      <c r="AF55" s="398">
        <v>29</v>
      </c>
      <c r="AG55" s="398">
        <v>30</v>
      </c>
      <c r="AH55" s="398">
        <v>31</v>
      </c>
      <c r="AI55" s="398">
        <v>32</v>
      </c>
      <c r="AJ55" s="398">
        <v>33</v>
      </c>
      <c r="AK55" s="398">
        <v>34</v>
      </c>
      <c r="AL55" s="398">
        <v>35</v>
      </c>
      <c r="AM55" s="398">
        <v>36</v>
      </c>
      <c r="AN55" s="398">
        <v>37</v>
      </c>
      <c r="AO55" s="398">
        <v>38</v>
      </c>
      <c r="AP55" s="398">
        <v>39</v>
      </c>
      <c r="AQ55" s="398">
        <v>40</v>
      </c>
    </row>
    <row r="56" spans="1:53" x14ac:dyDescent="0.35">
      <c r="A56" s="395">
        <v>1</v>
      </c>
      <c r="B56" s="395" t="str">
        <f>INDEX($D$18:$I$18,1,A56)</f>
        <v>EG_SOLARPV</v>
      </c>
      <c r="C56" s="395">
        <f>INDEX($D$19:$I$19,1,A56)</f>
        <v>1</v>
      </c>
      <c r="D56" s="396">
        <f>D64/(1+Assumptions_EG!$C$7)^(D$55-$D$55)</f>
        <v>71.276950666666664</v>
      </c>
      <c r="E56" s="397">
        <f>E64/(1+Assumptions_EG!$C$7)^(E$55-$D$55)</f>
        <v>66.983017820512814</v>
      </c>
      <c r="F56" s="397">
        <f>F64/(1+Assumptions_EG!$C$7)^(F$55-$D$55)</f>
        <v>62.927835675542404</v>
      </c>
      <c r="G56" s="397">
        <f>G64/(1+Assumptions_EG!$C$7)^(G$55-$D$55)</f>
        <v>59.105014086443632</v>
      </c>
      <c r="H56" s="397">
        <f>H64/(1+Assumptions_EG!$C$7)^(H$55-$D$55)</f>
        <v>55.485239948961571</v>
      </c>
      <c r="I56" s="397">
        <f>I64/(1+Assumptions_EG!$C$7)^(I$55-$D$55)</f>
        <v>52.067097331789114</v>
      </c>
      <c r="J56" s="397">
        <f>J64/(1+Assumptions_EG!$C$7)^(J$55-$D$55)</f>
        <v>48.848333958706313</v>
      </c>
      <c r="K56" s="397">
        <f>K64/(1+Assumptions_EG!$C$7)^(K$55-$D$55)</f>
        <v>45.803167065383782</v>
      </c>
      <c r="L56" s="397">
        <f>L64/(1+Assumptions_EG!$C$7)^(L$55-$D$55)</f>
        <v>42.930603738867056</v>
      </c>
      <c r="M56" s="397">
        <f>M64/(1+Assumptions_EG!$C$7)^(M$55-$D$55)</f>
        <v>40.228897333818779</v>
      </c>
      <c r="N56" s="397">
        <f>N64/(1+Assumptions_EG!$C$7)^(N$55-$D$55)</f>
        <v>39.09983477172797</v>
      </c>
      <c r="O56" s="397">
        <f>O64/(1+Assumptions_EG!$C$7)^(O$55-$D$55)</f>
        <v>36.641353961001286</v>
      </c>
      <c r="P56" s="397">
        <f>P64/(1+Assumptions_EG!$C$7)^(P$55-$D$55)</f>
        <v>24.005653517452114</v>
      </c>
      <c r="Q56" s="397">
        <f>Q64/(1+Assumptions_EG!$C$7)^(Q$55-$D$55)</f>
        <v>23.364866022120687</v>
      </c>
      <c r="R56" s="397">
        <f>R64/(1+Assumptions_EG!$C$7)^(R$55-$D$55)</f>
        <v>22.746439024528474</v>
      </c>
      <c r="S56" s="397">
        <f>S64/(1+Assumptions_EG!$C$7)^(S$55-$D$55)</f>
        <v>22.153602592387521</v>
      </c>
      <c r="T56" s="397">
        <f>T64/(1+Assumptions_EG!$C$7)^(T$55-$D$55)</f>
        <v>21.583341192958788</v>
      </c>
      <c r="U56" s="397">
        <f>U64/(1+Assumptions_EG!$C$7)^(U$55-$D$55)</f>
        <v>21.034795262235054</v>
      </c>
      <c r="V56" s="397">
        <f>V64/(1+Assumptions_EG!$C$7)^(V$55-$D$55)</f>
        <v>20.507137961498508</v>
      </c>
      <c r="W56" s="397">
        <f>W64/(1+Assumptions_EG!$C$7)^(W$55-$D$55)</f>
        <v>19.999573931535238</v>
      </c>
      <c r="X56" s="397">
        <f>X64/(1+Assumptions_EG!$C$7)^(X$55-$D$55)</f>
        <v>19.511338094269092</v>
      </c>
      <c r="Y56" s="397">
        <f>Y64/(1+Assumptions_EG!$C$7)^(Y$55-$D$55)</f>
        <v>19.041694500010301</v>
      </c>
      <c r="Z56" s="397">
        <f>Z64/(1+Assumptions_EG!$C$7)^(Z$55-$D$55)</f>
        <v>18.591426071354771</v>
      </c>
      <c r="AA56" s="397">
        <f>AA64/(1+Assumptions_EG!$C$7)^(AA$55-$D$55)</f>
        <v>18.156812784940172</v>
      </c>
      <c r="AB56" s="397">
        <f>AB64/(1+Assumptions_EG!$C$7)^(AB$55-$D$55)</f>
        <v>17.740128366086878</v>
      </c>
    </row>
    <row r="57" spans="1:53" x14ac:dyDescent="0.35">
      <c r="A57" s="395">
        <v>2</v>
      </c>
      <c r="B57" s="395" t="str">
        <f>INDEX($D$18:$I$18,1,A57)</f>
        <v>EG_WIND</v>
      </c>
      <c r="C57" s="395">
        <f>INDEX($D$19:$I$19,1,A57)</f>
        <v>1</v>
      </c>
      <c r="D57" s="396">
        <f>D65/(1+Assumptions_EG!$C$7)^(D$55-$D$55)</f>
        <v>118.20370600000001</v>
      </c>
      <c r="E57" s="396">
        <f>E65/(1+Assumptions_EG!$C$7)^(E$55-$D$55)</f>
        <v>110.69041826923076</v>
      </c>
      <c r="F57" s="396">
        <f>F65/(1+Assumptions_EG!$C$7)^(F$55-$D$55)</f>
        <v>103.59451867603549</v>
      </c>
      <c r="G57" s="396">
        <f>G65/(1+Assumptions_EG!$C$7)^(G$55-$D$55)</f>
        <v>96.903704853208922</v>
      </c>
      <c r="H57" s="396">
        <f>H65/(1+Assumptions_EG!$C$7)^(H$55-$D$55)</f>
        <v>90.570073341378972</v>
      </c>
      <c r="I57" s="396">
        <f>I65/(1+Assumptions_EG!$C$7)^(I$55-$D$55)</f>
        <v>84.589399128013426</v>
      </c>
      <c r="J57" s="396">
        <f>J65/(1+Assumptions_EG!$C$7)^(J$55-$D$55)</f>
        <v>78.951804074333666</v>
      </c>
      <c r="K57" s="396">
        <f>K65/(1+Assumptions_EG!$C$7)^(K$55-$D$55)</f>
        <v>73.624242303562312</v>
      </c>
      <c r="L57" s="396">
        <f>L65/(1+Assumptions_EG!$C$7)^(L$55-$D$55)</f>
        <v>68.59880391741487</v>
      </c>
      <c r="M57" s="396">
        <f>M65/(1+Assumptions_EG!$C$7)^(M$55-$D$55)</f>
        <v>63.867155531428111</v>
      </c>
      <c r="N57" s="396">
        <f>N65/(1+Assumptions_EG!$C$7)^(N$55-$D$55)</f>
        <v>61.89657645187522</v>
      </c>
      <c r="O57" s="396">
        <f>O65/(1+Assumptions_EG!$C$7)^(O$55-$D$55)</f>
        <v>57.591988613351134</v>
      </c>
      <c r="P57" s="396">
        <f>P65/(1+Assumptions_EG!$C$7)^(P$55-$D$55)</f>
        <v>35.480458834342677</v>
      </c>
      <c r="Q57" s="396">
        <f>Q65/(1+Assumptions_EG!$C$7)^(Q$55-$D$55)</f>
        <v>34.359269763821203</v>
      </c>
      <c r="R57" s="396">
        <f>R65/(1+Assumptions_EG!$C$7)^(R$55-$D$55)</f>
        <v>33.277697683422467</v>
      </c>
      <c r="S57" s="396">
        <f>S65/(1+Assumptions_EG!$C$7)^(S$55-$D$55)</f>
        <v>32.237599683522127</v>
      </c>
      <c r="T57" s="396">
        <f>T65/(1+Assumptions_EG!$C$7)^(T$55-$D$55)</f>
        <v>31.240386506790024</v>
      </c>
      <c r="U57" s="396">
        <f>U65/(1+Assumptions_EG!$C$7)^(U$55-$D$55)</f>
        <v>30.27841115831303</v>
      </c>
      <c r="V57" s="396">
        <f>V65/(1+Assumptions_EG!$C$7)^(V$55-$D$55)</f>
        <v>29.356098558022012</v>
      </c>
      <c r="W57" s="396">
        <f>W65/(1+Assumptions_EG!$C$7)^(W$55-$D$55)</f>
        <v>28.469046082075408</v>
      </c>
      <c r="X57" s="396">
        <f>X65/(1+Assumptions_EG!$C$7)^(X$55-$D$55)</f>
        <v>27.613340429943257</v>
      </c>
      <c r="Y57" s="396">
        <f>Y65/(1+Assumptions_EG!$C$7)^(Y$55-$D$55)</f>
        <v>26.792914549992737</v>
      </c>
      <c r="Z57" s="396">
        <f>Z65/(1+Assumptions_EG!$C$7)^(Z$55-$D$55)</f>
        <v>26.003853766680511</v>
      </c>
      <c r="AA57" s="396">
        <f>AA65/(1+Assumptions_EG!$C$7)^(AA$55-$D$55)</f>
        <v>25.244959028016577</v>
      </c>
      <c r="AB57" s="396">
        <f>AB65/(1+Assumptions_EG!$C$7)^(AB$55-$D$55)</f>
        <v>24.515077118707438</v>
      </c>
    </row>
    <row r="58" spans="1:53" x14ac:dyDescent="0.35">
      <c r="A58" s="395">
        <v>3</v>
      </c>
      <c r="B58" s="395" t="str">
        <f>INDEX($D$18:$I$18,1,A58)</f>
        <v>EG_COAL</v>
      </c>
      <c r="C58" s="395">
        <f>INDEX($D$19:$I$19,1,A58)</f>
        <v>660</v>
      </c>
      <c r="D58" s="396">
        <f>D66/(1+Assumptions_EG!$C$7)^(D$55-$D$55)</f>
        <v>119397.06355330937</v>
      </c>
      <c r="E58" s="396">
        <f>E66/(1+Assumptions_EG!$C$7)^(E$55-$D$55)</f>
        <v>112199.4102656609</v>
      </c>
      <c r="F58" s="396">
        <f>F66/(1+Assumptions_EG!$C$7)^(F$55-$D$55)</f>
        <v>105403.85995785335</v>
      </c>
      <c r="G58" s="396">
        <f>G66/(1+Assumptions_EG!$C$7)^(G$55-$D$55)</f>
        <v>98990.180618499115</v>
      </c>
      <c r="H58" s="396">
        <f>H66/(1+Assumptions_EG!$C$7)^(H$55-$D$55)</f>
        <v>92939.075013890775</v>
      </c>
      <c r="I58" s="396">
        <f>I66/(1+Assumptions_EG!$C$7)^(I$55-$D$55)</f>
        <v>87232.174629580913</v>
      </c>
      <c r="J58" s="396">
        <f>J66/(1+Assumptions_EG!$C$7)^(J$55-$D$55)</f>
        <v>81851.987889800061</v>
      </c>
      <c r="K58" s="396">
        <f>K66/(1+Assumptions_EG!$C$7)^(K$55-$D$55)</f>
        <v>76781.859876145129</v>
      </c>
      <c r="L58" s="396">
        <f>L66/(1+Assumptions_EG!$C$7)^(L$55-$D$55)</f>
        <v>72005.93384761372</v>
      </c>
      <c r="M58" s="396">
        <f>M66/(1+Assumptions_EG!$C$7)^(M$55-$D$55)</f>
        <v>67509.114483007856</v>
      </c>
      <c r="N58" s="396">
        <f>N66/(1+Assumptions_EG!$C$7)^(N$55-$D$55)</f>
        <v>63277.032770139944</v>
      </c>
      <c r="O58" s="396">
        <f>O66/(1+Assumptions_EG!$C$7)^(O$55-$D$55)</f>
        <v>59296.012469539739</v>
      </c>
      <c r="P58" s="396">
        <f>P66/(1+Assumptions_EG!$C$7)^(P$55-$D$55)</f>
        <v>41136.410412329744</v>
      </c>
      <c r="Q58" s="396">
        <f>Q66/(1+Assumptions_EG!$C$7)^(Q$55-$D$55)</f>
        <v>40196.76622534835</v>
      </c>
      <c r="R58" s="396">
        <f>R66/(1+Assumptions_EG!$C$7)^(R$55-$D$55)</f>
        <v>39294.042284112853</v>
      </c>
      <c r="S58" s="396">
        <f>S66/(1+Assumptions_EG!$C$7)^(S$55-$D$55)</f>
        <v>38426.826079985964</v>
      </c>
      <c r="T58" s="396">
        <f>T66/(1+Assumptions_EG!$C$7)^(T$55-$D$55)</f>
        <v>37593.759503708941</v>
      </c>
      <c r="U58" s="396">
        <f>U66/(1+Assumptions_EG!$C$7)^(U$55-$D$55)</f>
        <v>36793.536753811197</v>
      </c>
      <c r="V58" s="396">
        <f>V66/(1+Assumptions_EG!$C$7)^(V$55-$D$55)</f>
        <v>36024.902325472533</v>
      </c>
      <c r="W58" s="396">
        <f>W66/(1+Assumptions_EG!$C$7)^(W$55-$D$55)</f>
        <v>35286.649076743415</v>
      </c>
      <c r="X58" s="396">
        <f>X66/(1+Assumptions_EG!$C$7)^(X$55-$D$55)</f>
        <v>34577.616369148309</v>
      </c>
      <c r="Y58" s="396">
        <f>Y66/(1+Assumptions_EG!$C$7)^(Y$55-$D$55)</f>
        <v>33896.688279811016</v>
      </c>
      <c r="Z58" s="396">
        <f>Z66/(1+Assumptions_EG!$C$7)^(Z$55-$D$55)</f>
        <v>33242.791882351492</v>
      </c>
      <c r="AA58" s="396">
        <f>AA66/(1+Assumptions_EG!$C$7)^(AA$55-$D$55)</f>
        <v>32614.895593908859</v>
      </c>
      <c r="AB58" s="396">
        <f>AB66/(1+Assumptions_EG!$C$7)^(AB$55-$D$55)</f>
        <v>32012.0075857476</v>
      </c>
      <c r="AC58" s="396">
        <f>AC66/(1+Assumptions_EG!$C$7)^(AC$55-$D$55)</f>
        <v>46920.661186019017</v>
      </c>
      <c r="AD58" s="396">
        <f>AD66/(1+Assumptions_EG!$C$7)^(AD$55-$D$55)</f>
        <v>44732.111446636874</v>
      </c>
      <c r="AE58" s="396">
        <f>AE66/(1+Assumptions_EG!$C$7)^(AE$55-$D$55)</f>
        <v>42666.566902425177</v>
      </c>
      <c r="AF58" s="396">
        <f>AF66/(1+Assumptions_EG!$C$7)^(AF$55-$D$55)</f>
        <v>40717.851519054297</v>
      </c>
      <c r="AG58" s="396">
        <f>AG66/(1+Assumptions_EG!$C$7)^(AG$55-$D$55)</f>
        <v>38880.069437192869</v>
      </c>
      <c r="AH58" s="396">
        <f>AH66/(1+Assumptions_EG!$C$7)^(AH$55-$D$55)</f>
        <v>37147.615652608838</v>
      </c>
      <c r="AI58" s="396">
        <f>AI66/(1+Assumptions_EG!$C$7)^(AI$55-$D$55)</f>
        <v>35515.152378554332</v>
      </c>
      <c r="AJ58" s="396">
        <f>AJ66/(1+Assumptions_EG!$C$7)^(AJ$55-$D$55)</f>
        <v>33977.588248048603</v>
      </c>
      <c r="AK58" s="396">
        <f>AK66/(1+Assumptions_EG!$C$7)^(AK$55-$D$55)</f>
        <v>32530.087445091482</v>
      </c>
      <c r="AL58" s="396">
        <f>AL66/(1+Assumptions_EG!$C$7)^(AL$55-$D$55)</f>
        <v>31168.035207813075</v>
      </c>
      <c r="AM58" s="396">
        <f>AM66/(1+Assumptions_EG!$C$7)^(AM$55-$D$55)</f>
        <v>29887.049496040654</v>
      </c>
      <c r="AN58" s="396">
        <f>AN66/(1+Assumptions_EG!$C$7)^(AN$55-$D$55)</f>
        <v>28682.949233618234</v>
      </c>
      <c r="AO58" s="396">
        <f>AO66/(1+Assumptions_EG!$C$7)^(AO$55-$D$55)</f>
        <v>28806.788277769818</v>
      </c>
      <c r="AP58" s="396">
        <f>AP66/(1+Assumptions_EG!$C$7)^(AP$55-$D$55)</f>
        <v>28313.054317371556</v>
      </c>
      <c r="AQ58" s="396">
        <f>AQ66/(1+Assumptions_EG!$C$7)^(AQ$55-$D$55)</f>
        <v>27839.280725756144</v>
      </c>
      <c r="AR58" s="396"/>
      <c r="AS58" s="396"/>
      <c r="AT58" s="396"/>
    </row>
    <row r="59" spans="1:53" x14ac:dyDescent="0.35">
      <c r="A59" s="395">
        <v>4</v>
      </c>
      <c r="B59" s="395" t="str">
        <f>INDEX($D$18:$I$18,1,A59)</f>
        <v>EG_CCGT</v>
      </c>
      <c r="C59" s="395">
        <f>INDEX($D$19:$I$19,1,A59)</f>
        <v>100</v>
      </c>
      <c r="D59" s="396">
        <f>D67/(1+Assumptions_EG!$C$7)^(D$55-$D$55)</f>
        <v>14572.346329896569</v>
      </c>
      <c r="E59" s="396">
        <f>E67/(1+Assumptions_EG!$C$7)^(E$55-$D$55)</f>
        <v>13711.503319509331</v>
      </c>
      <c r="F59" s="396">
        <f>F67/(1+Assumptions_EG!$C$7)^(F$55-$D$55)</f>
        <v>12899.705739952349</v>
      </c>
      <c r="G59" s="396">
        <f>G67/(1+Assumptions_EG!$C$7)^(G$55-$D$55)</f>
        <v>12134.506341303681</v>
      </c>
      <c r="H59" s="396">
        <f>H67/(1+Assumptions_EG!$C$7)^(H$55-$D$55)</f>
        <v>11413.602001044346</v>
      </c>
      <c r="I59" s="396">
        <f>I67/(1+Assumptions_EG!$C$7)^(I$55-$D$55)</f>
        <v>10734.77401601772</v>
      </c>
      <c r="J59" s="396">
        <f>J67/(1+Assumptions_EG!$C$7)^(J$55-$D$55)</f>
        <v>10095.911721570665</v>
      </c>
      <c r="K59" s="396">
        <f>K67/(1+Assumptions_EG!$C$7)^(K$55-$D$55)</f>
        <v>9495.0303011724282</v>
      </c>
      <c r="L59" s="396">
        <f>L67/(1+Assumptions_EG!$C$7)^(L$55-$D$55)</f>
        <v>8930.2178013772336</v>
      </c>
      <c r="M59" s="396">
        <f>M67/(1+Assumptions_EG!$C$7)^(M$55-$D$55)</f>
        <v>8399.6562209447147</v>
      </c>
      <c r="N59" s="396">
        <f>N67/(1+Assumptions_EG!$C$7)^(N$55-$D$55)</f>
        <v>7901.6374320526556</v>
      </c>
      <c r="O59" s="396">
        <f>O67/(1+Assumptions_EG!$C$7)^(O$55-$D$55)</f>
        <v>7434.5161621892703</v>
      </c>
      <c r="P59" s="396">
        <f>P67/(1+Assumptions_EG!$C$7)^(P$55-$D$55)</f>
        <v>5249.2605074034018</v>
      </c>
      <c r="Q59" s="396">
        <f>Q67/(1+Assumptions_EG!$C$7)^(Q$55-$D$55)</f>
        <v>5151.7821714159145</v>
      </c>
      <c r="R59" s="396">
        <f>R67/(1+Assumptions_EG!$C$7)^(R$55-$D$55)</f>
        <v>5059.3075858550128</v>
      </c>
      <c r="S59" s="396">
        <f>S67/(1+Assumptions_EG!$C$7)^(S$55-$D$55)</f>
        <v>4971.6875777777732</v>
      </c>
      <c r="T59" s="396">
        <f>T67/(1+Assumptions_EG!$C$7)^(T$55-$D$55)</f>
        <v>4888.7802046447341</v>
      </c>
      <c r="U59" s="396">
        <f>U67/(1+Assumptions_EG!$C$7)^(U$55-$D$55)</f>
        <v>4810.4505277304297</v>
      </c>
      <c r="V59" s="396">
        <f>V67/(1+Assumptions_EG!$C$7)^(V$55-$D$55)</f>
        <v>4736.5703960255714</v>
      </c>
      <c r="W59" s="396">
        <f>W67/(1+Assumptions_EG!$C$7)^(W$55-$D$55)</f>
        <v>4667.018240288683</v>
      </c>
      <c r="X59" s="396">
        <f>X67/(1+Assumptions_EG!$C$7)^(X$55-$D$55)</f>
        <v>4601.6788769201785</v>
      </c>
      <c r="Y59" s="396">
        <f>Y67/(1+Assumptions_EG!$C$7)^(Y$55-$D$55)</f>
        <v>4540.4433213467273</v>
      </c>
      <c r="Z59" s="396">
        <f>Z67/(1+Assumptions_EG!$C$7)^(Z$55-$D$55)</f>
        <v>4483.2086106179622</v>
      </c>
      <c r="AA59" s="396">
        <f>AA67/(1+Assumptions_EG!$C$7)^(AA$55-$D$55)</f>
        <v>4429.8776349313957</v>
      </c>
      <c r="AB59" s="396">
        <f>AB67/(1+Assumptions_EG!$C$7)^(AB$55-$D$55)</f>
        <v>4380.3589778148007</v>
      </c>
      <c r="AC59" s="396"/>
      <c r="AD59" s="396"/>
      <c r="AE59" s="396"/>
      <c r="AF59" s="396"/>
      <c r="AG59" s="396"/>
      <c r="AH59" s="396"/>
      <c r="AI59" s="396"/>
      <c r="AJ59" s="396"/>
      <c r="AK59" s="396"/>
      <c r="AL59" s="396"/>
      <c r="AM59" s="396"/>
      <c r="AN59" s="396"/>
      <c r="AO59" s="396"/>
      <c r="AP59" s="396"/>
      <c r="AQ59" s="396"/>
    </row>
    <row r="60" spans="1:53" x14ac:dyDescent="0.35">
      <c r="A60" s="395">
        <v>5</v>
      </c>
      <c r="B60" s="395" t="str">
        <f>INDEX($D$18:$I$18,1,A60)</f>
        <v>EG_OCGT</v>
      </c>
      <c r="C60" s="395">
        <f>INDEX($D$19:$I$19,1,A60)</f>
        <v>100</v>
      </c>
      <c r="D60" s="396">
        <f>D68/(1+Assumptions_EG!$C$7)^(D$55-$D$55)</f>
        <v>10501.698299735381</v>
      </c>
      <c r="E60" s="396">
        <f>E68/(1+Assumptions_EG!$C$7)^(E$55-$D$55)</f>
        <v>9890.3571433161196</v>
      </c>
      <c r="F60" s="396">
        <f>F68/(1+Assumptions_EG!$C$7)^(F$55-$D$55)</f>
        <v>9314.1580083909303</v>
      </c>
      <c r="G60" s="396">
        <f>G68/(1+Assumptions_EG!$C$7)^(G$55-$D$55)</f>
        <v>8771.3723551487019</v>
      </c>
      <c r="H60" s="396">
        <f>H68/(1+Assumptions_EG!$C$7)^(H$55-$D$55)</f>
        <v>8260.3284150563832</v>
      </c>
      <c r="I60" s="396">
        <f>I68/(1+Assumptions_EG!$C$7)^(I$55-$D$55)</f>
        <v>7779.4617679946923</v>
      </c>
      <c r="J60" s="396">
        <f>J68/(1+Assumptions_EG!$C$7)^(J$55-$D$55)</f>
        <v>7327.2830024258828</v>
      </c>
      <c r="K60" s="396">
        <f>K68/(1+Assumptions_EG!$C$7)^(K$55-$D$55)</f>
        <v>6902.3515774233201</v>
      </c>
      <c r="L60" s="396">
        <f>L68/(1+Assumptions_EG!$C$7)^(L$55-$D$55)</f>
        <v>6503.3208545966054</v>
      </c>
      <c r="M60" s="396">
        <f>M68/(1+Assumptions_EG!$C$7)^(M$55-$D$55)</f>
        <v>6128.9094147391343</v>
      </c>
      <c r="N60" s="396">
        <f>N68/(1+Assumptions_EG!$C$7)^(N$55-$D$55)</f>
        <v>5777.8778856141889</v>
      </c>
      <c r="O60" s="396">
        <f>O68/(1+Assumptions_EG!$C$7)^(O$55-$D$55)</f>
        <v>5449.0690373226143</v>
      </c>
      <c r="P60" s="396">
        <f>P68/(1+Assumptions_EG!$C$7)^(P$55-$D$55)</f>
        <v>3893.18711861468</v>
      </c>
      <c r="Q60" s="396">
        <f>Q68/(1+Assumptions_EG!$C$7)^(Q$55-$D$55)</f>
        <v>3828.7351646042025</v>
      </c>
      <c r="R60" s="396">
        <f>R68/(1+Assumptions_EG!$C$7)^(R$55-$D$55)</f>
        <v>3768.0274792501154</v>
      </c>
      <c r="S60" s="396">
        <f>S68/(1+Assumptions_EG!$C$7)^(S$55-$D$55)</f>
        <v>3710.9637025278489</v>
      </c>
      <c r="T60" s="396">
        <f>T68/(1+Assumptions_EG!$C$7)^(T$55-$D$55)</f>
        <v>3657.4488402053862</v>
      </c>
      <c r="U60" s="396">
        <f>U68/(1+Assumptions_EG!$C$7)^(U$55-$D$55)</f>
        <v>3607.3931094114755</v>
      </c>
      <c r="V60" s="396">
        <f>V68/(1+Assumptions_EG!$C$7)^(V$55-$D$55)</f>
        <v>3560.7117919354364</v>
      </c>
      <c r="W60" s="396">
        <f>W68/(1+Assumptions_EG!$C$7)^(W$55-$D$55)</f>
        <v>3517.3250950230372</v>
      </c>
      <c r="X60" s="396">
        <f>X68/(1+Assumptions_EG!$C$7)^(X$55-$D$55)</f>
        <v>3477.1580194440571</v>
      </c>
      <c r="Y60" s="396">
        <f>Y68/(1+Assumptions_EG!$C$7)^(Y$55-$D$55)</f>
        <v>3440.1402346180212</v>
      </c>
      <c r="Z60" s="396">
        <f>Z68/(1+Assumptions_EG!$C$7)^(Z$55-$D$55)</f>
        <v>3406.2059605950694</v>
      </c>
      <c r="AA60" s="396">
        <f>AA68/(1+Assumptions_EG!$C$7)^(AA$55-$D$55)</f>
        <v>3375.2938566990956</v>
      </c>
      <c r="AB60" s="396">
        <f>AB68/(1+Assumptions_EG!$C$7)^(AB$55-$D$55)</f>
        <v>3347.3469166501609</v>
      </c>
      <c r="AC60" s="396"/>
      <c r="AD60" s="396"/>
      <c r="AE60" s="396"/>
      <c r="AF60" s="396"/>
      <c r="AG60" s="396"/>
      <c r="AH60" s="396"/>
      <c r="AI60" s="396"/>
      <c r="AJ60" s="396"/>
      <c r="AK60" s="396"/>
      <c r="AL60" s="396"/>
      <c r="AM60" s="396"/>
      <c r="AN60" s="396"/>
      <c r="AO60" s="396"/>
      <c r="AP60" s="396"/>
      <c r="AQ60" s="396"/>
    </row>
    <row r="61" spans="1:53" x14ac:dyDescent="0.35">
      <c r="AU61" s="396"/>
      <c r="AV61" s="396"/>
      <c r="AW61" s="396"/>
      <c r="AX61" s="396"/>
      <c r="AY61" s="396"/>
      <c r="AZ61" s="396"/>
      <c r="BA61" s="396"/>
    </row>
    <row r="62" spans="1:53" x14ac:dyDescent="0.35">
      <c r="B62" s="399" t="s">
        <v>1464</v>
      </c>
      <c r="C62" s="399" t="s">
        <v>1526</v>
      </c>
      <c r="D62" s="395" t="s">
        <v>1926</v>
      </c>
    </row>
    <row r="63" spans="1:53" x14ac:dyDescent="0.35">
      <c r="A63" s="398" t="s">
        <v>1501</v>
      </c>
      <c r="B63" s="398" t="s">
        <v>1561</v>
      </c>
      <c r="C63" s="398" t="s">
        <v>146</v>
      </c>
      <c r="D63" s="398">
        <v>1</v>
      </c>
      <c r="E63" s="398">
        <v>2</v>
      </c>
      <c r="F63" s="398">
        <v>3</v>
      </c>
      <c r="G63" s="398">
        <v>4</v>
      </c>
      <c r="H63" s="398">
        <v>5</v>
      </c>
      <c r="I63" s="398">
        <v>6</v>
      </c>
      <c r="J63" s="398">
        <v>7</v>
      </c>
      <c r="K63" s="398">
        <v>8</v>
      </c>
      <c r="L63" s="398">
        <v>9</v>
      </c>
      <c r="M63" s="398">
        <v>10</v>
      </c>
      <c r="N63" s="398">
        <v>11</v>
      </c>
      <c r="O63" s="398">
        <v>12</v>
      </c>
      <c r="P63" s="398">
        <v>13</v>
      </c>
      <c r="Q63" s="398">
        <v>14</v>
      </c>
      <c r="R63" s="398">
        <v>15</v>
      </c>
      <c r="S63" s="398">
        <v>16</v>
      </c>
      <c r="T63" s="398">
        <v>17</v>
      </c>
      <c r="U63" s="398">
        <v>18</v>
      </c>
      <c r="V63" s="398">
        <v>19</v>
      </c>
      <c r="W63" s="398">
        <v>20</v>
      </c>
      <c r="X63" s="398">
        <v>21</v>
      </c>
      <c r="Y63" s="398">
        <v>22</v>
      </c>
      <c r="Z63" s="398">
        <v>23</v>
      </c>
      <c r="AA63" s="398">
        <v>24</v>
      </c>
      <c r="AB63" s="398">
        <v>25</v>
      </c>
      <c r="AC63" s="398">
        <v>26</v>
      </c>
      <c r="AD63" s="398">
        <v>27</v>
      </c>
      <c r="AE63" s="398">
        <v>28</v>
      </c>
      <c r="AF63" s="398">
        <v>29</v>
      </c>
      <c r="AG63" s="398">
        <v>30</v>
      </c>
      <c r="AH63" s="398">
        <v>31</v>
      </c>
      <c r="AI63" s="398">
        <v>32</v>
      </c>
      <c r="AJ63" s="398">
        <v>33</v>
      </c>
      <c r="AK63" s="398">
        <v>34</v>
      </c>
      <c r="AL63" s="398">
        <v>35</v>
      </c>
      <c r="AM63" s="398">
        <v>36</v>
      </c>
      <c r="AN63" s="398">
        <v>37</v>
      </c>
      <c r="AO63" s="398">
        <v>38</v>
      </c>
      <c r="AP63" s="398">
        <v>39</v>
      </c>
      <c r="AQ63" s="398">
        <v>40</v>
      </c>
    </row>
    <row r="64" spans="1:53" x14ac:dyDescent="0.35">
      <c r="A64" s="395">
        <v>1</v>
      </c>
      <c r="B64" s="395" t="str">
        <f>INDEX($D$18:$I$18,1,A64)</f>
        <v>EG_SOLARPV</v>
      </c>
      <c r="C64" s="395">
        <f>INDEX($D$19:$I$19,1,A64)</f>
        <v>1</v>
      </c>
      <c r="D64" s="397">
        <v>71.276950666666664</v>
      </c>
      <c r="E64" s="397">
        <v>69.662338533333326</v>
      </c>
      <c r="F64" s="397">
        <v>68.062747066666674</v>
      </c>
      <c r="G64" s="397">
        <v>66.485102565333335</v>
      </c>
      <c r="H64" s="397">
        <v>64.909882907946667</v>
      </c>
      <c r="I64" s="397">
        <v>63.347585088264537</v>
      </c>
      <c r="J64" s="397">
        <v>61.808725979795113</v>
      </c>
      <c r="K64" s="397">
        <v>60.273843130986918</v>
      </c>
      <c r="L64" s="397">
        <v>58.7534955922264</v>
      </c>
      <c r="M64" s="397">
        <v>57.258264775915457</v>
      </c>
      <c r="N64" s="397">
        <v>57.877306962101898</v>
      </c>
      <c r="O64" s="397">
        <v>56.407680984139986</v>
      </c>
      <c r="P64" s="397">
        <v>38.433824709213432</v>
      </c>
      <c r="Q64" s="397">
        <v>38.90421941528983</v>
      </c>
      <c r="R64" s="397">
        <v>39.389472725609274</v>
      </c>
      <c r="S64" s="397">
        <v>39.8973867123415</v>
      </c>
      <c r="T64" s="397">
        <v>40.425193274543005</v>
      </c>
      <c r="U64" s="397">
        <v>40.973688115232584</v>
      </c>
      <c r="V64" s="397">
        <v>41.543698765549742</v>
      </c>
      <c r="W64" s="397">
        <v>42.136085857879586</v>
      </c>
      <c r="X64" s="397">
        <v>42.751744449902617</v>
      </c>
      <c r="Y64" s="397">
        <v>43.391605401606583</v>
      </c>
      <c r="Z64" s="397">
        <v>44.060170007378701</v>
      </c>
      <c r="AA64" s="397">
        <v>44.751378685381695</v>
      </c>
      <c r="AB64" s="397">
        <v>45.473344926504822</v>
      </c>
    </row>
    <row r="65" spans="1:46" x14ac:dyDescent="0.35">
      <c r="A65" s="395">
        <v>2</v>
      </c>
      <c r="B65" s="395" t="str">
        <f>INDEX($D$18:$I$18,1,A65)</f>
        <v>EG_WIND</v>
      </c>
      <c r="C65" s="395">
        <f>INDEX($D$19:$I$19,1,A65)</f>
        <v>1</v>
      </c>
      <c r="D65" s="397">
        <v>118.20370600000001</v>
      </c>
      <c r="E65" s="397">
        <v>115.11803499999999</v>
      </c>
      <c r="F65" s="397">
        <v>112.04783140000001</v>
      </c>
      <c r="G65" s="397">
        <v>109.00348905600001</v>
      </c>
      <c r="H65" s="397">
        <v>105.95417557824001</v>
      </c>
      <c r="I65" s="397">
        <v>102.91593796136959</v>
      </c>
      <c r="J65" s="397">
        <v>99.89921923982439</v>
      </c>
      <c r="K65" s="397">
        <v>96.884480169417373</v>
      </c>
      <c r="L65" s="397">
        <v>93.882199936194056</v>
      </c>
      <c r="M65" s="397">
        <v>90.902876893641832</v>
      </c>
      <c r="N65" s="397">
        <v>91.622053548899686</v>
      </c>
      <c r="O65" s="397">
        <v>88.660220482075204</v>
      </c>
      <c r="P65" s="397">
        <v>56.805357723346958</v>
      </c>
      <c r="Q65" s="397">
        <v>57.210709814269578</v>
      </c>
      <c r="R65" s="397">
        <v>57.6262053088291</v>
      </c>
      <c r="S65" s="397">
        <v>58.058095783171012</v>
      </c>
      <c r="T65" s="397">
        <v>58.512658036486592</v>
      </c>
      <c r="U65" s="397">
        <v>58.979332099934794</v>
      </c>
      <c r="V65" s="397">
        <v>59.470069285920928</v>
      </c>
      <c r="W65" s="397">
        <v>59.979986279346512</v>
      </c>
      <c r="X65" s="397">
        <v>60.504229272509114</v>
      </c>
      <c r="Y65" s="397">
        <v>61.054838145398222</v>
      </c>
      <c r="Z65" s="397">
        <v>61.627021693202892</v>
      </c>
      <c r="AA65" s="397">
        <v>62.221642902919754</v>
      </c>
      <c r="AB65" s="397">
        <v>62.839599281025286</v>
      </c>
    </row>
    <row r="66" spans="1:46" x14ac:dyDescent="0.35">
      <c r="A66" s="395">
        <v>3</v>
      </c>
      <c r="B66" s="395" t="str">
        <f>INDEX($D$18:$I$18,1,A66)</f>
        <v>EG_COAL</v>
      </c>
      <c r="C66" s="395">
        <f>INDEX($D$19:$I$19,1,A66)</f>
        <v>660</v>
      </c>
      <c r="D66" s="396">
        <v>119397.06355330937</v>
      </c>
      <c r="E66" s="396">
        <v>116687.38667628734</v>
      </c>
      <c r="F66" s="396">
        <v>114004.8149304142</v>
      </c>
      <c r="G66" s="396">
        <v>111350.4905312474</v>
      </c>
      <c r="H66" s="396">
        <v>108725.57246348227</v>
      </c>
      <c r="I66" s="396">
        <v>106131.27844574329</v>
      </c>
      <c r="J66" s="396">
        <v>103568.87697866833</v>
      </c>
      <c r="K66" s="396">
        <v>101039.68947985263</v>
      </c>
      <c r="L66" s="396">
        <v>98545.092509373702</v>
      </c>
      <c r="M66" s="396">
        <v>96086.520089779442</v>
      </c>
      <c r="N66" s="396">
        <v>93665.466124590457</v>
      </c>
      <c r="O66" s="396">
        <v>91283.486919542411</v>
      </c>
      <c r="P66" s="396">
        <v>65860.718426362975</v>
      </c>
      <c r="Q66" s="396">
        <v>66930.570521376561</v>
      </c>
      <c r="R66" s="396">
        <v>68044.567554506939</v>
      </c>
      <c r="S66" s="396">
        <v>69204.542865994532</v>
      </c>
      <c r="T66" s="396">
        <v>70412.406506825297</v>
      </c>
      <c r="U66" s="396">
        <v>71670.148476017086</v>
      </c>
      <c r="V66" s="396">
        <v>72979.842095840781</v>
      </c>
      <c r="W66" s="396">
        <v>74343.647530914808</v>
      </c>
      <c r="X66" s="396">
        <v>75763.815457372111</v>
      </c>
      <c r="Y66" s="396">
        <v>77242.690888567013</v>
      </c>
      <c r="Z66" s="396">
        <v>78782.717164072979</v>
      </c>
      <c r="AA66" s="396">
        <v>80386.440109015617</v>
      </c>
      <c r="AB66" s="396">
        <v>82056.512371093209</v>
      </c>
      <c r="AC66" s="396">
        <v>125082.80328710127</v>
      </c>
      <c r="AD66" s="396">
        <v>124018.42739373258</v>
      </c>
      <c r="AE66" s="396">
        <v>123023.43825809108</v>
      </c>
      <c r="AF66" s="396">
        <v>122100.75650015892</v>
      </c>
      <c r="AG66" s="396">
        <v>121253.38500220126</v>
      </c>
      <c r="AH66" s="396">
        <v>120484.48411113165</v>
      </c>
      <c r="AI66" s="396">
        <v>119797.34706456595</v>
      </c>
      <c r="AJ66" s="396">
        <v>119195.37565029164</v>
      </c>
      <c r="AK66" s="396">
        <v>118682.15610930805</v>
      </c>
      <c r="AL66" s="396">
        <v>118261.38529303993</v>
      </c>
      <c r="AM66" s="396">
        <v>117936.95708579363</v>
      </c>
      <c r="AN66" s="396">
        <v>117712.88910401364</v>
      </c>
      <c r="AO66" s="396">
        <v>122949.96083631161</v>
      </c>
      <c r="AP66" s="396">
        <v>125676.36632543629</v>
      </c>
      <c r="AQ66" s="396">
        <v>128516.30868391795</v>
      </c>
      <c r="AR66" s="396"/>
      <c r="AS66" s="396"/>
      <c r="AT66" s="396"/>
    </row>
    <row r="67" spans="1:46" x14ac:dyDescent="0.35">
      <c r="A67" s="395">
        <v>4</v>
      </c>
      <c r="B67" s="395" t="str">
        <f>INDEX($D$18:$I$18,1,A67)</f>
        <v>EG_CCGT</v>
      </c>
      <c r="C67" s="395">
        <f>INDEX($D$19:$I$19,1,A67)</f>
        <v>100</v>
      </c>
      <c r="D67" s="396">
        <v>14572.346329896569</v>
      </c>
      <c r="E67" s="396">
        <v>14259.963452289705</v>
      </c>
      <c r="F67" s="396">
        <v>13952.321728332463</v>
      </c>
      <c r="G67" s="396">
        <v>13649.669341104223</v>
      </c>
      <c r="H67" s="396">
        <v>13352.300001354859</v>
      </c>
      <c r="I67" s="396">
        <v>13060.493963196068</v>
      </c>
      <c r="J67" s="396">
        <v>12774.549110360058</v>
      </c>
      <c r="K67" s="396">
        <v>12494.812118120049</v>
      </c>
      <c r="L67" s="396">
        <v>12221.619696343116</v>
      </c>
      <c r="M67" s="396">
        <v>11955.329919550224</v>
      </c>
      <c r="N67" s="396">
        <v>11696.353650292807</v>
      </c>
      <c r="O67" s="396">
        <v>11445.09606262228</v>
      </c>
      <c r="P67" s="396">
        <v>8404.2351960077831</v>
      </c>
      <c r="Q67" s="396">
        <v>8578.0960090586286</v>
      </c>
      <c r="R67" s="396">
        <v>8761.0837876033293</v>
      </c>
      <c r="S67" s="396">
        <v>8953.7284546082938</v>
      </c>
      <c r="T67" s="396">
        <v>9156.5936377819398</v>
      </c>
      <c r="U67" s="396">
        <v>9370.2789668150799</v>
      </c>
      <c r="V67" s="396">
        <v>9595.4225345216419</v>
      </c>
      <c r="W67" s="396">
        <v>9832.7035338996593</v>
      </c>
      <c r="X67" s="396">
        <v>10082.845084027846</v>
      </c>
      <c r="Y67" s="396">
        <v>10346.617258675724</v>
      </c>
      <c r="Z67" s="396">
        <v>10624.840332540301</v>
      </c>
      <c r="AA67" s="396">
        <v>10918.388261135071</v>
      </c>
      <c r="AB67" s="396">
        <v>11228.192411553659</v>
      </c>
      <c r="AC67" s="396"/>
      <c r="AD67" s="396"/>
      <c r="AE67" s="396"/>
      <c r="AF67" s="396"/>
      <c r="AG67" s="396"/>
      <c r="AH67" s="396"/>
      <c r="AI67" s="396"/>
      <c r="AJ67" s="396"/>
      <c r="AK67" s="396"/>
      <c r="AL67" s="396"/>
      <c r="AM67" s="396"/>
      <c r="AN67" s="396"/>
      <c r="AO67" s="396"/>
      <c r="AP67" s="396"/>
      <c r="AQ67" s="396"/>
    </row>
    <row r="68" spans="1:46" x14ac:dyDescent="0.35">
      <c r="A68" s="395">
        <v>5</v>
      </c>
      <c r="B68" s="395" t="str">
        <f>INDEX($D$18:$I$18,1,A68)</f>
        <v>EG_OCGT</v>
      </c>
      <c r="C68" s="395">
        <f>INDEX($D$19:$I$19,1,A68)</f>
        <v>100</v>
      </c>
      <c r="D68" s="396">
        <v>10501.698299735381</v>
      </c>
      <c r="E68" s="396">
        <v>10285.971429048765</v>
      </c>
      <c r="F68" s="396">
        <v>10074.193301875632</v>
      </c>
      <c r="G68" s="396">
        <v>9866.600992901991</v>
      </c>
      <c r="H68" s="396">
        <v>9663.4159047649446</v>
      </c>
      <c r="I68" s="396">
        <v>9464.9047391405802</v>
      </c>
      <c r="J68" s="396">
        <v>9271.3505368719452</v>
      </c>
      <c r="K68" s="396">
        <v>9083.0237921899788</v>
      </c>
      <c r="L68" s="396">
        <v>8900.2436464560924</v>
      </c>
      <c r="M68" s="396">
        <v>8723.349167259461</v>
      </c>
      <c r="N68" s="396">
        <v>8552.6707191364912</v>
      </c>
      <c r="O68" s="396">
        <v>8388.5914326471975</v>
      </c>
      <c r="P68" s="396">
        <v>6233.1180098147815</v>
      </c>
      <c r="Q68" s="396">
        <v>6375.1254890901391</v>
      </c>
      <c r="R68" s="396">
        <v>6525.0044397375905</v>
      </c>
      <c r="S68" s="396">
        <v>6683.2359792394309</v>
      </c>
      <c r="T68" s="396">
        <v>6850.3330849113645</v>
      </c>
      <c r="U68" s="396">
        <v>7026.8428254889286</v>
      </c>
      <c r="V68" s="396">
        <v>7213.3487546058977</v>
      </c>
      <c r="W68" s="396">
        <v>7410.4734781511579</v>
      </c>
      <c r="X68" s="396">
        <v>7618.8814083881289</v>
      </c>
      <c r="Y68" s="396">
        <v>7839.2817186860502</v>
      </c>
      <c r="Z68" s="396">
        <v>8072.4315137504209</v>
      </c>
      <c r="AA68" s="396">
        <v>8319.1392313560937</v>
      </c>
      <c r="AB68" s="396">
        <v>8580.2682927869246</v>
      </c>
      <c r="AC68" s="396"/>
      <c r="AD68" s="396"/>
      <c r="AE68" s="396"/>
      <c r="AF68" s="396"/>
      <c r="AG68" s="396"/>
      <c r="AH68" s="396"/>
      <c r="AI68" s="396"/>
      <c r="AJ68" s="396"/>
      <c r="AK68" s="396"/>
      <c r="AL68" s="396"/>
      <c r="AM68" s="396"/>
      <c r="AN68" s="396"/>
      <c r="AO68" s="396"/>
      <c r="AP68" s="396"/>
      <c r="AQ68" s="396"/>
    </row>
    <row r="70" spans="1:46" x14ac:dyDescent="0.35">
      <c r="A70" s="395" t="s">
        <v>1499</v>
      </c>
      <c r="B70" s="536" t="s">
        <v>2027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3"/>
  <sheetViews>
    <sheetView workbookViewId="0">
      <selection activeCell="C12" sqref="C12"/>
    </sheetView>
  </sheetViews>
  <sheetFormatPr defaultRowHeight="14.5" x14ac:dyDescent="0.35"/>
  <cols>
    <col min="1" max="1" width="8.7265625" style="304"/>
    <col min="2" max="2" width="16.54296875" style="304" customWidth="1"/>
    <col min="3" max="3" width="10.26953125" customWidth="1"/>
    <col min="4" max="4" width="15.54296875" customWidth="1"/>
    <col min="5" max="5" width="10.26953125" customWidth="1"/>
    <col min="6" max="6" width="12.26953125" bestFit="1" customWidth="1"/>
    <col min="7" max="7" width="11.7265625" bestFit="1" customWidth="1"/>
    <col min="8" max="8" width="13.453125" style="304" customWidth="1"/>
    <col min="9" max="9" width="11.26953125" customWidth="1"/>
    <col min="10" max="10" width="16.453125" customWidth="1"/>
    <col min="11" max="11" width="12.54296875" customWidth="1"/>
    <col min="12" max="12" width="15" customWidth="1"/>
    <col min="13" max="13" width="15.7265625" style="304" customWidth="1"/>
    <col min="14" max="14" width="11.7265625" style="304" customWidth="1"/>
    <col min="15" max="15" width="13.453125" style="304" customWidth="1"/>
    <col min="16" max="16" width="11.7265625" style="304" customWidth="1"/>
    <col min="17" max="17" width="10.7265625" style="304" bestFit="1" customWidth="1"/>
    <col min="18" max="18" width="10.453125" style="304" customWidth="1"/>
    <col min="19" max="19" width="13.26953125" style="304" customWidth="1"/>
    <col min="20" max="20" width="12.453125" style="304" customWidth="1"/>
    <col min="21" max="21" width="10.453125" style="304" customWidth="1"/>
    <col min="22" max="22" width="15.26953125" style="304" customWidth="1"/>
    <col min="23" max="23" width="13.453125" style="304" customWidth="1"/>
    <col min="24" max="24" width="13.26953125" style="304" customWidth="1"/>
    <col min="25" max="27" width="10.453125" style="304" customWidth="1"/>
    <col min="28" max="28" width="11.54296875" customWidth="1"/>
  </cols>
  <sheetData>
    <row r="1" spans="1:14" s="304" customFormat="1" x14ac:dyDescent="0.35">
      <c r="A1" s="29" t="s">
        <v>1939</v>
      </c>
      <c r="H1" s="29"/>
    </row>
    <row r="2" spans="1:14" s="304" customFormat="1" x14ac:dyDescent="0.35">
      <c r="B2" s="304" t="s">
        <v>1996</v>
      </c>
      <c r="H2" s="29"/>
    </row>
    <row r="3" spans="1:14" s="304" customFormat="1" x14ac:dyDescent="0.35">
      <c r="B3" s="304" t="s">
        <v>1989</v>
      </c>
      <c r="H3" s="29"/>
    </row>
    <row r="4" spans="1:14" s="304" customFormat="1" x14ac:dyDescent="0.35">
      <c r="B4" s="304" t="s">
        <v>1938</v>
      </c>
      <c r="H4" s="29"/>
    </row>
    <row r="5" spans="1:14" s="304" customFormat="1" x14ac:dyDescent="0.35">
      <c r="B5" s="149" t="s">
        <v>2006</v>
      </c>
      <c r="H5" s="29"/>
    </row>
    <row r="6" spans="1:14" s="304" customFormat="1" x14ac:dyDescent="0.35">
      <c r="H6" s="29"/>
    </row>
    <row r="7" spans="1:14" x14ac:dyDescent="0.35">
      <c r="A7" s="29" t="s">
        <v>1858</v>
      </c>
    </row>
    <row r="8" spans="1:14" s="304" customFormat="1" x14ac:dyDescent="0.35">
      <c r="A8" s="29"/>
      <c r="B8" s="29" t="s">
        <v>1868</v>
      </c>
      <c r="I8" s="29" t="s">
        <v>1867</v>
      </c>
    </row>
    <row r="9" spans="1:14" x14ac:dyDescent="0.35">
      <c r="B9" s="29" t="s">
        <v>1561</v>
      </c>
      <c r="C9" s="29" t="s">
        <v>1046</v>
      </c>
      <c r="D9" s="29" t="s">
        <v>644</v>
      </c>
      <c r="E9" s="29" t="s">
        <v>628</v>
      </c>
      <c r="F9" s="29" t="s">
        <v>1051</v>
      </c>
      <c r="G9" s="29" t="s">
        <v>1054</v>
      </c>
      <c r="I9" s="29" t="s">
        <v>1561</v>
      </c>
      <c r="J9" s="29" t="s">
        <v>1046</v>
      </c>
      <c r="K9" s="29" t="s">
        <v>644</v>
      </c>
      <c r="L9" s="29" t="s">
        <v>628</v>
      </c>
      <c r="M9" s="29" t="s">
        <v>1051</v>
      </c>
      <c r="N9" s="29" t="s">
        <v>1054</v>
      </c>
    </row>
    <row r="10" spans="1:14" x14ac:dyDescent="0.35">
      <c r="B10" s="304" t="s">
        <v>1612</v>
      </c>
      <c r="C10" s="209">
        <f t="shared" ref="C10:G18" si="0">C35+C23</f>
        <v>9502.3418881715443</v>
      </c>
      <c r="D10" s="209">
        <f t="shared" si="0"/>
        <v>7765.2625235446321</v>
      </c>
      <c r="E10" s="209">
        <f t="shared" si="0"/>
        <v>9193.1674726616548</v>
      </c>
      <c r="F10" s="209">
        <f t="shared" si="0"/>
        <v>8795.5010709939306</v>
      </c>
      <c r="G10" s="209">
        <f t="shared" si="0"/>
        <v>6800.9876604058645</v>
      </c>
      <c r="I10" s="304" t="s">
        <v>1612</v>
      </c>
      <c r="J10" s="209">
        <f t="shared" ref="J10:J18" si="1">C35+J23</f>
        <v>9569.1781470381666</v>
      </c>
      <c r="K10" s="209">
        <f t="shared" ref="K10:K18" si="2">D35+K23</f>
        <v>7832.0987824112553</v>
      </c>
      <c r="L10" s="209">
        <f t="shared" ref="L10:L18" si="3">E35+L23</f>
        <v>9260.0037315282771</v>
      </c>
      <c r="M10" s="209">
        <f t="shared" ref="M10:M18" si="4">F35+M23</f>
        <v>8862.3373298605529</v>
      </c>
      <c r="N10" s="209">
        <f t="shared" ref="N10:N18" si="5">G35+N23</f>
        <v>6867.8239192724877</v>
      </c>
    </row>
    <row r="11" spans="1:14" x14ac:dyDescent="0.35">
      <c r="B11" s="304" t="s">
        <v>1613</v>
      </c>
      <c r="C11" s="209">
        <f t="shared" si="0"/>
        <v>3071.533602770714</v>
      </c>
      <c r="D11" s="209">
        <f t="shared" si="0"/>
        <v>2472.51887629576</v>
      </c>
      <c r="E11" s="209">
        <f t="shared" si="0"/>
        <v>5742.4984906120881</v>
      </c>
      <c r="F11" s="209">
        <f t="shared" si="0"/>
        <v>4210.7317541352131</v>
      </c>
      <c r="G11" s="209">
        <f t="shared" si="0"/>
        <v>2377.9140900012894</v>
      </c>
      <c r="I11" s="304" t="s">
        <v>1613</v>
      </c>
      <c r="J11" s="209">
        <f t="shared" si="1"/>
        <v>3071.533602770714</v>
      </c>
      <c r="K11" s="209">
        <f t="shared" si="2"/>
        <v>2472.51887629576</v>
      </c>
      <c r="L11" s="209">
        <f t="shared" si="3"/>
        <v>5742.4984906120881</v>
      </c>
      <c r="M11" s="209">
        <f t="shared" si="4"/>
        <v>4210.7317541352131</v>
      </c>
      <c r="N11" s="209">
        <f t="shared" si="5"/>
        <v>2377.9140900012894</v>
      </c>
    </row>
    <row r="12" spans="1:14" s="304" customFormat="1" x14ac:dyDescent="0.35">
      <c r="B12" s="304" t="s">
        <v>1614</v>
      </c>
      <c r="C12" s="209" t="e">
        <f t="shared" si="0"/>
        <v>#DIV/0!</v>
      </c>
      <c r="D12" s="209" t="e">
        <f t="shared" si="0"/>
        <v>#DIV/0!</v>
      </c>
      <c r="E12" s="209" t="e">
        <f t="shared" si="0"/>
        <v>#DIV/0!</v>
      </c>
      <c r="F12" s="209" t="e">
        <f t="shared" si="0"/>
        <v>#DIV/0!</v>
      </c>
      <c r="G12" s="209" t="e">
        <f t="shared" si="0"/>
        <v>#DIV/0!</v>
      </c>
      <c r="I12" s="304" t="s">
        <v>1614</v>
      </c>
      <c r="J12" s="209" t="e">
        <f t="shared" si="1"/>
        <v>#DIV/0!</v>
      </c>
      <c r="K12" s="209" t="e">
        <f t="shared" si="2"/>
        <v>#DIV/0!</v>
      </c>
      <c r="L12" s="209" t="e">
        <f t="shared" si="3"/>
        <v>#DIV/0!</v>
      </c>
      <c r="M12" s="209" t="e">
        <f t="shared" si="4"/>
        <v>#DIV/0!</v>
      </c>
      <c r="N12" s="209" t="e">
        <f t="shared" si="5"/>
        <v>#DIV/0!</v>
      </c>
    </row>
    <row r="13" spans="1:14" x14ac:dyDescent="0.35">
      <c r="B13" s="304" t="s">
        <v>1615</v>
      </c>
      <c r="C13" s="209">
        <f t="shared" si="0"/>
        <v>18216.212472207873</v>
      </c>
      <c r="D13" s="209" t="e">
        <f t="shared" si="0"/>
        <v>#DIV/0!</v>
      </c>
      <c r="E13" s="209">
        <f t="shared" si="0"/>
        <v>15322.738981527909</v>
      </c>
      <c r="F13" s="209">
        <f t="shared" si="0"/>
        <v>19116.166827077381</v>
      </c>
      <c r="G13" s="209" t="e">
        <f t="shared" si="0"/>
        <v>#DIV/0!</v>
      </c>
      <c r="I13" s="304" t="s">
        <v>1615</v>
      </c>
      <c r="J13" s="209">
        <f t="shared" si="1"/>
        <v>18216.212472207873</v>
      </c>
      <c r="K13" s="209" t="e">
        <f t="shared" si="2"/>
        <v>#DIV/0!</v>
      </c>
      <c r="L13" s="209">
        <f t="shared" si="3"/>
        <v>15322.738981527909</v>
      </c>
      <c r="M13" s="209">
        <f t="shared" si="4"/>
        <v>19116.166827077381</v>
      </c>
      <c r="N13" s="209" t="e">
        <f t="shared" si="5"/>
        <v>#DIV/0!</v>
      </c>
    </row>
    <row r="14" spans="1:14" x14ac:dyDescent="0.35">
      <c r="B14" s="304" t="s">
        <v>1604</v>
      </c>
      <c r="C14" s="209">
        <f t="shared" si="0"/>
        <v>11576.617455650492</v>
      </c>
      <c r="D14" s="209">
        <f t="shared" si="0"/>
        <v>8143.6762367750935</v>
      </c>
      <c r="E14" s="209">
        <f t="shared" si="0"/>
        <v>4688.4442946660474</v>
      </c>
      <c r="F14" s="209">
        <f t="shared" si="0"/>
        <v>4080.9585671288087</v>
      </c>
      <c r="G14" s="209">
        <f t="shared" si="0"/>
        <v>9489.1171240127242</v>
      </c>
      <c r="I14" s="304" t="s">
        <v>1604</v>
      </c>
      <c r="J14" s="209">
        <f t="shared" si="1"/>
        <v>11576.617455650492</v>
      </c>
      <c r="K14" s="209">
        <f t="shared" si="2"/>
        <v>8143.6762367750935</v>
      </c>
      <c r="L14" s="209">
        <f t="shared" si="3"/>
        <v>4688.4442946660474</v>
      </c>
      <c r="M14" s="209">
        <f t="shared" si="4"/>
        <v>4080.9585671288087</v>
      </c>
      <c r="N14" s="209">
        <f t="shared" si="5"/>
        <v>9489.1171240127242</v>
      </c>
    </row>
    <row r="15" spans="1:14" x14ac:dyDescent="0.35">
      <c r="B15" s="304" t="s">
        <v>1603</v>
      </c>
      <c r="C15" s="209">
        <f t="shared" si="0"/>
        <v>4783.4825046733322</v>
      </c>
      <c r="D15" s="209">
        <f t="shared" si="0"/>
        <v>1819.9453197613475</v>
      </c>
      <c r="E15" s="209">
        <f t="shared" si="0"/>
        <v>2761.0753173085959</v>
      </c>
      <c r="F15" s="209">
        <f t="shared" si="0"/>
        <v>2977.1068963922471</v>
      </c>
      <c r="G15" s="209">
        <f t="shared" si="0"/>
        <v>7111.1111111111113</v>
      </c>
      <c r="I15" s="304" t="s">
        <v>1603</v>
      </c>
      <c r="J15" s="209">
        <f t="shared" si="1"/>
        <v>4783.4825046733322</v>
      </c>
      <c r="K15" s="209">
        <f t="shared" si="2"/>
        <v>1819.9453197613475</v>
      </c>
      <c r="L15" s="209">
        <f t="shared" si="3"/>
        <v>2761.0753173085959</v>
      </c>
      <c r="M15" s="209">
        <f t="shared" si="4"/>
        <v>2977.1068963922471</v>
      </c>
      <c r="N15" s="209">
        <f t="shared" si="5"/>
        <v>7111.1111111111113</v>
      </c>
    </row>
    <row r="16" spans="1:14" x14ac:dyDescent="0.35">
      <c r="B16" s="304" t="s">
        <v>1605</v>
      </c>
      <c r="C16" s="209">
        <f t="shared" si="0"/>
        <v>12023.270348024485</v>
      </c>
      <c r="D16" s="209">
        <f t="shared" si="0"/>
        <v>14598.416471112962</v>
      </c>
      <c r="E16" s="209">
        <f t="shared" si="0"/>
        <v>11616.716581930692</v>
      </c>
      <c r="F16" s="209">
        <f t="shared" si="0"/>
        <v>9522.7857316091431</v>
      </c>
      <c r="G16" s="209">
        <f t="shared" si="0"/>
        <v>13398.066756076199</v>
      </c>
      <c r="I16" s="304" t="s">
        <v>1605</v>
      </c>
      <c r="J16" s="209">
        <f t="shared" si="1"/>
        <v>12023.270348024485</v>
      </c>
      <c r="K16" s="209">
        <f t="shared" si="2"/>
        <v>14598.416471112962</v>
      </c>
      <c r="L16" s="209">
        <f t="shared" si="3"/>
        <v>11616.716581930692</v>
      </c>
      <c r="M16" s="209">
        <f t="shared" si="4"/>
        <v>9522.7857316091431</v>
      </c>
      <c r="N16" s="209">
        <f t="shared" si="5"/>
        <v>13398.066756076199</v>
      </c>
    </row>
    <row r="17" spans="1:19" x14ac:dyDescent="0.35">
      <c r="B17" s="304" t="s">
        <v>1636</v>
      </c>
      <c r="C17" s="209">
        <f t="shared" si="0"/>
        <v>8940.0285185740213</v>
      </c>
      <c r="D17" s="209">
        <f t="shared" si="0"/>
        <v>15808.731754424425</v>
      </c>
      <c r="E17" s="209">
        <f t="shared" si="0"/>
        <v>10793.167282852371</v>
      </c>
      <c r="F17" s="209">
        <f t="shared" si="0"/>
        <v>8691.5050276236143</v>
      </c>
      <c r="G17" s="209">
        <f t="shared" si="0"/>
        <v>12207.727097566041</v>
      </c>
      <c r="I17" s="304" t="s">
        <v>1636</v>
      </c>
      <c r="J17" s="209">
        <f t="shared" si="1"/>
        <v>8940.0285185740213</v>
      </c>
      <c r="K17" s="209">
        <f t="shared" si="2"/>
        <v>15808.731754424425</v>
      </c>
      <c r="L17" s="209">
        <f t="shared" si="3"/>
        <v>10793.167282852371</v>
      </c>
      <c r="M17" s="209">
        <f t="shared" si="4"/>
        <v>8691.5050276236143</v>
      </c>
      <c r="N17" s="209">
        <f t="shared" si="5"/>
        <v>12207.727097566041</v>
      </c>
    </row>
    <row r="18" spans="1:19" x14ac:dyDescent="0.35">
      <c r="B18" s="304" t="s">
        <v>1606</v>
      </c>
      <c r="C18" s="209">
        <f t="shared" si="0"/>
        <v>8177.3076994117473</v>
      </c>
      <c r="D18" s="209" t="e">
        <f t="shared" si="0"/>
        <v>#DIV/0!</v>
      </c>
      <c r="E18" s="209">
        <f t="shared" si="0"/>
        <v>7346.1988674099939</v>
      </c>
      <c r="F18" s="209">
        <f t="shared" si="0"/>
        <v>5886.0846098324755</v>
      </c>
      <c r="G18" s="209" t="e">
        <f t="shared" si="0"/>
        <v>#DIV/0!</v>
      </c>
      <c r="I18" s="304" t="s">
        <v>1606</v>
      </c>
      <c r="J18" s="209">
        <f t="shared" si="1"/>
        <v>8177.3076994117473</v>
      </c>
      <c r="K18" s="209" t="e">
        <f t="shared" si="2"/>
        <v>#DIV/0!</v>
      </c>
      <c r="L18" s="209">
        <f t="shared" si="3"/>
        <v>7346.1988674099939</v>
      </c>
      <c r="M18" s="209">
        <f t="shared" si="4"/>
        <v>5886.0846098324755</v>
      </c>
      <c r="N18" s="209" t="e">
        <f t="shared" si="5"/>
        <v>#DIV/0!</v>
      </c>
    </row>
    <row r="20" spans="1:19" s="304" customFormat="1" x14ac:dyDescent="0.35">
      <c r="A20" s="29" t="s">
        <v>1857</v>
      </c>
      <c r="I20" s="29"/>
      <c r="J20" s="394"/>
    </row>
    <row r="21" spans="1:19" s="304" customFormat="1" x14ac:dyDescent="0.35">
      <c r="B21" s="29" t="s">
        <v>1868</v>
      </c>
      <c r="C21" s="394"/>
      <c r="I21" s="29" t="s">
        <v>1867</v>
      </c>
      <c r="J21" s="394"/>
      <c r="P21" s="129" t="s">
        <v>1863</v>
      </c>
      <c r="Q21" s="395"/>
      <c r="R21" s="398" t="s">
        <v>1435</v>
      </c>
      <c r="S21" s="398" t="s">
        <v>1866</v>
      </c>
    </row>
    <row r="22" spans="1:19" s="304" customFormat="1" x14ac:dyDescent="0.35">
      <c r="B22" s="29" t="s">
        <v>1561</v>
      </c>
      <c r="C22" s="29" t="s">
        <v>1046</v>
      </c>
      <c r="D22" s="29" t="s">
        <v>644</v>
      </c>
      <c r="E22" s="29" t="s">
        <v>628</v>
      </c>
      <c r="F22" s="29" t="s">
        <v>1051</v>
      </c>
      <c r="G22" s="29" t="s">
        <v>1054</v>
      </c>
      <c r="I22" s="29" t="s">
        <v>1561</v>
      </c>
      <c r="J22" s="29" t="s">
        <v>1046</v>
      </c>
      <c r="K22" s="29" t="s">
        <v>644</v>
      </c>
      <c r="L22" s="29" t="s">
        <v>628</v>
      </c>
      <c r="M22" s="29" t="s">
        <v>1051</v>
      </c>
      <c r="N22" s="29" t="s">
        <v>1054</v>
      </c>
      <c r="P22" s="488" t="s">
        <v>1859</v>
      </c>
      <c r="Q22" s="488" t="s">
        <v>1862</v>
      </c>
      <c r="R22" s="488">
        <v>7500</v>
      </c>
      <c r="S22" s="488">
        <v>7500</v>
      </c>
    </row>
    <row r="23" spans="1:19" s="304" customFormat="1" x14ac:dyDescent="0.35">
      <c r="B23" s="304" t="s">
        <v>1612</v>
      </c>
      <c r="C23" s="396">
        <f>-PMT($R$25/12,$R$26*12,$R$24)*12</f>
        <v>939.50522264763276</v>
      </c>
      <c r="D23" s="396">
        <f>-PMT($R$25/12,$R$26*12,$R$24)*12</f>
        <v>939.50522264763276</v>
      </c>
      <c r="E23" s="396">
        <f>-PMT($R$25/12,$R$26*12,$R$24)*12</f>
        <v>939.50522264763276</v>
      </c>
      <c r="F23" s="396">
        <f>-PMT($R$25/12,$R$26*12,$R$24)*12</f>
        <v>939.50522264763276</v>
      </c>
      <c r="G23" s="396">
        <f>-PMT($R$25/12,$R$26*12,$R$24)*12</f>
        <v>939.50522264763276</v>
      </c>
      <c r="I23" s="304" t="s">
        <v>1612</v>
      </c>
      <c r="J23" s="396">
        <f>-PMT($S$25/12,$S$26*12,$S$24)*12</f>
        <v>1006.3414815142557</v>
      </c>
      <c r="K23" s="396">
        <f>-PMT($S$25/12,$S$26*12,$S$24)*12</f>
        <v>1006.3414815142557</v>
      </c>
      <c r="L23" s="396">
        <f>-PMT($S$25/12,$S$26*12,$S$24)*12</f>
        <v>1006.3414815142557</v>
      </c>
      <c r="M23" s="396">
        <f>-PMT($S$25/12,$S$26*12,$S$24)*12</f>
        <v>1006.3414815142557</v>
      </c>
      <c r="N23" s="396">
        <f>-PMT($S$25/12,$S$26*12,$S$24)*12</f>
        <v>1006.3414815142557</v>
      </c>
      <c r="P23" s="350" t="s">
        <v>1860</v>
      </c>
      <c r="Q23" s="350" t="s">
        <v>1422</v>
      </c>
      <c r="R23" s="630">
        <v>0.8734948365314934</v>
      </c>
      <c r="S23" s="630">
        <v>0.93563512655409997</v>
      </c>
    </row>
    <row r="24" spans="1:19" s="304" customFormat="1" x14ac:dyDescent="0.35">
      <c r="B24" s="304" t="s">
        <v>1613</v>
      </c>
      <c r="C24" s="209"/>
      <c r="D24" s="209"/>
      <c r="E24" s="209"/>
      <c r="F24" s="209"/>
      <c r="G24" s="209"/>
      <c r="I24" s="304" t="s">
        <v>1613</v>
      </c>
      <c r="J24" s="209"/>
      <c r="K24" s="209"/>
      <c r="L24" s="209"/>
      <c r="M24" s="209"/>
      <c r="N24" s="209"/>
      <c r="P24" s="488" t="s">
        <v>1861</v>
      </c>
      <c r="Q24" s="488" t="s">
        <v>1862</v>
      </c>
      <c r="R24" s="491">
        <f>R22*R23</f>
        <v>6551.2112739862005</v>
      </c>
      <c r="S24" s="491">
        <f>S22*S23</f>
        <v>7017.2634491557501</v>
      </c>
    </row>
    <row r="25" spans="1:19" s="304" customFormat="1" x14ac:dyDescent="0.35">
      <c r="B25" s="304" t="s">
        <v>1614</v>
      </c>
      <c r="C25" s="209"/>
      <c r="D25" s="209"/>
      <c r="E25" s="209"/>
      <c r="F25" s="209"/>
      <c r="G25" s="209"/>
      <c r="I25" s="304" t="s">
        <v>1614</v>
      </c>
      <c r="J25" s="209"/>
      <c r="K25" s="209"/>
      <c r="L25" s="209"/>
      <c r="M25" s="209"/>
      <c r="N25" s="209"/>
      <c r="P25" s="350" t="s">
        <v>1864</v>
      </c>
      <c r="Q25" s="350" t="s">
        <v>1422</v>
      </c>
      <c r="R25" s="139">
        <v>0.1</v>
      </c>
      <c r="S25" s="139">
        <v>0.1</v>
      </c>
    </row>
    <row r="26" spans="1:19" s="304" customFormat="1" x14ac:dyDescent="0.35">
      <c r="B26" s="304" t="s">
        <v>1615</v>
      </c>
      <c r="C26" s="209"/>
      <c r="D26" s="209"/>
      <c r="E26" s="209"/>
      <c r="F26" s="209"/>
      <c r="G26" s="209"/>
      <c r="I26" s="304" t="s">
        <v>1615</v>
      </c>
      <c r="J26" s="209"/>
      <c r="K26" s="209"/>
      <c r="L26" s="209"/>
      <c r="M26" s="209"/>
      <c r="N26" s="209"/>
      <c r="P26" s="350" t="s">
        <v>1865</v>
      </c>
      <c r="Q26" s="304" t="s">
        <v>1465</v>
      </c>
      <c r="R26" s="304">
        <v>12</v>
      </c>
      <c r="S26" s="304">
        <v>12</v>
      </c>
    </row>
    <row r="27" spans="1:19" s="304" customFormat="1" x14ac:dyDescent="0.35">
      <c r="B27" s="304" t="s">
        <v>1604</v>
      </c>
      <c r="C27" s="209"/>
      <c r="D27" s="209"/>
      <c r="E27" s="209"/>
      <c r="F27" s="209"/>
      <c r="G27" s="209"/>
      <c r="I27" s="304" t="s">
        <v>1604</v>
      </c>
      <c r="J27" s="209"/>
      <c r="K27" s="209"/>
      <c r="L27" s="209"/>
      <c r="M27" s="209"/>
      <c r="N27" s="209"/>
    </row>
    <row r="28" spans="1:19" s="304" customFormat="1" x14ac:dyDescent="0.35">
      <c r="B28" s="304" t="s">
        <v>1603</v>
      </c>
      <c r="C28" s="209"/>
      <c r="D28" s="209"/>
      <c r="E28" s="209"/>
      <c r="F28" s="209"/>
      <c r="G28" s="209"/>
      <c r="I28" s="304" t="s">
        <v>1603</v>
      </c>
      <c r="J28" s="209"/>
      <c r="K28" s="209"/>
      <c r="L28" s="209"/>
      <c r="M28" s="209"/>
      <c r="N28" s="209"/>
    </row>
    <row r="29" spans="1:19" s="304" customFormat="1" x14ac:dyDescent="0.35">
      <c r="B29" s="304" t="s">
        <v>1605</v>
      </c>
      <c r="C29" s="209"/>
      <c r="D29" s="209"/>
      <c r="E29" s="423"/>
      <c r="F29" s="209"/>
      <c r="G29" s="209"/>
      <c r="I29" s="304" t="s">
        <v>1605</v>
      </c>
      <c r="J29" s="209"/>
      <c r="K29" s="209"/>
      <c r="L29" s="423"/>
      <c r="M29" s="209"/>
      <c r="N29" s="209"/>
    </row>
    <row r="30" spans="1:19" s="304" customFormat="1" x14ac:dyDescent="0.35">
      <c r="B30" s="304" t="s">
        <v>1636</v>
      </c>
      <c r="C30" s="209"/>
      <c r="D30" s="209"/>
      <c r="E30" s="209"/>
      <c r="F30" s="209"/>
      <c r="G30" s="209"/>
      <c r="I30" s="304" t="s">
        <v>1636</v>
      </c>
      <c r="J30" s="209"/>
      <c r="K30" s="209"/>
      <c r="L30" s="209"/>
      <c r="M30" s="209"/>
      <c r="N30" s="209"/>
    </row>
    <row r="31" spans="1:19" s="304" customFormat="1" x14ac:dyDescent="0.35">
      <c r="B31" s="304" t="s">
        <v>1606</v>
      </c>
      <c r="C31" s="209"/>
      <c r="D31" s="209"/>
      <c r="E31" s="209"/>
      <c r="F31" s="209"/>
      <c r="G31" s="209"/>
      <c r="I31" s="304" t="s">
        <v>1606</v>
      </c>
      <c r="J31" s="209"/>
      <c r="K31" s="209"/>
      <c r="L31" s="209"/>
      <c r="M31" s="209"/>
      <c r="N31" s="209"/>
    </row>
    <row r="32" spans="1:19" s="304" customFormat="1" x14ac:dyDescent="0.35">
      <c r="I32" s="29"/>
      <c r="J32" s="394"/>
    </row>
    <row r="33" spans="1:25" s="304" customFormat="1" ht="15" thickBot="1" x14ac:dyDescent="0.4">
      <c r="A33" s="29" t="s">
        <v>1856</v>
      </c>
    </row>
    <row r="34" spans="1:25" s="304" customFormat="1" ht="15" thickBot="1" x14ac:dyDescent="0.4">
      <c r="B34" s="29" t="s">
        <v>1561</v>
      </c>
      <c r="C34" s="29" t="s">
        <v>1046</v>
      </c>
      <c r="D34" s="29" t="s">
        <v>644</v>
      </c>
      <c r="E34" s="29" t="s">
        <v>628</v>
      </c>
      <c r="F34" s="29" t="s">
        <v>1051</v>
      </c>
      <c r="G34" s="29" t="s">
        <v>1054</v>
      </c>
      <c r="I34" s="466" t="s">
        <v>1619</v>
      </c>
      <c r="J34" s="501" t="s">
        <v>1561</v>
      </c>
      <c r="K34" s="501" t="s">
        <v>1485</v>
      </c>
      <c r="L34" s="508" t="s">
        <v>1487</v>
      </c>
    </row>
    <row r="35" spans="1:25" s="304" customFormat="1" x14ac:dyDescent="0.35">
      <c r="B35" s="304" t="s">
        <v>1612</v>
      </c>
      <c r="C35" s="209">
        <f>SUMPRODUCT(--($O$66:$O$290=C$9&amp;$B35), $F$66:$F$290,$M$66:$M$290)/SUMIF($O$66:$O$290,C$9&amp;$B35,$F$66:$F$290)*(1+Assumptions_EG!$C14)</f>
        <v>8562.8366655239115</v>
      </c>
      <c r="D35" s="209">
        <f>SUMPRODUCT(--($O$66:$O$290=D$9&amp;$B35), $F$66:$F$290,$M$66:$M$290)/SUMIF($O$66:$O$290,D$9&amp;$B35,$F$66:$F$290)*(1+Assumptions_EG!$C14)</f>
        <v>6825.7573008969994</v>
      </c>
      <c r="E35" s="209">
        <f>SUMPRODUCT(--($O$66:$O$290=E$9&amp;$B35), $F$66:$F$290,$M$66:$M$290)/SUMIF($O$66:$O$290,E$9&amp;$B35,$F$66:$F$290)*(1+Assumptions_EG!$C14)</f>
        <v>8253.662250014022</v>
      </c>
      <c r="F35" s="209">
        <f>SUMPRODUCT(--($O$66:$O$290=F$9&amp;$B35), $F$66:$F$290,$M$66:$M$290)/SUMIF($O$66:$O$290,F$9&amp;$B35,$F$66:$F$290)*(1+Assumptions_EG!$C14)</f>
        <v>7855.9958483462979</v>
      </c>
      <c r="G35" s="209">
        <f>SUMPRODUCT(--($O$66:$O$290=G$9&amp;$B35), $F$66:$F$290,$M$66:$M$290)/SUMIF($O$66:$O$290,G$9&amp;$B35,$F$66:$F$290)*(1+Assumptions_EG!$C14)</f>
        <v>5861.4824377582318</v>
      </c>
      <c r="I35" s="452">
        <v>2019</v>
      </c>
      <c r="J35" s="418" t="s">
        <v>1612</v>
      </c>
      <c r="K35" s="453">
        <v>0.85</v>
      </c>
      <c r="L35" s="464" t="s">
        <v>1553</v>
      </c>
    </row>
    <row r="36" spans="1:25" s="304" customFormat="1" x14ac:dyDescent="0.35">
      <c r="B36" s="304" t="s">
        <v>1613</v>
      </c>
      <c r="C36" s="209">
        <f>SUMPRODUCT(--($O$66:$O$290=C$9&amp;$B36), $F$66:$F$290,$M$66:$M$290)/SUMIF($O$66:$O$290,C$9&amp;$B36,$F$66:$F$290)*(1+Assumptions_EG!$C15)</f>
        <v>3071.533602770714</v>
      </c>
      <c r="D36" s="209">
        <f>SUMPRODUCT(--($O$66:$O$290=D$9&amp;$B36), $F$66:$F$290,$M$66:$M$290)/SUMIF($O$66:$O$290,D$9&amp;$B36,$F$66:$F$290)*(1+Assumptions_EG!$C15)</f>
        <v>2472.51887629576</v>
      </c>
      <c r="E36" s="209">
        <f>SUMPRODUCT(--($O$66:$O$290=E$9&amp;$B36), $F$66:$F$290,$M$66:$M$290)/SUMIF($O$66:$O$290,E$9&amp;$B36,$F$66:$F$290)*(1+Assumptions_EG!$C15)</f>
        <v>5742.4984906120881</v>
      </c>
      <c r="F36" s="209">
        <f>SUMPRODUCT(--($O$66:$O$290=F$9&amp;$B36), $F$66:$F$290,$M$66:$M$290)/SUMIF($O$66:$O$290,F$9&amp;$B36,$F$66:$F$290)*(1+Assumptions_EG!$C15)</f>
        <v>4210.7317541352131</v>
      </c>
      <c r="G36" s="209">
        <f>SUMPRODUCT(--($O$66:$O$290=G$9&amp;$B36), $F$66:$F$290,$M$66:$M$290)/SUMIF($O$66:$O$290,G$9&amp;$B36,$F$66:$F$290)*(1+Assumptions_EG!$C15)</f>
        <v>2377.9140900012894</v>
      </c>
      <c r="I36" s="452">
        <v>2019</v>
      </c>
      <c r="J36" s="418" t="s">
        <v>1613</v>
      </c>
      <c r="K36" s="453">
        <v>0.85</v>
      </c>
      <c r="L36" s="502" t="s">
        <v>1554</v>
      </c>
    </row>
    <row r="37" spans="1:25" s="304" customFormat="1" x14ac:dyDescent="0.35">
      <c r="B37" s="304" t="s">
        <v>1614</v>
      </c>
      <c r="C37" s="209" t="e">
        <f>SUMPRODUCT(--($O$66:$O$290=C$9&amp;$B37), $F$66:$F$290,$M$66:$M$290)/SUMIF($O$66:$O$290,C$9&amp;$B37,$F$66:$F$290)*(1+Assumptions_EG!$C16)</f>
        <v>#DIV/0!</v>
      </c>
      <c r="D37" s="209" t="e">
        <f>SUMPRODUCT(--($O$66:$O$290=D$9&amp;$B37), $F$66:$F$290,$M$66:$M$290)/SUMIF($O$66:$O$290,D$9&amp;$B37,$F$66:$F$290)*(1+Assumptions_EG!$C16)</f>
        <v>#DIV/0!</v>
      </c>
      <c r="E37" s="209" t="e">
        <f>SUMPRODUCT(--($O$66:$O$290=E$9&amp;$B37), $F$66:$F$290,$M$66:$M$290)/SUMIF($O$66:$O$290,E$9&amp;$B37,$F$66:$F$290)*(1+Assumptions_EG!$C16)</f>
        <v>#DIV/0!</v>
      </c>
      <c r="F37" s="209" t="e">
        <f>SUMPRODUCT(--($O$66:$O$290=F$9&amp;$B37), $F$66:$F$290,$M$66:$M$290)/SUMIF($O$66:$O$290,F$9&amp;$B37,$F$66:$F$290)*(1+Assumptions_EG!$C16)</f>
        <v>#DIV/0!</v>
      </c>
      <c r="G37" s="209" t="e">
        <f>SUMPRODUCT(--($O$66:$O$290=G$9&amp;$B37), $F$66:$F$290,$M$66:$M$290)/SUMIF($O$66:$O$290,G$9&amp;$B37,$F$66:$F$290)*(1+Assumptions_EG!$C16)</f>
        <v>#DIV/0!</v>
      </c>
      <c r="I37" s="452">
        <v>2019</v>
      </c>
      <c r="J37" s="418" t="s">
        <v>1614</v>
      </c>
      <c r="K37" s="453">
        <v>0.85</v>
      </c>
      <c r="L37" s="502" t="s">
        <v>1555</v>
      </c>
    </row>
    <row r="38" spans="1:25" s="304" customFormat="1" x14ac:dyDescent="0.35">
      <c r="B38" s="304" t="s">
        <v>1615</v>
      </c>
      <c r="C38" s="209">
        <f>SUMPRODUCT(--($O$66:$O$290=C$9&amp;$B38), $F$66:$F$290,$M$66:$M$290)/SUMIF($O$66:$O$290,C$9&amp;$B38,$F$66:$F$290)*(1+Assumptions_EG!$C17)</f>
        <v>18216.212472207873</v>
      </c>
      <c r="D38" s="209" t="e">
        <f>SUMPRODUCT(--($O$66:$O$290=D$9&amp;$B38), $F$66:$F$290,$M$66:$M$290)/SUMIF($O$66:$O$290,D$9&amp;$B38,$F$66:$F$290)*(1+Assumptions_EG!$C17)</f>
        <v>#DIV/0!</v>
      </c>
      <c r="E38" s="209">
        <f>SUMPRODUCT(--($O$66:$O$290=E$9&amp;$B38), $F$66:$F$290,$M$66:$M$290)/SUMIF($O$66:$O$290,E$9&amp;$B38,$F$66:$F$290)*(1+Assumptions_EG!$C17)</f>
        <v>15322.738981527909</v>
      </c>
      <c r="F38" s="209">
        <f>SUMPRODUCT(--($O$66:$O$290=F$9&amp;$B38), $F$66:$F$290,$M$66:$M$290)/SUMIF($O$66:$O$290,F$9&amp;$B38,$F$66:$F$290)*(1+Assumptions_EG!$C17)</f>
        <v>19116.166827077381</v>
      </c>
      <c r="G38" s="209" t="e">
        <f>SUMPRODUCT(--($O$66:$O$290=G$9&amp;$B38), $F$66:$F$290,$M$66:$M$290)/SUMIF($O$66:$O$290,G$9&amp;$B38,$F$66:$F$290)*(1+Assumptions_EG!$C17)</f>
        <v>#DIV/0!</v>
      </c>
      <c r="I38" s="452">
        <v>2019</v>
      </c>
      <c r="J38" s="418" t="s">
        <v>1615</v>
      </c>
      <c r="K38" s="453">
        <v>0.65716939790195539</v>
      </c>
      <c r="L38" s="502" t="s">
        <v>1556</v>
      </c>
    </row>
    <row r="39" spans="1:25" s="304" customFormat="1" x14ac:dyDescent="0.35">
      <c r="B39" s="304" t="s">
        <v>1604</v>
      </c>
      <c r="C39" s="209">
        <f>SUMPRODUCT(--($O$66:$O$290=C$9&amp;$B39), $F$66:$F$290,$M$66:$M$290)/SUMIF($O$66:$O$290,C$9&amp;$B39,$F$66:$F$290)*(1+Assumptions_EG!$C18)</f>
        <v>11576.617455650492</v>
      </c>
      <c r="D39" s="209">
        <f>SUMPRODUCT(--($O$66:$O$290=D$9&amp;$B39), $F$66:$F$290,$M$66:$M$290)/SUMIF($O$66:$O$290,D$9&amp;$B39,$F$66:$F$290)*(1+Assumptions_EG!$C18)</f>
        <v>8143.6762367750935</v>
      </c>
      <c r="E39" s="209">
        <f>SUMPRODUCT(--($O$66:$O$290=E$9&amp;$B39), $F$66:$F$290,$M$66:$M$290)/SUMIF($O$66:$O$290,E$9&amp;$B39,$F$66:$F$290)*(1+Assumptions_EG!$C18)</f>
        <v>4688.4442946660474</v>
      </c>
      <c r="F39" s="209">
        <f>SUMPRODUCT(--($O$66:$O$290=F$9&amp;$B39), $F$66:$F$290,$M$66:$M$290)/SUMIF($O$66:$O$290,F$9&amp;$B39,$F$66:$F$290)*(1+Assumptions_EG!$C18)</f>
        <v>4080.9585671288087</v>
      </c>
      <c r="G39" s="209">
        <f>SUMPRODUCT(--($O$66:$O$290=G$9&amp;$B39), $F$66:$F$290,$M$66:$M$290)/SUMIF($O$66:$O$290,G$9&amp;$B39,$F$66:$F$290)*(1+Assumptions_EG!$C18)</f>
        <v>9489.1171240127242</v>
      </c>
      <c r="I39" s="452">
        <v>2019</v>
      </c>
      <c r="J39" s="418" t="s">
        <v>1604</v>
      </c>
      <c r="K39" s="453">
        <v>0.32761940072174078</v>
      </c>
      <c r="L39" s="502" t="s">
        <v>1557</v>
      </c>
    </row>
    <row r="40" spans="1:25" s="304" customFormat="1" x14ac:dyDescent="0.35">
      <c r="B40" s="304" t="s">
        <v>1603</v>
      </c>
      <c r="C40" s="209">
        <f>SUMPRODUCT(--($O$66:$O$290=C$9&amp;$B40), $F$66:$F$290,$M$66:$M$290)/SUMIF($O$66:$O$290,C$9&amp;$B40,$F$66:$F$290)*(1+Assumptions_EG!$C19)</f>
        <v>4783.4825046733322</v>
      </c>
      <c r="D40" s="209">
        <f>SUMPRODUCT(--($O$66:$O$290=D$9&amp;$B40), $F$66:$F$290,$M$66:$M$290)/SUMIF($O$66:$O$290,D$9&amp;$B40,$F$66:$F$290)*(1+Assumptions_EG!$C19)</f>
        <v>1819.9453197613475</v>
      </c>
      <c r="E40" s="209">
        <f>SUMPRODUCT(--($O$66:$O$290=E$9&amp;$B40), $F$66:$F$290,$M$66:$M$290)/SUMIF($O$66:$O$290,E$9&amp;$B40,$F$66:$F$290)*(1+Assumptions_EG!$C19)</f>
        <v>2761.0753173085959</v>
      </c>
      <c r="F40" s="209">
        <f>SUMPRODUCT(--($O$66:$O$290=F$9&amp;$B40), $F$66:$F$290,$M$66:$M$290)/SUMIF($O$66:$O$290,F$9&amp;$B40,$F$66:$F$290)*(1+Assumptions_EG!$C19)</f>
        <v>2977.1068963922471</v>
      </c>
      <c r="G40" s="209">
        <f>SUMPRODUCT(--($O$66:$O$290=G$9&amp;$B40), $F$66:$F$290,$M$66:$M$290)/SUMIF($O$66:$O$290,G$9&amp;$B40,$F$66:$F$290)*(1+Assumptions_EG!$C19)</f>
        <v>7111.1111111111113</v>
      </c>
      <c r="I40" s="452">
        <v>2019</v>
      </c>
      <c r="J40" s="418" t="s">
        <v>1603</v>
      </c>
      <c r="K40" s="453">
        <v>0.20627943231757243</v>
      </c>
      <c r="L40" s="502" t="s">
        <v>1558</v>
      </c>
    </row>
    <row r="41" spans="1:25" s="304" customFormat="1" x14ac:dyDescent="0.35">
      <c r="B41" s="304" t="s">
        <v>1605</v>
      </c>
      <c r="C41" s="209">
        <f>SUMPRODUCT(--($O$66:$O$290=C$9&amp;$B41), $F$66:$F$290,$M$66:$M$290)/SUMIF($O$66:$O$290,C$9&amp;$B41,$F$66:$F$290)*(1+Assumptions_EG!$C20)</f>
        <v>12023.270348024485</v>
      </c>
      <c r="D41" s="209">
        <f>SUMPRODUCT(--($O$66:$O$290=D$9&amp;$B41), $F$66:$F$290,$M$66:$M$290)/SUMIF($O$66:$O$290,D$9&amp;$B41,$F$66:$F$290)*(1+Assumptions_EG!$C20)</f>
        <v>14598.416471112962</v>
      </c>
      <c r="E41" s="209">
        <f>SUMPRODUCT(--($O$66:$O$290=E$9&amp;$B41), $F$66:$F$290,$M$66:$M$290)/SUMIF($O$66:$O$290,E$9&amp;$B41,$F$66:$F$290)*(1+Assumptions_EG!$C20)</f>
        <v>11616.716581930692</v>
      </c>
      <c r="F41" s="209">
        <f>SUMPRODUCT(--($O$66:$O$290=F$9&amp;$B41), $F$66:$F$290,$M$66:$M$290)/SUMIF($O$66:$O$290,F$9&amp;$B41,$F$66:$F$290)*(1+Assumptions_EG!$C20)</f>
        <v>9522.7857316091431</v>
      </c>
      <c r="G41" s="209">
        <f>SUMPRODUCT(--($O$66:$O$290=G$9&amp;$B41), $F$66:$F$290,$M$66:$M$290)/SUMIF($O$66:$O$290,G$9&amp;$B41,$F$66:$F$290)*(1+Assumptions_EG!$C20)</f>
        <v>13398.066756076199</v>
      </c>
      <c r="I41" s="452">
        <v>2019</v>
      </c>
      <c r="J41" s="418" t="s">
        <v>1605</v>
      </c>
      <c r="K41" s="453">
        <v>0.2313655363440307</v>
      </c>
      <c r="L41" s="502" t="s">
        <v>1559</v>
      </c>
    </row>
    <row r="42" spans="1:25" s="304" customFormat="1" x14ac:dyDescent="0.35">
      <c r="B42" s="304" t="s">
        <v>1636</v>
      </c>
      <c r="C42" s="209">
        <f>SUMPRODUCT(--($O$66:$O$290=C$9&amp;$B42), $F$66:$F$290,$M$66:$M$290)/SUMIF($O$66:$O$290,C$9&amp;$B42,$F$66:$F$290)*(1+Assumptions_EG!$C21)</f>
        <v>8940.0285185740213</v>
      </c>
      <c r="D42" s="209">
        <f>SUMPRODUCT(--($O$66:$O$290=D$9&amp;$B42), $F$66:$F$290,$M$66:$M$290)/SUMIF($O$66:$O$290,D$9&amp;$B42,$F$66:$F$290)*(1+Assumptions_EG!$C21)</f>
        <v>15808.731754424425</v>
      </c>
      <c r="E42" s="209">
        <f>SUMPRODUCT(--($O$66:$O$290=E$9&amp;$B42), $F$66:$F$290,$M$66:$M$290)/SUMIF($O$66:$O$290,E$9&amp;$B42,$F$66:$F$290)*(1+Assumptions_EG!$C21)</f>
        <v>10793.167282852371</v>
      </c>
      <c r="F42" s="209">
        <f>SUMPRODUCT(--($O$66:$O$290=F$9&amp;$B42), $F$66:$F$290,$M$66:$M$290)/SUMIF($O$66:$O$290,F$9&amp;$B42,$F$66:$F$290)*(1+Assumptions_EG!$C21)</f>
        <v>8691.5050276236143</v>
      </c>
      <c r="G42" s="209">
        <f>SUMPRODUCT(--($O$66:$O$290=G$9&amp;$B42), $F$66:$F$290,$M$66:$M$290)/SUMIF($O$66:$O$290,G$9&amp;$B42,$F$66:$F$290)*(1+Assumptions_EG!$C21)</f>
        <v>12207.727097566041</v>
      </c>
      <c r="I42" s="452">
        <v>2019</v>
      </c>
      <c r="J42" s="418" t="s">
        <v>1636</v>
      </c>
      <c r="K42" s="453">
        <v>0.1890889600524939</v>
      </c>
      <c r="L42" s="502" t="s">
        <v>1560</v>
      </c>
    </row>
    <row r="43" spans="1:25" s="304" customFormat="1" ht="15" thickBot="1" x14ac:dyDescent="0.4">
      <c r="B43" s="304" t="s">
        <v>1606</v>
      </c>
      <c r="C43" s="209">
        <f>SUMPRODUCT(--($O$66:$O$290=C$9&amp;$B43), $F$66:$F$290,$M$66:$M$290)/SUMIF($O$66:$O$290,C$9&amp;$B43,$F$66:$F$290)*(1+Assumptions_EG!$C22)</f>
        <v>8177.3076994117473</v>
      </c>
      <c r="D43" s="209" t="e">
        <f>SUMPRODUCT(--($O$66:$O$290=D$9&amp;$B43), $F$66:$F$290,$M$66:$M$290)/SUMIF($O$66:$O$290,D$9&amp;$B43,$F$66:$F$290)*(1+Assumptions_EG!$C22)</f>
        <v>#DIV/0!</v>
      </c>
      <c r="E43" s="209">
        <f>SUMPRODUCT(--($O$66:$O$290=E$9&amp;$B43), $F$66:$F$290,$M$66:$M$290)/SUMIF($O$66:$O$290,E$9&amp;$B43,$F$66:$F$290)*(1+Assumptions_EG!$C22)</f>
        <v>7346.1988674099939</v>
      </c>
      <c r="F43" s="209">
        <f>SUMPRODUCT(--($O$66:$O$290=F$9&amp;$B43), $F$66:$F$290,$M$66:$M$290)/SUMIF($O$66:$O$290,F$9&amp;$B43,$F$66:$F$290)*(1+Assumptions_EG!$C22)</f>
        <v>5886.0846098324755</v>
      </c>
      <c r="G43" s="209" t="e">
        <f>SUMPRODUCT(--($O$66:$O$290=G$9&amp;$B43), $F$66:$F$290,$M$66:$M$290)/SUMIF($O$66:$O$290,G$9&amp;$B43,$F$66:$F$290)*(1+Assumptions_EG!$C22)</f>
        <v>#DIV/0!</v>
      </c>
      <c r="I43" s="455">
        <v>2019</v>
      </c>
      <c r="J43" s="503" t="s">
        <v>1606</v>
      </c>
      <c r="K43" s="504">
        <v>0.19182955699540097</v>
      </c>
      <c r="L43" s="505" t="s">
        <v>1552</v>
      </c>
    </row>
    <row r="44" spans="1:25" s="304" customFormat="1" x14ac:dyDescent="0.35">
      <c r="I44" s="29" t="s">
        <v>1488</v>
      </c>
      <c r="J44" s="394" t="s">
        <v>1638</v>
      </c>
    </row>
    <row r="45" spans="1:25" ht="15" thickBot="1" x14ac:dyDescent="0.4"/>
    <row r="46" spans="1:25" ht="29.5" thickBot="1" x14ac:dyDescent="0.4">
      <c r="B46" s="477" t="s">
        <v>179</v>
      </c>
      <c r="C46" s="531" t="s">
        <v>1561</v>
      </c>
      <c r="D46" s="467" t="s">
        <v>180</v>
      </c>
      <c r="E46" s="496" t="s">
        <v>1177</v>
      </c>
      <c r="G46" s="497" t="s">
        <v>1630</v>
      </c>
      <c r="H46" s="472" t="s">
        <v>1628</v>
      </c>
      <c r="I46" s="496" t="s">
        <v>1629</v>
      </c>
      <c r="Y46" s="209"/>
    </row>
    <row r="47" spans="1:25" x14ac:dyDescent="0.35">
      <c r="B47" s="499" t="s">
        <v>1185</v>
      </c>
      <c r="C47" s="418" t="s">
        <v>1612</v>
      </c>
      <c r="D47" s="418" t="s">
        <v>739</v>
      </c>
      <c r="E47" s="454">
        <f t="shared" ref="E47:E55" si="6">SUMIF($D$66:$D$290,$C47,F$66:F$290)</f>
        <v>200704.5</v>
      </c>
      <c r="G47" s="452" t="s">
        <v>1612</v>
      </c>
      <c r="H47" s="459">
        <v>-2.7439808458149528E-3</v>
      </c>
      <c r="I47" s="494">
        <v>6.2900913605934861E-2</v>
      </c>
      <c r="J47" s="29" t="s">
        <v>1169</v>
      </c>
      <c r="K47" s="375" t="s">
        <v>1631</v>
      </c>
      <c r="L47" s="304"/>
      <c r="Y47" s="209"/>
    </row>
    <row r="48" spans="1:25" x14ac:dyDescent="0.35">
      <c r="B48" s="499" t="s">
        <v>1185</v>
      </c>
      <c r="C48" s="418" t="s">
        <v>1613</v>
      </c>
      <c r="D48" s="418" t="s">
        <v>739</v>
      </c>
      <c r="E48" s="454">
        <f t="shared" si="6"/>
        <v>24384.939999999991</v>
      </c>
      <c r="G48" s="452" t="s">
        <v>1613</v>
      </c>
      <c r="H48" s="459">
        <v>-2.7439808458149528E-3</v>
      </c>
      <c r="I48" s="494">
        <v>2.8743140965498126E-2</v>
      </c>
      <c r="K48" s="29" t="s">
        <v>1561</v>
      </c>
      <c r="L48" s="29" t="s">
        <v>152</v>
      </c>
      <c r="Y48" s="209"/>
    </row>
    <row r="49" spans="1:25" x14ac:dyDescent="0.35">
      <c r="B49" s="499" t="s">
        <v>1185</v>
      </c>
      <c r="C49" s="418" t="s">
        <v>1614</v>
      </c>
      <c r="D49" s="418" t="s">
        <v>739</v>
      </c>
      <c r="E49" s="454">
        <f t="shared" si="6"/>
        <v>0</v>
      </c>
      <c r="G49" s="452" t="s">
        <v>1614</v>
      </c>
      <c r="H49" s="459">
        <v>-2.7439808458149528E-3</v>
      </c>
      <c r="I49" s="494">
        <f>I48</f>
        <v>2.8743140965498126E-2</v>
      </c>
      <c r="J49" s="304" t="s">
        <v>1628</v>
      </c>
      <c r="K49" s="304" t="s">
        <v>1471</v>
      </c>
      <c r="L49" s="170" t="s">
        <v>1626</v>
      </c>
      <c r="Y49" s="209"/>
    </row>
    <row r="50" spans="1:25" x14ac:dyDescent="0.35">
      <c r="B50" s="499" t="s">
        <v>1185</v>
      </c>
      <c r="C50" s="418" t="s">
        <v>1615</v>
      </c>
      <c r="D50" s="418" t="s">
        <v>739</v>
      </c>
      <c r="E50" s="454">
        <f t="shared" si="6"/>
        <v>6780</v>
      </c>
      <c r="G50" s="452" t="s">
        <v>1615</v>
      </c>
      <c r="H50" s="459">
        <v>-2.7439808458149528E-3</v>
      </c>
      <c r="I50" s="494">
        <v>0</v>
      </c>
      <c r="J50" s="304" t="s">
        <v>1629</v>
      </c>
      <c r="K50" s="304" t="s">
        <v>1632</v>
      </c>
      <c r="L50" s="170" t="s">
        <v>1625</v>
      </c>
      <c r="Y50" s="209"/>
    </row>
    <row r="51" spans="1:25" x14ac:dyDescent="0.35">
      <c r="B51" s="499" t="s">
        <v>1185</v>
      </c>
      <c r="C51" s="418" t="s">
        <v>1604</v>
      </c>
      <c r="D51" s="418" t="s">
        <v>739</v>
      </c>
      <c r="E51" s="454">
        <f t="shared" si="6"/>
        <v>45399.22</v>
      </c>
      <c r="G51" s="452" t="s">
        <v>1604</v>
      </c>
      <c r="H51" s="459">
        <v>-2.7439808458149528E-3</v>
      </c>
      <c r="I51" s="494">
        <f>0%</f>
        <v>0</v>
      </c>
      <c r="J51" s="304" t="s">
        <v>1629</v>
      </c>
      <c r="K51" s="304" t="s">
        <v>1634</v>
      </c>
      <c r="L51" s="170" t="s">
        <v>1616</v>
      </c>
      <c r="Y51" s="209"/>
    </row>
    <row r="52" spans="1:25" x14ac:dyDescent="0.35">
      <c r="B52" s="499" t="s">
        <v>1185</v>
      </c>
      <c r="C52" s="418" t="s">
        <v>1603</v>
      </c>
      <c r="D52" s="418" t="s">
        <v>739</v>
      </c>
      <c r="E52" s="454">
        <f t="shared" si="6"/>
        <v>4587.9000000000005</v>
      </c>
      <c r="G52" s="452" t="s">
        <v>1603</v>
      </c>
      <c r="H52" s="459">
        <v>-2.7439808458149528E-3</v>
      </c>
      <c r="I52" s="494">
        <f>0%</f>
        <v>0</v>
      </c>
      <c r="J52" s="304" t="s">
        <v>1629</v>
      </c>
      <c r="K52" s="304" t="s">
        <v>1637</v>
      </c>
      <c r="L52" s="170" t="s">
        <v>1617</v>
      </c>
      <c r="Y52" s="209"/>
    </row>
    <row r="53" spans="1:25" x14ac:dyDescent="0.35">
      <c r="B53" s="499" t="s">
        <v>1185</v>
      </c>
      <c r="C53" s="418" t="s">
        <v>1605</v>
      </c>
      <c r="D53" s="418" t="s">
        <v>739</v>
      </c>
      <c r="E53" s="454">
        <f t="shared" si="6"/>
        <v>9916.6099999999988</v>
      </c>
      <c r="G53" s="452" t="s">
        <v>1605</v>
      </c>
      <c r="H53" s="459">
        <v>-2.7439808458149528E-3</v>
      </c>
      <c r="I53" s="494">
        <f>0%</f>
        <v>0</v>
      </c>
      <c r="L53" s="304"/>
      <c r="Y53" s="209"/>
    </row>
    <row r="54" spans="1:25" x14ac:dyDescent="0.35">
      <c r="B54" s="499" t="s">
        <v>1185</v>
      </c>
      <c r="C54" s="418" t="s">
        <v>1636</v>
      </c>
      <c r="D54" s="418" t="s">
        <v>739</v>
      </c>
      <c r="E54" s="454">
        <f t="shared" si="6"/>
        <v>28108.230000000007</v>
      </c>
      <c r="G54" s="452" t="s">
        <v>1636</v>
      </c>
      <c r="H54" s="459">
        <v>-2.7439808458149528E-3</v>
      </c>
      <c r="I54" s="494">
        <f>-Assumptions_EG!$C$7</f>
        <v>-0.04</v>
      </c>
      <c r="L54" s="304"/>
      <c r="Y54" s="209"/>
    </row>
    <row r="55" spans="1:25" ht="15" thickBot="1" x14ac:dyDescent="0.4">
      <c r="B55" s="500" t="s">
        <v>1185</v>
      </c>
      <c r="C55" s="456" t="s">
        <v>1606</v>
      </c>
      <c r="D55" s="456" t="s">
        <v>739</v>
      </c>
      <c r="E55" s="457">
        <f t="shared" si="6"/>
        <v>35621.665000000001</v>
      </c>
      <c r="G55" s="455" t="s">
        <v>1606</v>
      </c>
      <c r="H55" s="470">
        <v>-2.7439808458149528E-3</v>
      </c>
      <c r="I55" s="495">
        <f>-Assumptions_EG!$C$7</f>
        <v>-0.04</v>
      </c>
      <c r="L55" s="304"/>
      <c r="Y55" s="209"/>
    </row>
    <row r="57" spans="1:25" s="304" customFormat="1" x14ac:dyDescent="0.35">
      <c r="A57" s="29" t="s">
        <v>1640</v>
      </c>
      <c r="G57"/>
      <c r="I57"/>
      <c r="K57"/>
      <c r="L57"/>
    </row>
    <row r="58" spans="1:25" s="304" customFormat="1" x14ac:dyDescent="0.35">
      <c r="A58" s="29"/>
      <c r="B58" s="702" t="s">
        <v>1932</v>
      </c>
    </row>
    <row r="59" spans="1:25" s="304" customFormat="1" x14ac:dyDescent="0.35">
      <c r="A59" s="29"/>
      <c r="B59" s="702" t="s">
        <v>1934</v>
      </c>
    </row>
    <row r="60" spans="1:25" s="304" customFormat="1" x14ac:dyDescent="0.35">
      <c r="A60" s="29"/>
      <c r="B60" s="702" t="s">
        <v>1933</v>
      </c>
    </row>
    <row r="61" spans="1:25" s="304" customFormat="1" x14ac:dyDescent="0.35">
      <c r="A61" s="29"/>
      <c r="B61" s="702" t="s">
        <v>1935</v>
      </c>
    </row>
    <row r="62" spans="1:25" s="304" customFormat="1" x14ac:dyDescent="0.35">
      <c r="A62" s="29"/>
      <c r="B62" s="702" t="s">
        <v>1936</v>
      </c>
    </row>
    <row r="63" spans="1:25" s="304" customFormat="1" x14ac:dyDescent="0.35">
      <c r="A63" s="29"/>
      <c r="B63" s="702" t="s">
        <v>1937</v>
      </c>
    </row>
    <row r="64" spans="1:25" s="304" customFormat="1" ht="15" thickBot="1" x14ac:dyDescent="0.4">
      <c r="A64" s="29"/>
      <c r="B64" s="701"/>
    </row>
    <row r="65" spans="2:27" ht="58.5" thickBot="1" x14ac:dyDescent="0.4">
      <c r="B65" s="526" t="s">
        <v>1042</v>
      </c>
      <c r="C65" s="527" t="s">
        <v>179</v>
      </c>
      <c r="D65" s="528" t="s">
        <v>1561</v>
      </c>
      <c r="E65" s="527" t="s">
        <v>180</v>
      </c>
      <c r="F65" s="529" t="s">
        <v>1470</v>
      </c>
      <c r="G65" s="529" t="s">
        <v>1582</v>
      </c>
      <c r="H65" s="529" t="s">
        <v>1583</v>
      </c>
      <c r="I65" s="529" t="s">
        <v>1394</v>
      </c>
      <c r="J65" s="529" t="s">
        <v>1591</v>
      </c>
      <c r="K65" s="529" t="s">
        <v>1592</v>
      </c>
      <c r="L65" s="529" t="s">
        <v>1484</v>
      </c>
      <c r="M65" s="529" t="s">
        <v>1593</v>
      </c>
      <c r="N65" s="529" t="s">
        <v>1594</v>
      </c>
      <c r="O65" s="530" t="s">
        <v>1501</v>
      </c>
      <c r="P65" s="529" t="s">
        <v>152</v>
      </c>
      <c r="V65" s="42" t="s">
        <v>1181</v>
      </c>
      <c r="W65" s="42" t="s">
        <v>1179</v>
      </c>
      <c r="X65" s="42" t="s">
        <v>1180</v>
      </c>
      <c r="Z65" s="42"/>
      <c r="AA65" s="42"/>
    </row>
    <row r="66" spans="2:27" x14ac:dyDescent="0.35">
      <c r="B66" s="521" t="s">
        <v>1051</v>
      </c>
      <c r="C66" s="522" t="s">
        <v>181</v>
      </c>
      <c r="D66" s="522" t="s">
        <v>1612</v>
      </c>
      <c r="E66" s="523" t="str">
        <f>TS!B5</f>
        <v>2018-19</v>
      </c>
      <c r="F66" s="524">
        <f>SUMIFS(Capacity!$C$3:$C$263,Capacity!$A$3:$A$263,$C66,Capacity!$B$3:$B$263,$D66)</f>
        <v>8685.5257373493005</v>
      </c>
      <c r="G66" s="524">
        <f>TS!G5</f>
        <v>9476.1978465754437</v>
      </c>
      <c r="H66" s="523">
        <f>TS!H5</f>
        <v>2.311017972184501</v>
      </c>
      <c r="I66" s="522"/>
      <c r="J66" s="524">
        <f>IF($E66="2018-19",G66,G66*(1+Assumptions_EG!$C$6)*(1+INDEX($H$47:$H$55,MATCH($D66,$G$47:$G$55,0))))</f>
        <v>9476.1978465754437</v>
      </c>
      <c r="K66" s="523">
        <f>IF($E66="2018-19",H66,H66*(1+Assumptions_EG!$C$6)*(1+INDEX($I$47:$I$55,MATCH($D66,$G$47:$G$55,0))))</f>
        <v>2.311017972184501</v>
      </c>
      <c r="L66" s="523">
        <f>SUMIF(Legacy_FC_VC!$J$35:$J$43,D66,Legacy_FC_VC!$K$35:$K$43)</f>
        <v>0.85</v>
      </c>
      <c r="M66" s="524">
        <f>IF(SUMPRODUCT(--(D66={"EG_COAL","EG_CCGT","EG_OCGT"}))&gt;0,J66,J66+K66*8760*L66)</f>
        <v>9476.1978465754437</v>
      </c>
      <c r="N66" s="523">
        <f>IF(SUMPRODUCT(--(D66={"EG_COAL","EG_CCGT","EG_OCGT"}))&gt;0,K66,0)</f>
        <v>2.311017972184501</v>
      </c>
      <c r="O66" s="525" t="str">
        <f t="shared" ref="O66:O129" si="7">B66&amp;D66</f>
        <v>SREG_COAL</v>
      </c>
      <c r="P66" s="522"/>
      <c r="V66" s="209">
        <f>TS!C5</f>
        <v>8895.045458391478</v>
      </c>
      <c r="W66" s="209">
        <f t="shared" ref="W66:W97" si="8">F66-V66</f>
        <v>-209.51972104217748</v>
      </c>
      <c r="X66" s="303">
        <f>IFERROR(W66/V66,0)</f>
        <v>-2.3554654332263038E-2</v>
      </c>
      <c r="Z66" s="150"/>
      <c r="AA66" s="150"/>
    </row>
    <row r="67" spans="2:27" x14ac:dyDescent="0.35">
      <c r="B67" s="512" t="s">
        <v>1051</v>
      </c>
      <c r="C67" s="3" t="s">
        <v>181</v>
      </c>
      <c r="D67" s="3" t="s">
        <v>1613</v>
      </c>
      <c r="E67" s="11" t="str">
        <f>TS!B6</f>
        <v>2018-19</v>
      </c>
      <c r="F67" s="143">
        <f>SUMIFS(Capacity!$C$3:$C$263,Capacity!$A$3:$A$263,$C67,Capacity!$B$3:$B$263,$D67)</f>
        <v>831.82</v>
      </c>
      <c r="G67" s="143">
        <f>TS!G6</f>
        <v>1458.3333333333333</v>
      </c>
      <c r="H67" s="11">
        <f>TS!H6</f>
        <v>2.1454357916451778</v>
      </c>
      <c r="I67" s="3"/>
      <c r="J67" s="143">
        <f>IF($E67="2018-19",G67,G67*(1+Assumptions_EG!$C$6)*(1+INDEX($H$47:$H$55,MATCH($D67,$G$47:$G$55,0))))</f>
        <v>1458.3333333333333</v>
      </c>
      <c r="K67" s="11">
        <f>IF($E67="2018-19",H67,H67*(1+Assumptions_EG!$C$6)*(1+INDEX(Legacy_FC_VC!$I$47:$I$55,MATCH($D67,Assumptions_EG!$B$14:$B$22,0))))</f>
        <v>2.1454357916451778</v>
      </c>
      <c r="L67" s="11">
        <f>SUMIF(Legacy_FC_VC!$J$35:$J$43,D67,Legacy_FC_VC!$K$35:$K$43)</f>
        <v>0.85</v>
      </c>
      <c r="M67" s="143">
        <f>IF(SUMPRODUCT(--(D67={"EG_COAL","EG_CCGT","EG_OCGT"}))&gt;0,J67,J67+K67*8760*L67)</f>
        <v>1458.3333333333333</v>
      </c>
      <c r="N67" s="11">
        <f>IF(SUMPRODUCT(--(D67={"EG_COAL","EG_CCGT","EG_OCGT"}))&gt;0,K67,0)</f>
        <v>2.1454357916451778</v>
      </c>
      <c r="O67" s="513" t="str">
        <f t="shared" si="7"/>
        <v>SREG_CCGT</v>
      </c>
      <c r="P67" s="3"/>
      <c r="V67" s="209">
        <f>TS!C6</f>
        <v>24.48</v>
      </c>
      <c r="W67" s="209">
        <f t="shared" si="8"/>
        <v>807.34</v>
      </c>
      <c r="X67" s="303">
        <f t="shared" ref="X67:X124" si="9">IFERROR(W67/V67,0)</f>
        <v>32.979575163398692</v>
      </c>
      <c r="Z67" s="150"/>
      <c r="AA67" s="150"/>
    </row>
    <row r="68" spans="2:27" x14ac:dyDescent="0.35">
      <c r="B68" s="512" t="s">
        <v>1051</v>
      </c>
      <c r="C68" s="3" t="s">
        <v>181</v>
      </c>
      <c r="D68" s="3" t="s">
        <v>1614</v>
      </c>
      <c r="E68" s="11" t="str">
        <f>TS!B7</f>
        <v>2018-19</v>
      </c>
      <c r="F68" s="143">
        <f>SUMIFS(Capacity!$C$3:$C$263,Capacity!$A$3:$A$263,$C68,Capacity!$B$3:$B$263,$D68)</f>
        <v>0</v>
      </c>
      <c r="G68" s="143">
        <f>TS!G7</f>
        <v>0</v>
      </c>
      <c r="H68" s="11">
        <f>TS!H7</f>
        <v>0</v>
      </c>
      <c r="I68" s="3"/>
      <c r="J68" s="143">
        <f>IF($E68="2018-19",G68,G68*(1+Assumptions_EG!$C$6)*(1+INDEX($H$47:$H$55,MATCH($D68,$G$47:$G$55,0))))</f>
        <v>0</v>
      </c>
      <c r="K68" s="11">
        <f>IF($E68="2018-19",H68,H68*(1+Assumptions_EG!$C$6)*(1+INDEX(Legacy_FC_VC!$I$47:$I$55,MATCH($D68,Assumptions_EG!$B$14:$B$22,0))))</f>
        <v>0</v>
      </c>
      <c r="L68" s="11">
        <f>SUMIF(Legacy_FC_VC!$J$35:$J$43,D68,Legacy_FC_VC!$K$35:$K$43)</f>
        <v>0.85</v>
      </c>
      <c r="M68" s="143">
        <f>IF(SUMPRODUCT(--(D68={"EG_COAL","EG_CCGT","EG_OCGT"}))&gt;0,J68,J68+K68*8760*L68)</f>
        <v>0</v>
      </c>
      <c r="N68" s="11">
        <f>IF(SUMPRODUCT(--(D68={"EG_COAL","EG_CCGT","EG_OCGT"}))&gt;0,K68,0)</f>
        <v>0</v>
      </c>
      <c r="O68" s="513" t="str">
        <f t="shared" si="7"/>
        <v>SREG_OCGT</v>
      </c>
      <c r="P68" s="3"/>
      <c r="V68" s="209">
        <f>TS!C7</f>
        <v>0</v>
      </c>
      <c r="W68" s="209">
        <f t="shared" si="8"/>
        <v>0</v>
      </c>
      <c r="X68" s="303">
        <f t="shared" si="9"/>
        <v>0</v>
      </c>
      <c r="Z68" s="150"/>
      <c r="AA68" s="150"/>
    </row>
    <row r="69" spans="2:27" x14ac:dyDescent="0.35">
      <c r="B69" s="512" t="s">
        <v>1051</v>
      </c>
      <c r="C69" s="3" t="s">
        <v>181</v>
      </c>
      <c r="D69" s="3" t="s">
        <v>1615</v>
      </c>
      <c r="E69" s="11" t="str">
        <f>TS!B8</f>
        <v>2018-19</v>
      </c>
      <c r="F69" s="143">
        <f>SUMIFS(Capacity!$C$3:$C$263,Capacity!$A$3:$A$263,$C69,Capacity!$B$3:$B$263,$D69)</f>
        <v>172.05003484320557</v>
      </c>
      <c r="G69" s="143">
        <f>TS!G8</f>
        <v>0</v>
      </c>
      <c r="H69" s="11">
        <f>TS!H8</f>
        <v>3.6075360859664594</v>
      </c>
      <c r="I69" s="3"/>
      <c r="J69" s="143">
        <f>IF($E69="2018-19",G69,G69*(1+Assumptions_EG!$C$6)*(1+INDEX($H$47:$H$55,MATCH($D69,$G$47:$G$55,0))))</f>
        <v>0</v>
      </c>
      <c r="K69" s="11">
        <f>IF($E69="2018-19",H69,H69*(1+Assumptions_EG!$C$6)*(1+INDEX(Legacy_FC_VC!$I$47:$I$55,MATCH($D69,Assumptions_EG!$B$14:$B$22,0))))</f>
        <v>3.6075360859664594</v>
      </c>
      <c r="L69" s="11">
        <f>SUMIF(Legacy_FC_VC!$J$35:$J$43,D69,Legacy_FC_VC!$K$35:$K$43)</f>
        <v>0.65716939790195539</v>
      </c>
      <c r="M69" s="143">
        <f>IF(SUMPRODUCT(--(D69={"EG_COAL","EG_CCGT","EG_OCGT"}))&gt;0,J69,J69+K69*8760*L69)</f>
        <v>20767.877901511598</v>
      </c>
      <c r="N69" s="11">
        <f>IF(SUMPRODUCT(--(D69={"EG_COAL","EG_CCGT","EG_OCGT"}))&gt;0,K69,0)</f>
        <v>0</v>
      </c>
      <c r="O69" s="513" t="str">
        <f t="shared" si="7"/>
        <v>SREG_PHWR</v>
      </c>
      <c r="P69" s="3"/>
      <c r="V69" s="209">
        <f>TS!C8</f>
        <v>217.77199999999999</v>
      </c>
      <c r="W69" s="209">
        <f t="shared" si="8"/>
        <v>-45.721965156794425</v>
      </c>
      <c r="X69" s="303">
        <f t="shared" si="9"/>
        <v>-0.20995336938079473</v>
      </c>
      <c r="Z69" s="150"/>
      <c r="AA69" s="150"/>
    </row>
    <row r="70" spans="2:27" x14ac:dyDescent="0.35">
      <c r="B70" s="512" t="s">
        <v>1051</v>
      </c>
      <c r="C70" s="3" t="s">
        <v>181</v>
      </c>
      <c r="D70" s="3" t="s">
        <v>1604</v>
      </c>
      <c r="E70" s="11" t="str">
        <f>TS!B9</f>
        <v>2018-19</v>
      </c>
      <c r="F70" s="143">
        <f>SUMIFS(Capacity!$C$3:$C$263,Capacity!$A$3:$A$263,$C70,Capacity!$B$3:$B$263,$D70)</f>
        <v>2479.9299999999998</v>
      </c>
      <c r="G70" s="143">
        <f>TS!G9</f>
        <v>4353.1287775866595</v>
      </c>
      <c r="H70" s="11">
        <f>TS!H9</f>
        <v>0</v>
      </c>
      <c r="I70" s="3"/>
      <c r="J70" s="143">
        <f>IF($E70="2018-19",G70,G70*(1+Assumptions_EG!$C$6)*(1+INDEX($H$47:$H$55,MATCH($D70,$G$47:$G$55,0))))</f>
        <v>4353.1287775866595</v>
      </c>
      <c r="K70" s="11">
        <f>IF($E70="2018-19",H70,H70*(1+Assumptions_EG!$C$6)*(1+INDEX(Legacy_FC_VC!$I$47:$I$55,MATCH($D70,Assumptions_EG!$B$14:$B$22,0))))</f>
        <v>0</v>
      </c>
      <c r="L70" s="11">
        <f>SUMIF(Legacy_FC_VC!$J$35:$J$43,D70,Legacy_FC_VC!$K$35:$K$43)</f>
        <v>0.32761940072174078</v>
      </c>
      <c r="M70" s="143">
        <f>IF(SUMPRODUCT(--(D70={"EG_COAL","EG_CCGT","EG_OCGT"}))&gt;0,J70,J70+K70*8760*L70)</f>
        <v>4353.1287775866595</v>
      </c>
      <c r="N70" s="11">
        <f>IF(SUMPRODUCT(--(D70={"EG_COAL","EG_CCGT","EG_OCGT"}))&gt;0,K70,0)</f>
        <v>0</v>
      </c>
      <c r="O70" s="513" t="str">
        <f t="shared" si="7"/>
        <v>SREG_LH</v>
      </c>
      <c r="P70" s="3"/>
      <c r="V70" s="209">
        <f>TS!C9</f>
        <v>2401.0699999999997</v>
      </c>
      <c r="W70" s="209">
        <f t="shared" si="8"/>
        <v>78.860000000000127</v>
      </c>
      <c r="X70" s="303">
        <f t="shared" si="9"/>
        <v>3.284369052130931E-2</v>
      </c>
      <c r="Z70" s="150"/>
      <c r="AA70" s="150"/>
    </row>
    <row r="71" spans="2:27" x14ac:dyDescent="0.35">
      <c r="B71" s="512" t="s">
        <v>1051</v>
      </c>
      <c r="C71" s="3" t="s">
        <v>181</v>
      </c>
      <c r="D71" s="3" t="s">
        <v>1603</v>
      </c>
      <c r="E71" s="11" t="str">
        <f>TS!B10</f>
        <v>2018-19</v>
      </c>
      <c r="F71" s="143">
        <f>SUMIFS(Capacity!$C$3:$C$263,Capacity!$A$3:$A$263,$C71,Capacity!$B$3:$B$263,$D71)</f>
        <v>90.87</v>
      </c>
      <c r="G71" s="143">
        <f>TS!G10</f>
        <v>182.6785517772642</v>
      </c>
      <c r="H71" s="11">
        <f>TS!H10</f>
        <v>0</v>
      </c>
      <c r="I71" s="3"/>
      <c r="J71" s="143">
        <f>IF($E71="2018-19",G71,G71*(1+Assumptions_EG!$C$6)*(1+INDEX($H$47:$H$55,MATCH($D71,$G$47:$G$55,0))))</f>
        <v>182.6785517772642</v>
      </c>
      <c r="K71" s="11">
        <f>IF($E71="2018-19",H71,H71*(1+Assumptions_EG!$C$6)*(1+INDEX(Legacy_FC_VC!$I$47:$I$55,MATCH($D71,Assumptions_EG!$B$14:$B$22,0))))</f>
        <v>0</v>
      </c>
      <c r="L71" s="11">
        <f>SUMIF(Legacy_FC_VC!$J$35:$J$43,D71,Legacy_FC_VC!$K$35:$K$43)</f>
        <v>0.20627943231757243</v>
      </c>
      <c r="M71" s="143">
        <f>IF(SUMPRODUCT(--(D71={"EG_COAL","EG_CCGT","EG_OCGT"}))&gt;0,J71,J71+K71*8760*L71)</f>
        <v>182.6785517772642</v>
      </c>
      <c r="N71" s="11">
        <f>IF(SUMPRODUCT(--(D71={"EG_COAL","EG_CCGT","EG_OCGT"}))&gt;0,K71,0)</f>
        <v>0</v>
      </c>
      <c r="O71" s="513" t="str">
        <f t="shared" si="7"/>
        <v>SREG_SH</v>
      </c>
      <c r="P71" s="3"/>
      <c r="V71" s="209">
        <f>TS!C10</f>
        <v>90.87</v>
      </c>
      <c r="W71" s="209">
        <f t="shared" si="8"/>
        <v>0</v>
      </c>
      <c r="X71" s="303">
        <f t="shared" si="9"/>
        <v>0</v>
      </c>
      <c r="Z71" s="150"/>
      <c r="AA71" s="150"/>
    </row>
    <row r="72" spans="2:27" x14ac:dyDescent="0.35">
      <c r="B72" s="512" t="s">
        <v>1051</v>
      </c>
      <c r="C72" s="3" t="s">
        <v>181</v>
      </c>
      <c r="D72" s="3" t="s">
        <v>1605</v>
      </c>
      <c r="E72" s="11" t="str">
        <f>TS!B11</f>
        <v>2018-19</v>
      </c>
      <c r="F72" s="143">
        <f>SUMIFS(Capacity!$C$3:$C$263,Capacity!$A$3:$A$263,$C72,Capacity!$B$3:$B$263,$D72)</f>
        <v>177.6</v>
      </c>
      <c r="G72" s="143">
        <f>TS!G11</f>
        <v>2028.7162162162165</v>
      </c>
      <c r="H72" s="11">
        <f>TS!H11</f>
        <v>5.1344618982258137</v>
      </c>
      <c r="I72" s="3"/>
      <c r="J72" s="143">
        <f>IF($E72="2018-19",G72,G72*(1+Assumptions_EG!$C$6)*(1+INDEX($H$47:$H$55,MATCH($D72,$G$47:$G$55,0))))</f>
        <v>2028.7162162162165</v>
      </c>
      <c r="K72" s="11">
        <f>IF($E72="2018-19",H72,H72*(1+Assumptions_EG!$C$6)*(1+INDEX(Legacy_FC_VC!$I$47:$I$55,MATCH($D72,Assumptions_EG!$B$14:$B$22,0))))</f>
        <v>5.1344618982258137</v>
      </c>
      <c r="L72" s="11">
        <f>SUMIF(Legacy_FC_VC!$J$35:$J$43,D72,Legacy_FC_VC!$K$35:$K$43)</f>
        <v>0.2313655363440307</v>
      </c>
      <c r="M72" s="143">
        <f>IF(SUMPRODUCT(--(D72={"EG_COAL","EG_CCGT","EG_OCGT"}))&gt;0,J72,J72+K72*8760*L72)</f>
        <v>12435.048987084223</v>
      </c>
      <c r="N72" s="11">
        <f>IF(SUMPRODUCT(--(D72={"EG_COAL","EG_CCGT","EG_OCGT"}))&gt;0,K72,0)</f>
        <v>0</v>
      </c>
      <c r="O72" s="513" t="str">
        <f t="shared" si="7"/>
        <v>SREG_BIOMASS</v>
      </c>
      <c r="P72" s="3"/>
      <c r="V72" s="209">
        <f>TS!C11</f>
        <v>177.6</v>
      </c>
      <c r="W72" s="209">
        <f t="shared" si="8"/>
        <v>0</v>
      </c>
      <c r="X72" s="303">
        <f t="shared" si="9"/>
        <v>0</v>
      </c>
      <c r="Z72" s="150"/>
      <c r="AA72" s="150"/>
    </row>
    <row r="73" spans="2:27" x14ac:dyDescent="0.35">
      <c r="B73" s="512" t="s">
        <v>1051</v>
      </c>
      <c r="C73" s="3" t="s">
        <v>181</v>
      </c>
      <c r="D73" s="3" t="s">
        <v>1636</v>
      </c>
      <c r="E73" s="11" t="str">
        <f>TS!B12</f>
        <v>2018-19</v>
      </c>
      <c r="F73" s="143">
        <f>SUMIFS(Capacity!$C$3:$C$263,Capacity!$A$3:$A$263,$C73,Capacity!$B$3:$B$263,$D73)</f>
        <v>3592.09</v>
      </c>
      <c r="G73" s="143">
        <f>TS!G12</f>
        <v>0</v>
      </c>
      <c r="H73" s="11">
        <f>TS!H12</f>
        <v>4.7108170918791821</v>
      </c>
      <c r="I73" s="3"/>
      <c r="J73" s="143">
        <f>IF($E73="2018-19",G73,G73*(1+Assumptions_EG!$C$6)*(1+INDEX($H$47:$H$55,MATCH($D73,$G$47:$G$55,0))))</f>
        <v>0</v>
      </c>
      <c r="K73" s="11">
        <f>IF($E73="2018-19",H73,H73*(1+Assumptions_EG!$C$6)*(1+INDEX(Legacy_FC_VC!$I$47:$I$55,MATCH($D73,Assumptions_EG!$B$14:$B$22,0))))</f>
        <v>4.7108170918791821</v>
      </c>
      <c r="L73" s="11">
        <f>SUMIF(Legacy_FC_VC!$J$35:$J$43,D73,Legacy_FC_VC!$K$35:$K$43)</f>
        <v>0.1890889600524939</v>
      </c>
      <c r="M73" s="143">
        <f>IF(SUMPRODUCT(--(D73={"EG_COAL","EG_CCGT","EG_OCGT"}))&gt;0,J73,J73+K73*8760*L73)</f>
        <v>7803.0883029323059</v>
      </c>
      <c r="N73" s="11">
        <f>IF(SUMPRODUCT(--(D73={"EG_COAL","EG_CCGT","EG_OCGT"}))&gt;0,K73,0)</f>
        <v>0</v>
      </c>
      <c r="O73" s="513" t="str">
        <f t="shared" si="7"/>
        <v>SREG_SOLARPV</v>
      </c>
      <c r="P73" s="3"/>
      <c r="V73" s="209">
        <f>TS!C12</f>
        <v>3592.09</v>
      </c>
      <c r="W73" s="209">
        <f t="shared" si="8"/>
        <v>0</v>
      </c>
      <c r="X73" s="303">
        <f t="shared" si="9"/>
        <v>0</v>
      </c>
      <c r="Z73" s="150"/>
      <c r="AA73" s="150"/>
    </row>
    <row r="74" spans="2:27" x14ac:dyDescent="0.35">
      <c r="B74" s="512" t="s">
        <v>1051</v>
      </c>
      <c r="C74" s="3" t="s">
        <v>181</v>
      </c>
      <c r="D74" s="3" t="s">
        <v>1606</v>
      </c>
      <c r="E74" s="11" t="str">
        <f>TS!B14</f>
        <v>2018-19</v>
      </c>
      <c r="F74" s="143">
        <f>SUMIFS(Capacity!$C$3:$C$263,Capacity!$A$3:$A$263,$C74,Capacity!$B$3:$B$263,$D74)</f>
        <v>128.1</v>
      </c>
      <c r="G74" s="143">
        <f>TS!G14</f>
        <v>0</v>
      </c>
      <c r="H74" s="11">
        <f>TS!H14</f>
        <v>4.7002983455383784</v>
      </c>
      <c r="I74" s="3"/>
      <c r="J74" s="143">
        <f>IF($E74="2018-19",G74,G74*(1+Assumptions_EG!$C$6)*(1+INDEX($H$47:$H$55,MATCH($D74,$G$47:$G$55,0))))</f>
        <v>0</v>
      </c>
      <c r="K74" s="11">
        <f>IF($E74="2018-19",H74,H74*(1+Assumptions_EG!$C$6)*(1+INDEX(Legacy_FC_VC!$I$47:$I$55,MATCH($D74,Assumptions_EG!$B$14:$B$22,0))))</f>
        <v>4.7002983455383784</v>
      </c>
      <c r="L74" s="11">
        <f>SUMIF(Legacy_FC_VC!$J$35:$J$43,D74,Legacy_FC_VC!$K$35:$K$43)</f>
        <v>0.19182955699540097</v>
      </c>
      <c r="M74" s="143">
        <f>IF(SUMPRODUCT(--(D74={"EG_COAL","EG_CCGT","EG_OCGT"}))&gt;0,J74,J74+K74*8760*L74)</f>
        <v>7898.5078684885875</v>
      </c>
      <c r="N74" s="11">
        <f>IF(SUMPRODUCT(--(D74={"EG_COAL","EG_CCGT","EG_OCGT"}))&gt;0,K74,0)</f>
        <v>0</v>
      </c>
      <c r="O74" s="513" t="str">
        <f t="shared" si="7"/>
        <v>SREG_WIND</v>
      </c>
      <c r="P74" s="3"/>
      <c r="V74" s="209">
        <f>TS!C14</f>
        <v>128.1</v>
      </c>
      <c r="W74" s="209">
        <f t="shared" si="8"/>
        <v>0</v>
      </c>
      <c r="X74" s="303">
        <f t="shared" si="9"/>
        <v>0</v>
      </c>
      <c r="Z74" s="150"/>
      <c r="AA74" s="150"/>
    </row>
    <row r="75" spans="2:27" x14ac:dyDescent="0.35">
      <c r="B75" s="512" t="s">
        <v>1051</v>
      </c>
      <c r="C75" s="3" t="s">
        <v>259</v>
      </c>
      <c r="D75" s="3" t="s">
        <v>1612</v>
      </c>
      <c r="E75" s="11" t="str">
        <f>AP!B5</f>
        <v>2018-19</v>
      </c>
      <c r="F75" s="143">
        <f>SUMIFS(Capacity!$C$3:$C$263,Capacity!$A$3:$A$263,$C75,Capacity!$B$3:$B$263,$D75)</f>
        <v>10937.667271506813</v>
      </c>
      <c r="G75" s="143">
        <f>AP!G5</f>
        <v>6698.8348327214007</v>
      </c>
      <c r="H75" s="11">
        <f>AP!H5</f>
        <v>2.5664199816248989</v>
      </c>
      <c r="I75" s="3"/>
      <c r="J75" s="143">
        <f>IF($E75="2018-19",G75,G75*(1+Assumptions_EG!$C$6)*(1+INDEX($H$47:$H$55,MATCH($D75,$G$47:$G$55,0))))</f>
        <v>6698.8348327214007</v>
      </c>
      <c r="K75" s="11">
        <f>IF($E75="2018-19",H75,H75*(1+Assumptions_EG!$C$6)*(1+INDEX(Legacy_FC_VC!$I$47:$I$55,MATCH($D75,Assumptions_EG!$B$14:$B$22,0))))</f>
        <v>2.5664199816248989</v>
      </c>
      <c r="L75" s="11">
        <f>SUMIF(Legacy_FC_VC!$J$35:$J$43,D75,Legacy_FC_VC!$K$35:$K$43)</f>
        <v>0.85</v>
      </c>
      <c r="M75" s="143">
        <f>IF(SUMPRODUCT(--(D75={"EG_COAL","EG_CCGT","EG_OCGT"}))&gt;0,J75,J75+K75*8760*L75)</f>
        <v>6698.8348327214007</v>
      </c>
      <c r="N75" s="11">
        <f>IF(SUMPRODUCT(--(D75={"EG_COAL","EG_CCGT","EG_OCGT"}))&gt;0,K75,0)</f>
        <v>2.5664199816248989</v>
      </c>
      <c r="O75" s="513" t="str">
        <f t="shared" si="7"/>
        <v>SREG_COAL</v>
      </c>
      <c r="P75" s="3"/>
      <c r="V75" s="209">
        <f>AP!C5</f>
        <v>7411.4679999999998</v>
      </c>
      <c r="W75" s="209">
        <f t="shared" si="8"/>
        <v>3526.1992715068127</v>
      </c>
      <c r="X75" s="303">
        <f t="shared" si="9"/>
        <v>0.47577609071601101</v>
      </c>
      <c r="Z75" s="150"/>
      <c r="AA75" s="150"/>
    </row>
    <row r="76" spans="2:27" x14ac:dyDescent="0.35">
      <c r="B76" s="512" t="s">
        <v>1051</v>
      </c>
      <c r="C76" s="3" t="s">
        <v>259</v>
      </c>
      <c r="D76" s="3" t="s">
        <v>1613</v>
      </c>
      <c r="E76" s="11" t="str">
        <f>AP!B6</f>
        <v>2018-19</v>
      </c>
      <c r="F76" s="143">
        <f>SUMIFS(Capacity!$C$3:$C$263,Capacity!$A$3:$A$263,$C76,Capacity!$B$3:$B$263,$D76)</f>
        <v>4048.58</v>
      </c>
      <c r="G76" s="143">
        <f>AP!G6</f>
        <v>3028.1690485118129</v>
      </c>
      <c r="H76" s="11">
        <f>AP!H6</f>
        <v>2.3050699363303657</v>
      </c>
      <c r="I76" s="3"/>
      <c r="J76" s="143">
        <f>IF($E76="2018-19",G76,G76*(1+Assumptions_EG!$C$6)*(1+INDEX($H$47:$H$55,MATCH($D76,$G$47:$G$55,0))))</f>
        <v>3028.1690485118129</v>
      </c>
      <c r="K76" s="11">
        <f>IF($E76="2018-19",H76,H76*(1+Assumptions_EG!$C$6)*(1+INDEX(Legacy_FC_VC!$I$47:$I$55,MATCH($D76,Assumptions_EG!$B$14:$B$22,0))))</f>
        <v>2.3050699363303657</v>
      </c>
      <c r="L76" s="11">
        <f>SUMIF(Legacy_FC_VC!$J$35:$J$43,D76,Legacy_FC_VC!$K$35:$K$43)</f>
        <v>0.85</v>
      </c>
      <c r="M76" s="143">
        <f>IF(SUMPRODUCT(--(D76={"EG_COAL","EG_CCGT","EG_OCGT"}))&gt;0,J76,J76+K76*8760*L76)</f>
        <v>3028.1690485118129</v>
      </c>
      <c r="N76" s="11">
        <f>IF(SUMPRODUCT(--(D76={"EG_COAL","EG_CCGT","EG_OCGT"}))&gt;0,K76,0)</f>
        <v>2.3050699363303657</v>
      </c>
      <c r="O76" s="513" t="str">
        <f t="shared" si="7"/>
        <v>SREG_CCGT</v>
      </c>
      <c r="P76" s="3"/>
      <c r="V76" s="209">
        <f>AP!C6</f>
        <v>818.21720000000016</v>
      </c>
      <c r="W76" s="209">
        <f t="shared" si="8"/>
        <v>3230.3627999999999</v>
      </c>
      <c r="X76" s="303">
        <f t="shared" si="9"/>
        <v>3.9480504687508393</v>
      </c>
      <c r="Z76" s="150"/>
      <c r="AA76" s="150"/>
    </row>
    <row r="77" spans="2:27" x14ac:dyDescent="0.35">
      <c r="B77" s="512" t="s">
        <v>1051</v>
      </c>
      <c r="C77" s="3" t="s">
        <v>259</v>
      </c>
      <c r="D77" s="3" t="s">
        <v>1614</v>
      </c>
      <c r="E77" s="11" t="str">
        <f>AP!B7</f>
        <v>2018-19</v>
      </c>
      <c r="F77" s="143">
        <f>SUMIFS(Capacity!$C$3:$C$263,Capacity!$A$3:$A$263,$C77,Capacity!$B$3:$B$263,$D77)</f>
        <v>0</v>
      </c>
      <c r="G77" s="143">
        <f>AP!G7</f>
        <v>0</v>
      </c>
      <c r="H77" s="11">
        <f>AP!H7</f>
        <v>0</v>
      </c>
      <c r="I77" s="3"/>
      <c r="J77" s="143">
        <f>IF($E77="2018-19",G77,G77*(1+Assumptions_EG!$C$6)*(1+INDEX($H$47:$H$55,MATCH($D77,$G$47:$G$55,0))))</f>
        <v>0</v>
      </c>
      <c r="K77" s="11">
        <f>IF($E77="2018-19",H77,H77*(1+Assumptions_EG!$C$6)*(1+INDEX(Legacy_FC_VC!$I$47:$I$55,MATCH($D77,Assumptions_EG!$B$14:$B$22,0))))</f>
        <v>0</v>
      </c>
      <c r="L77" s="11">
        <f>SUMIF(Legacy_FC_VC!$J$35:$J$43,D77,Legacy_FC_VC!$K$35:$K$43)</f>
        <v>0.85</v>
      </c>
      <c r="M77" s="143">
        <f>IF(SUMPRODUCT(--(D77={"EG_COAL","EG_CCGT","EG_OCGT"}))&gt;0,J77,J77+K77*8760*L77)</f>
        <v>0</v>
      </c>
      <c r="N77" s="11">
        <f>IF(SUMPRODUCT(--(D77={"EG_COAL","EG_CCGT","EG_OCGT"}))&gt;0,K77,0)</f>
        <v>0</v>
      </c>
      <c r="O77" s="513" t="str">
        <f t="shared" si="7"/>
        <v>SREG_OCGT</v>
      </c>
      <c r="P77" s="3"/>
      <c r="V77" s="209">
        <f>AP!C7</f>
        <v>0</v>
      </c>
      <c r="W77" s="209">
        <f t="shared" si="8"/>
        <v>0</v>
      </c>
      <c r="X77" s="303">
        <f t="shared" si="9"/>
        <v>0</v>
      </c>
      <c r="Z77" s="150"/>
      <c r="AA77" s="150"/>
    </row>
    <row r="78" spans="2:27" x14ac:dyDescent="0.35">
      <c r="B78" s="512" t="s">
        <v>1051</v>
      </c>
      <c r="C78" s="3" t="s">
        <v>259</v>
      </c>
      <c r="D78" s="3" t="s">
        <v>1615</v>
      </c>
      <c r="E78" s="11" t="str">
        <f>AP!B8</f>
        <v>2018-19</v>
      </c>
      <c r="F78" s="143">
        <f>SUMIFS(Capacity!$C$3:$C$263,Capacity!$A$3:$A$263,$C78,Capacity!$B$3:$B$263,$D78)</f>
        <v>147.22522648083623</v>
      </c>
      <c r="G78" s="143">
        <f>AP!G8</f>
        <v>0</v>
      </c>
      <c r="H78" s="11">
        <f>AP!H8</f>
        <v>3.0992762628847137</v>
      </c>
      <c r="I78" s="3"/>
      <c r="J78" s="143">
        <f>IF($E78="2018-19",G78,G78*(1+Assumptions_EG!$C$6)*(1+INDEX($H$47:$H$55,MATCH($D78,$G$47:$G$55,0))))</f>
        <v>0</v>
      </c>
      <c r="K78" s="11">
        <f>IF($E78="2018-19",H78,H78*(1+Assumptions_EG!$C$6)*(1+INDEX(Legacy_FC_VC!$I$47:$I$55,MATCH($D78,Assumptions_EG!$B$14:$B$22,0))))</f>
        <v>3.0992762628847137</v>
      </c>
      <c r="L78" s="11">
        <f>SUMIF(Legacy_FC_VC!$J$35:$J$43,D78,Legacy_FC_VC!$K$35:$K$43)</f>
        <v>0.65716939790195539</v>
      </c>
      <c r="M78" s="143">
        <f>IF(SUMPRODUCT(--(D78={"EG_COAL","EG_CCGT","EG_OCGT"}))&gt;0,J78,J78+K78*8760*L78)</f>
        <v>17841.925756759101</v>
      </c>
      <c r="N78" s="11">
        <f>IF(SUMPRODUCT(--(D78={"EG_COAL","EG_CCGT","EG_OCGT"}))&gt;0,K78,0)</f>
        <v>0</v>
      </c>
      <c r="O78" s="513" t="str">
        <f t="shared" si="7"/>
        <v>SREG_PHWR</v>
      </c>
      <c r="P78" s="3"/>
      <c r="V78" s="209">
        <f>AP!C8</f>
        <v>133.84399999999999</v>
      </c>
      <c r="W78" s="209">
        <f t="shared" si="8"/>
        <v>13.381226480836233</v>
      </c>
      <c r="X78" s="303">
        <f t="shared" si="9"/>
        <v>9.9976289417801567E-2</v>
      </c>
      <c r="Z78" s="150"/>
      <c r="AA78" s="150"/>
    </row>
    <row r="79" spans="2:27" x14ac:dyDescent="0.35">
      <c r="B79" s="512" t="s">
        <v>1051</v>
      </c>
      <c r="C79" s="3" t="s">
        <v>259</v>
      </c>
      <c r="D79" s="3" t="s">
        <v>1604</v>
      </c>
      <c r="E79" s="11" t="str">
        <f>AP!B9</f>
        <v>2018-19</v>
      </c>
      <c r="F79" s="143">
        <f>SUMIFS(Capacity!$C$3:$C$263,Capacity!$A$3:$A$263,$C79,Capacity!$B$3:$B$263,$D79)</f>
        <v>1673.6</v>
      </c>
      <c r="G79" s="143">
        <f>AP!G9</f>
        <v>2640.9885338973622</v>
      </c>
      <c r="H79" s="11">
        <f>AP!H9</f>
        <v>0</v>
      </c>
      <c r="I79" s="3"/>
      <c r="J79" s="143">
        <f>IF($E79="2018-19",G79,G79*(1+Assumptions_EG!$C$6)*(1+INDEX($H$47:$H$55,MATCH($D79,$G$47:$G$55,0))))</f>
        <v>2640.9885338973622</v>
      </c>
      <c r="K79" s="11">
        <f>IF($E79="2018-19",H79,H79*(1+Assumptions_EG!$C$6)*(1+INDEX(Legacy_FC_VC!$I$47:$I$55,MATCH($D79,Assumptions_EG!$B$14:$B$22,0))))</f>
        <v>0</v>
      </c>
      <c r="L79" s="11">
        <f>SUMIF(Legacy_FC_VC!$J$35:$J$43,D79,Legacy_FC_VC!$K$35:$K$43)</f>
        <v>0.32761940072174078</v>
      </c>
      <c r="M79" s="143">
        <f>IF(SUMPRODUCT(--(D79={"EG_COAL","EG_CCGT","EG_OCGT"}))&gt;0,J79,J79+K79*8760*L79)</f>
        <v>2640.9885338973622</v>
      </c>
      <c r="N79" s="11">
        <f>IF(SUMPRODUCT(--(D79={"EG_COAL","EG_CCGT","EG_OCGT"}))&gt;0,K79,0)</f>
        <v>0</v>
      </c>
      <c r="O79" s="513" t="str">
        <f t="shared" si="7"/>
        <v>SREG_LH</v>
      </c>
      <c r="P79" s="3"/>
      <c r="V79" s="209">
        <f>AP!C9</f>
        <v>1796.6</v>
      </c>
      <c r="W79" s="209">
        <f t="shared" si="8"/>
        <v>-123</v>
      </c>
      <c r="X79" s="303">
        <f t="shared" si="9"/>
        <v>-6.8462651675386843E-2</v>
      </c>
      <c r="Z79" s="150"/>
      <c r="AA79" s="150"/>
    </row>
    <row r="80" spans="2:27" x14ac:dyDescent="0.35">
      <c r="B80" s="512" t="s">
        <v>1051</v>
      </c>
      <c r="C80" s="3" t="s">
        <v>259</v>
      </c>
      <c r="D80" s="3" t="s">
        <v>1603</v>
      </c>
      <c r="E80" s="11" t="str">
        <f>AP!B10</f>
        <v>2018-19</v>
      </c>
      <c r="F80" s="143">
        <f>SUMIFS(Capacity!$C$3:$C$263,Capacity!$A$3:$A$263,$C80,Capacity!$B$3:$B$263,$D80)</f>
        <v>162.11000000000001</v>
      </c>
      <c r="G80" s="143">
        <f>AP!G10</f>
        <v>140.92140921409214</v>
      </c>
      <c r="H80" s="11">
        <f>AP!H10</f>
        <v>2.5507603781339911</v>
      </c>
      <c r="I80" s="3"/>
      <c r="J80" s="143">
        <f>IF($E80="2018-19",G80,G80*(1+Assumptions_EG!$C$6)*(1+INDEX($H$47:$H$55,MATCH($D80,$G$47:$G$55,0))))</f>
        <v>140.92140921409214</v>
      </c>
      <c r="K80" s="11">
        <f>IF($E80="2018-19",H80,H80*(1+Assumptions_EG!$C$6)*(1+INDEX(Legacy_FC_VC!$I$47:$I$55,MATCH($D80,Assumptions_EG!$B$14:$B$22,0))))</f>
        <v>2.5507603781339911</v>
      </c>
      <c r="L80" s="11">
        <f>SUMIF(Legacy_FC_VC!$J$35:$J$43,D80,Legacy_FC_VC!$K$35:$K$43)</f>
        <v>0.20627943231757243</v>
      </c>
      <c r="M80" s="143">
        <f>IF(SUMPRODUCT(--(D80={"EG_COAL","EG_CCGT","EG_OCGT"}))&gt;0,J80,J80+K80*8760*L80)</f>
        <v>4750.1653775637033</v>
      </c>
      <c r="N80" s="11">
        <f>IF(SUMPRODUCT(--(D80={"EG_COAL","EG_CCGT","EG_OCGT"}))&gt;0,K80,0)</f>
        <v>0</v>
      </c>
      <c r="O80" s="513" t="str">
        <f t="shared" si="7"/>
        <v>SREG_SH</v>
      </c>
      <c r="P80" s="3"/>
      <c r="V80" s="209">
        <f>AP!C10</f>
        <v>55.35</v>
      </c>
      <c r="W80" s="209">
        <f t="shared" si="8"/>
        <v>106.76000000000002</v>
      </c>
      <c r="X80" s="303">
        <f t="shared" si="9"/>
        <v>1.9288166214995486</v>
      </c>
      <c r="Z80" s="150"/>
      <c r="AA80" s="150"/>
    </row>
    <row r="81" spans="2:27" x14ac:dyDescent="0.35">
      <c r="B81" s="512" t="s">
        <v>1051</v>
      </c>
      <c r="C81" s="3" t="s">
        <v>259</v>
      </c>
      <c r="D81" s="3" t="s">
        <v>1605</v>
      </c>
      <c r="E81" s="11" t="str">
        <f>AP!B11</f>
        <v>2018-19</v>
      </c>
      <c r="F81" s="143">
        <f>SUMIFS(Capacity!$C$3:$C$263,Capacity!$A$3:$A$263,$C81,Capacity!$B$3:$B$263,$D81)</f>
        <v>500.34000000000003</v>
      </c>
      <c r="G81" s="143">
        <f>AP!G11</f>
        <v>0</v>
      </c>
      <c r="H81" s="11">
        <f>AP!H11</f>
        <v>6.6293466807165444</v>
      </c>
      <c r="I81" s="3"/>
      <c r="J81" s="143">
        <f>IF($E81="2018-19",G81,G81*(1+Assumptions_EG!$C$6)*(1+INDEX($H$47:$H$55,MATCH($D81,$G$47:$G$55,0))))</f>
        <v>0</v>
      </c>
      <c r="K81" s="11">
        <f>IF($E81="2018-19",H81,H81*(1+Assumptions_EG!$C$6)*(1+INDEX(Legacy_FC_VC!$I$47:$I$55,MATCH($D81,Assumptions_EG!$B$14:$B$22,0))))</f>
        <v>6.6293466807165444</v>
      </c>
      <c r="L81" s="11">
        <f>SUMIF(Legacy_FC_VC!$J$35:$J$43,D81,Legacy_FC_VC!$K$35:$K$43)</f>
        <v>0.2313655363440307</v>
      </c>
      <c r="M81" s="143">
        <f>IF(SUMPRODUCT(--(D81={"EG_COAL","EG_CCGT","EG_OCGT"}))&gt;0,J81,J81+K81*8760*L81)</f>
        <v>13436.108589455846</v>
      </c>
      <c r="N81" s="11">
        <f>IF(SUMPRODUCT(--(D81={"EG_COAL","EG_CCGT","EG_OCGT"}))&gt;0,K81,0)</f>
        <v>0</v>
      </c>
      <c r="O81" s="513" t="str">
        <f t="shared" si="7"/>
        <v>SREG_BIOMASS</v>
      </c>
      <c r="P81" s="3"/>
      <c r="V81" s="209">
        <f>AP!C11</f>
        <v>271.36</v>
      </c>
      <c r="W81" s="209">
        <f t="shared" si="8"/>
        <v>228.98000000000002</v>
      </c>
      <c r="X81" s="303">
        <f t="shared" si="9"/>
        <v>0.8438237028301887</v>
      </c>
      <c r="Z81" s="150"/>
      <c r="AA81" s="150"/>
    </row>
    <row r="82" spans="2:27" x14ac:dyDescent="0.35">
      <c r="B82" s="512" t="s">
        <v>1051</v>
      </c>
      <c r="C82" s="3" t="s">
        <v>259</v>
      </c>
      <c r="D82" s="3" t="s">
        <v>1636</v>
      </c>
      <c r="E82" s="11" t="str">
        <f>AP!B12</f>
        <v>2018-19</v>
      </c>
      <c r="F82" s="143">
        <f>SUMIFS(Capacity!$C$3:$C$263,Capacity!$A$3:$A$263,$C82,Capacity!$B$3:$B$263,$D82)</f>
        <v>3085.6800000000003</v>
      </c>
      <c r="G82" s="143">
        <f>AP!G12</f>
        <v>1500.1280789089528</v>
      </c>
      <c r="H82" s="11">
        <f>AP!H12</f>
        <v>3.7068788546845295</v>
      </c>
      <c r="I82" s="3"/>
      <c r="J82" s="143">
        <f>IF($E82="2018-19",G82,G82*(1+Assumptions_EG!$C$6)*(1+INDEX($H$47:$H$55,MATCH($D82,$G$47:$G$55,0))))</f>
        <v>1500.1280789089528</v>
      </c>
      <c r="K82" s="11">
        <f>IF($E82="2018-19",H82,H82*(1+Assumptions_EG!$C$6)*(1+INDEX(Legacy_FC_VC!$I$47:$I$55,MATCH($D82,Assumptions_EG!$B$14:$B$22,0))))</f>
        <v>3.7068788546845295</v>
      </c>
      <c r="L82" s="11">
        <f>SUMIF(Legacy_FC_VC!$J$35:$J$43,D82,Legacy_FC_VC!$K$35:$K$43)</f>
        <v>0.1890889600524939</v>
      </c>
      <c r="M82" s="143">
        <f>IF(SUMPRODUCT(--(D82={"EG_COAL","EG_CCGT","EG_OCGT"}))&gt;0,J82,J82+K82*8760*L82)</f>
        <v>7640.2737197233582</v>
      </c>
      <c r="N82" s="11">
        <f>IF(SUMPRODUCT(--(D82={"EG_COAL","EG_CCGT","EG_OCGT"}))&gt;0,K82,0)</f>
        <v>0</v>
      </c>
      <c r="O82" s="513" t="str">
        <f t="shared" si="7"/>
        <v>SREG_SOLARPV</v>
      </c>
      <c r="P82" s="3"/>
      <c r="V82" s="209">
        <f>AP!C12</f>
        <v>3240.19</v>
      </c>
      <c r="W82" s="209">
        <f t="shared" si="8"/>
        <v>-154.50999999999976</v>
      </c>
      <c r="X82" s="303">
        <f t="shared" si="9"/>
        <v>-4.7685475234476915E-2</v>
      </c>
      <c r="Z82" s="150"/>
      <c r="AA82" s="150"/>
    </row>
    <row r="83" spans="2:27" x14ac:dyDescent="0.35">
      <c r="B83" s="512" t="s">
        <v>1051</v>
      </c>
      <c r="C83" s="3" t="s">
        <v>259</v>
      </c>
      <c r="D83" s="3" t="s">
        <v>1606</v>
      </c>
      <c r="E83" s="11" t="str">
        <f>AP!B14</f>
        <v>2018-19</v>
      </c>
      <c r="F83" s="143">
        <f>SUMIFS(Capacity!$C$3:$C$263,Capacity!$A$3:$A$263,$C83,Capacity!$B$3:$B$263,$D83)</f>
        <v>4090.45</v>
      </c>
      <c r="G83" s="143">
        <f>AP!G14</f>
        <v>0</v>
      </c>
      <c r="H83" s="11">
        <f>AP!H14</f>
        <v>4.6399985656803153</v>
      </c>
      <c r="I83" s="3"/>
      <c r="J83" s="143">
        <f>IF($E83="2018-19",G83,G83*(1+Assumptions_EG!$C$6)*(1+INDEX($H$47:$H$55,MATCH($D83,$G$47:$G$55,0))))</f>
        <v>0</v>
      </c>
      <c r="K83" s="11">
        <f>IF($E83="2018-19",H83,H83*(1+Assumptions_EG!$C$6)*(1+INDEX(Legacy_FC_VC!$I$47:$I$55,MATCH($D83,Assumptions_EG!$B$14:$B$22,0))))</f>
        <v>4.6399985656803153</v>
      </c>
      <c r="L83" s="11">
        <f>SUMIF(Legacy_FC_VC!$J$35:$J$43,D83,Legacy_FC_VC!$K$35:$K$43)</f>
        <v>0.19182955699540097</v>
      </c>
      <c r="M83" s="143">
        <f>IF(SUMPRODUCT(--(D83={"EG_COAL","EG_CCGT","EG_OCGT"}))&gt;0,J83,J83+K83*8760*L83)</f>
        <v>7797.1784951884565</v>
      </c>
      <c r="N83" s="11">
        <f>IF(SUMPRODUCT(--(D83={"EG_COAL","EG_CCGT","EG_OCGT"}))&gt;0,K83,0)</f>
        <v>0</v>
      </c>
      <c r="O83" s="513" t="str">
        <f t="shared" si="7"/>
        <v>SREG_WIND</v>
      </c>
      <c r="P83" s="3"/>
      <c r="V83" s="209">
        <f>AP!C14</f>
        <v>4810.55</v>
      </c>
      <c r="W83" s="209">
        <f t="shared" si="8"/>
        <v>-720.10000000000036</v>
      </c>
      <c r="X83" s="303">
        <f t="shared" si="9"/>
        <v>-0.14969182318030169</v>
      </c>
      <c r="Z83" s="150"/>
      <c r="AA83" s="150"/>
    </row>
    <row r="84" spans="2:27" x14ac:dyDescent="0.35">
      <c r="B84" s="512" t="s">
        <v>628</v>
      </c>
      <c r="C84" s="3" t="s">
        <v>749</v>
      </c>
      <c r="D84" s="3" t="s">
        <v>1612</v>
      </c>
      <c r="E84" s="11" t="str">
        <f>MH!B2</f>
        <v>2018-19</v>
      </c>
      <c r="F84" s="143">
        <f>SUMIFS(Capacity!$C$3:$C$263,Capacity!$A$3:$A$263,$C84,Capacity!$B$3:$B$263,$D84)</f>
        <v>28197.320301443204</v>
      </c>
      <c r="G84" s="143">
        <f>MH!G4</f>
        <v>8540.3078639695304</v>
      </c>
      <c r="H84" s="11">
        <f>MH!H4</f>
        <v>2.1836520025927513</v>
      </c>
      <c r="I84" s="3"/>
      <c r="J84" s="143">
        <f>IF($E84="2018-19",G84,G84*(1+Assumptions_EG!$C$6)*(1+INDEX($H$47:$H$55,MATCH($D84,$G$47:$G$55,0))))</f>
        <v>8540.3078639695304</v>
      </c>
      <c r="K84" s="11">
        <f>IF($E84="2018-19",H84,H84*(1+Assumptions_EG!$C$6)*(1+INDEX(Legacy_FC_VC!$I$47:$I$55,MATCH($D84,Assumptions_EG!$B$14:$B$22,0))))</f>
        <v>2.1836520025927513</v>
      </c>
      <c r="L84" s="11">
        <f>SUMIF(Legacy_FC_VC!$J$35:$J$43,D84,Legacy_FC_VC!$K$35:$K$43)</f>
        <v>0.85</v>
      </c>
      <c r="M84" s="143">
        <f>IF(SUMPRODUCT(--(D84={"EG_COAL","EG_CCGT","EG_OCGT"}))&gt;0,J84,J84+K84*8760*L84)</f>
        <v>8540.3078639695304</v>
      </c>
      <c r="N84" s="11">
        <f>IF(SUMPRODUCT(--(D84={"EG_COAL","EG_CCGT","EG_OCGT"}))&gt;0,K84,0)</f>
        <v>2.1836520025927513</v>
      </c>
      <c r="O84" s="513" t="str">
        <f t="shared" si="7"/>
        <v>WREG_COAL</v>
      </c>
      <c r="P84" s="3"/>
      <c r="V84" s="209">
        <f>MH!C4</f>
        <v>22311.378659999998</v>
      </c>
      <c r="W84" s="209">
        <f t="shared" si="8"/>
        <v>5885.9416414432053</v>
      </c>
      <c r="X84" s="303">
        <f t="shared" si="9"/>
        <v>0.26380896183683905</v>
      </c>
      <c r="Z84" s="150"/>
      <c r="AA84" s="150"/>
    </row>
    <row r="85" spans="2:27" x14ac:dyDescent="0.35">
      <c r="B85" s="512" t="s">
        <v>628</v>
      </c>
      <c r="C85" s="3" t="s">
        <v>749</v>
      </c>
      <c r="D85" s="3" t="s">
        <v>1613</v>
      </c>
      <c r="E85" s="11" t="str">
        <f>MH!B3</f>
        <v>2018-19</v>
      </c>
      <c r="F85" s="143">
        <f>SUMIFS(Capacity!$C$3:$C$263,Capacity!$A$3:$A$263,$C85,Capacity!$B$3:$B$263,$D85)</f>
        <v>3512.73</v>
      </c>
      <c r="G85" s="143">
        <f>MH!G5</f>
        <v>4400.3074363604892</v>
      </c>
      <c r="H85" s="11">
        <f>MH!H5</f>
        <v>2.0994609969974816</v>
      </c>
      <c r="I85" s="3"/>
      <c r="J85" s="143">
        <f>IF($E85="2018-19",G85,G85*(1+Assumptions_EG!$C$6)*(1+INDEX($H$47:$H$55,MATCH($D85,$G$47:$G$55,0))))</f>
        <v>4400.3074363604892</v>
      </c>
      <c r="K85" s="11">
        <f>IF($E85="2018-19",H85,H85*(1+Assumptions_EG!$C$6)*(1+INDEX(Legacy_FC_VC!$I$47:$I$55,MATCH($D85,Assumptions_EG!$B$14:$B$22,0))))</f>
        <v>2.0994609969974816</v>
      </c>
      <c r="L85" s="11">
        <f>SUMIF(Legacy_FC_VC!$J$35:$J$43,D85,Legacy_FC_VC!$K$35:$K$43)</f>
        <v>0.85</v>
      </c>
      <c r="M85" s="143">
        <f>IF(SUMPRODUCT(--(D85={"EG_COAL","EG_CCGT","EG_OCGT"}))&gt;0,J85,J85+K85*8760*L85)</f>
        <v>4400.3074363604892</v>
      </c>
      <c r="N85" s="11">
        <f>IF(SUMPRODUCT(--(D85={"EG_COAL","EG_CCGT","EG_OCGT"}))&gt;0,K85,0)</f>
        <v>2.0994609969974816</v>
      </c>
      <c r="O85" s="513" t="str">
        <f t="shared" si="7"/>
        <v>WREG_CCGT</v>
      </c>
      <c r="P85" s="3"/>
      <c r="V85" s="209">
        <f>MH!C5</f>
        <v>1756.69543817</v>
      </c>
      <c r="W85" s="209">
        <f t="shared" si="8"/>
        <v>1756.03456183</v>
      </c>
      <c r="X85" s="303">
        <f t="shared" si="9"/>
        <v>0.9996237957214209</v>
      </c>
      <c r="Z85" s="150"/>
      <c r="AA85" s="150"/>
    </row>
    <row r="86" spans="2:27" x14ac:dyDescent="0.35">
      <c r="B86" s="512" t="s">
        <v>628</v>
      </c>
      <c r="C86" s="3" t="s">
        <v>749</v>
      </c>
      <c r="D86" s="3" t="s">
        <v>1614</v>
      </c>
      <c r="E86" s="11" t="str">
        <f>MH!B4</f>
        <v>2018-19</v>
      </c>
      <c r="F86" s="143">
        <f>SUMIFS(Capacity!$C$3:$C$263,Capacity!$A$3:$A$263,$C86,Capacity!$B$3:$B$263,$D86)</f>
        <v>0</v>
      </c>
      <c r="G86" s="143">
        <f>MH!G6</f>
        <v>0</v>
      </c>
      <c r="H86" s="11">
        <f>MH!H6</f>
        <v>0</v>
      </c>
      <c r="I86" s="3"/>
      <c r="J86" s="143">
        <f>IF($E86="2018-19",G86,G86*(1+Assumptions_EG!$C$6)*(1+INDEX($H$47:$H$55,MATCH($D86,$G$47:$G$55,0))))</f>
        <v>0</v>
      </c>
      <c r="K86" s="11">
        <f>IF($E86="2018-19",H86,H86*(1+Assumptions_EG!$C$6)*(1+INDEX(Legacy_FC_VC!$I$47:$I$55,MATCH($D86,Assumptions_EG!$B$14:$B$22,0))))</f>
        <v>0</v>
      </c>
      <c r="L86" s="11">
        <f>SUMIF(Legacy_FC_VC!$J$35:$J$43,D86,Legacy_FC_VC!$K$35:$K$43)</f>
        <v>0.85</v>
      </c>
      <c r="M86" s="143">
        <f>IF(SUMPRODUCT(--(D86={"EG_COAL","EG_CCGT","EG_OCGT"}))&gt;0,J86,J86+K86*8760*L86)</f>
        <v>0</v>
      </c>
      <c r="N86" s="11">
        <f>IF(SUMPRODUCT(--(D86={"EG_COAL","EG_CCGT","EG_OCGT"}))&gt;0,K86,0)</f>
        <v>0</v>
      </c>
      <c r="O86" s="513" t="str">
        <f t="shared" si="7"/>
        <v>WREG_OCGT</v>
      </c>
      <c r="P86" s="3"/>
      <c r="V86" s="209">
        <f>MH!C6</f>
        <v>0</v>
      </c>
      <c r="W86" s="209">
        <f t="shared" si="8"/>
        <v>0</v>
      </c>
      <c r="X86" s="303">
        <f t="shared" si="9"/>
        <v>0</v>
      </c>
      <c r="Z86" s="150"/>
      <c r="AA86" s="150"/>
    </row>
    <row r="87" spans="2:27" x14ac:dyDescent="0.35">
      <c r="B87" s="512" t="s">
        <v>628</v>
      </c>
      <c r="C87" s="3" t="s">
        <v>749</v>
      </c>
      <c r="D87" s="3" t="s">
        <v>1615</v>
      </c>
      <c r="E87" s="11" t="str">
        <f>MH!B5</f>
        <v>2018-19</v>
      </c>
      <c r="F87" s="143">
        <f>SUMIFS(Capacity!$C$3:$C$263,Capacity!$A$3:$A$263,$C87,Capacity!$B$3:$B$263,$D87)</f>
        <v>787.59305210918114</v>
      </c>
      <c r="G87" s="143">
        <f>MH!G7</f>
        <v>0</v>
      </c>
      <c r="H87" s="11">
        <f>MH!H7</f>
        <v>2.5611623113100954</v>
      </c>
      <c r="I87" s="3"/>
      <c r="J87" s="143">
        <f>IF($E87="2018-19",G87,G87*(1+Assumptions_EG!$C$6)*(1+INDEX($H$47:$H$55,MATCH($D87,$G$47:$G$55,0))))</f>
        <v>0</v>
      </c>
      <c r="K87" s="11">
        <f>IF($E87="2018-19",H87,H87*(1+Assumptions_EG!$C$6)*(1+INDEX(Legacy_FC_VC!$I$47:$I$55,MATCH($D87,Assumptions_EG!$B$14:$B$22,0))))</f>
        <v>2.5611623113100954</v>
      </c>
      <c r="L87" s="11">
        <f>SUMIF(Legacy_FC_VC!$J$35:$J$43,D87,Legacy_FC_VC!$K$35:$K$43)</f>
        <v>0.65716939790195539</v>
      </c>
      <c r="M87" s="143">
        <f>IF(SUMPRODUCT(--(D87={"EG_COAL","EG_CCGT","EG_OCGT"}))&gt;0,J87,J87+K87*8760*L87)</f>
        <v>14744.109247902841</v>
      </c>
      <c r="N87" s="11">
        <f>IF(SUMPRODUCT(--(D87={"EG_COAL","EG_CCGT","EG_OCGT"}))&gt;0,K87,0)</f>
        <v>0</v>
      </c>
      <c r="O87" s="513" t="str">
        <f t="shared" si="7"/>
        <v>WREG_PHWR</v>
      </c>
      <c r="P87" s="3"/>
      <c r="V87" s="209">
        <f>MH!C7</f>
        <v>765.26520000000005</v>
      </c>
      <c r="W87" s="209">
        <f t="shared" si="8"/>
        <v>22.327852109181094</v>
      </c>
      <c r="X87" s="303">
        <f t="shared" si="9"/>
        <v>2.917662022156645E-2</v>
      </c>
      <c r="Z87" s="150"/>
      <c r="AA87" s="150"/>
    </row>
    <row r="88" spans="2:27" x14ac:dyDescent="0.35">
      <c r="B88" s="512" t="s">
        <v>628</v>
      </c>
      <c r="C88" s="3" t="s">
        <v>749</v>
      </c>
      <c r="D88" s="3" t="s">
        <v>1604</v>
      </c>
      <c r="E88" s="11" t="str">
        <f>MH!B6</f>
        <v>2018-19</v>
      </c>
      <c r="F88" s="143">
        <f>SUMIFS(Capacity!$C$3:$C$263,Capacity!$A$3:$A$263,$C88,Capacity!$B$3:$B$263,$D88)</f>
        <v>3331.84</v>
      </c>
      <c r="G88" s="143">
        <f>MH!G8</f>
        <v>980.07097232079491</v>
      </c>
      <c r="H88" s="11">
        <f>MH!H8</f>
        <v>0.8552393197092778</v>
      </c>
      <c r="I88" s="3"/>
      <c r="J88" s="143">
        <f>IF($E88="2018-19",G88,G88*(1+Assumptions_EG!$C$6)*(1+INDEX($H$47:$H$55,MATCH($D88,$G$47:$G$55,0))))</f>
        <v>980.07097232079491</v>
      </c>
      <c r="K88" s="11">
        <f>IF($E88="2018-19",H88,H88*(1+Assumptions_EG!$C$6)*(1+INDEX(Legacy_FC_VC!$I$47:$I$55,MATCH($D88,Assumptions_EG!$B$14:$B$22,0))))</f>
        <v>0.8552393197092778</v>
      </c>
      <c r="L88" s="11">
        <f>SUMIF(Legacy_FC_VC!$J$35:$J$43,D88,Legacy_FC_VC!$K$35:$K$43)</f>
        <v>0.32761940072174078</v>
      </c>
      <c r="M88" s="143">
        <f>IF(SUMPRODUCT(--(D88={"EG_COAL","EG_CCGT","EG_OCGT"}))&gt;0,J88,J88+K88*8760*L88)</f>
        <v>3434.5615944769634</v>
      </c>
      <c r="N88" s="11">
        <f>IF(SUMPRODUCT(--(D88={"EG_COAL","EG_CCGT","EG_OCGT"}))&gt;0,K88,0)</f>
        <v>0</v>
      </c>
      <c r="O88" s="513" t="str">
        <f t="shared" si="7"/>
        <v>WREG_LH</v>
      </c>
      <c r="P88" s="3"/>
      <c r="V88" s="209">
        <f>MH!C8</f>
        <v>3522.5</v>
      </c>
      <c r="W88" s="209">
        <f t="shared" si="8"/>
        <v>-190.65999999999985</v>
      </c>
      <c r="X88" s="303">
        <f t="shared" si="9"/>
        <v>-5.412633073101486E-2</v>
      </c>
      <c r="Z88" s="150"/>
      <c r="AA88" s="150"/>
    </row>
    <row r="89" spans="2:27" x14ac:dyDescent="0.35">
      <c r="B89" s="512" t="s">
        <v>628</v>
      </c>
      <c r="C89" s="3" t="s">
        <v>749</v>
      </c>
      <c r="D89" s="3" t="s">
        <v>1603</v>
      </c>
      <c r="E89" s="11" t="str">
        <f>MH!B7</f>
        <v>2018-19</v>
      </c>
      <c r="F89" s="143">
        <f>SUMIFS(Capacity!$C$3:$C$263,Capacity!$A$3:$A$263,$C89,Capacity!$B$3:$B$263,$D89)</f>
        <v>375.57</v>
      </c>
      <c r="G89" s="143">
        <f>MH!G9</f>
        <v>843</v>
      </c>
      <c r="H89" s="11">
        <f>MH!H9</f>
        <v>0</v>
      </c>
      <c r="I89" s="3"/>
      <c r="J89" s="143">
        <f>IF($E89="2018-19",G89,G89*(1+Assumptions_EG!$C$6)*(1+INDEX($H$47:$H$55,MATCH($D89,$G$47:$G$55,0))))</f>
        <v>843</v>
      </c>
      <c r="K89" s="11">
        <f>IF($E89="2018-19",H89,H89*(1+Assumptions_EG!$C$6)*(1+INDEX(Legacy_FC_VC!$I$47:$I$55,MATCH($D89,Assumptions_EG!$B$14:$B$22,0))))</f>
        <v>0</v>
      </c>
      <c r="L89" s="11">
        <f>SUMIF(Legacy_FC_VC!$J$35:$J$43,D89,Legacy_FC_VC!$K$35:$K$43)</f>
        <v>0.20627943231757243</v>
      </c>
      <c r="M89" s="143">
        <f>IF(SUMPRODUCT(--(D89={"EG_COAL","EG_CCGT","EG_OCGT"}))&gt;0,J89,J89+K89*8760*L89)</f>
        <v>843</v>
      </c>
      <c r="N89" s="11">
        <f>IF(SUMPRODUCT(--(D89={"EG_COAL","EG_CCGT","EG_OCGT"}))&gt;0,K89,0)</f>
        <v>0</v>
      </c>
      <c r="O89" s="513" t="str">
        <f t="shared" si="7"/>
        <v>WREG_SH</v>
      </c>
      <c r="P89" s="3"/>
      <c r="V89" s="209">
        <f>MH!C9</f>
        <v>141.80000000000001</v>
      </c>
      <c r="W89" s="209">
        <f t="shared" si="8"/>
        <v>233.76999999999998</v>
      </c>
      <c r="X89" s="303">
        <f t="shared" si="9"/>
        <v>1.6485895627644567</v>
      </c>
      <c r="Z89" s="150"/>
      <c r="AA89" s="150"/>
    </row>
    <row r="90" spans="2:27" x14ac:dyDescent="0.35">
      <c r="B90" s="512" t="s">
        <v>628</v>
      </c>
      <c r="C90" s="3" t="s">
        <v>749</v>
      </c>
      <c r="D90" s="3" t="s">
        <v>1605</v>
      </c>
      <c r="E90" s="11" t="str">
        <f>MH!B8</f>
        <v>2018-19</v>
      </c>
      <c r="F90" s="143">
        <f>SUMIFS(Capacity!$C$3:$C$263,Capacity!$A$3:$A$263,$C90,Capacity!$B$3:$B$263,$D90)</f>
        <v>2528.69</v>
      </c>
      <c r="G90" s="143">
        <f>MH!G10</f>
        <v>0</v>
      </c>
      <c r="H90" s="11">
        <f>MH!H10</f>
        <v>5.76</v>
      </c>
      <c r="I90" s="3"/>
      <c r="J90" s="143">
        <f>IF($E90="2018-19",G90,G90*(1+Assumptions_EG!$C$6)*(1+INDEX($H$47:$H$55,MATCH($D90,$G$47:$G$55,0))))</f>
        <v>0</v>
      </c>
      <c r="K90" s="11">
        <f>IF($E90="2018-19",H90,H90*(1+Assumptions_EG!$C$6)*(1+INDEX(Legacy_FC_VC!$I$47:$I$55,MATCH($D90,Assumptions_EG!$B$14:$B$22,0))))</f>
        <v>5.76</v>
      </c>
      <c r="L90" s="11">
        <f>SUMIF(Legacy_FC_VC!$J$35:$J$43,D90,Legacy_FC_VC!$K$35:$K$43)</f>
        <v>0.2313655363440307</v>
      </c>
      <c r="M90" s="143">
        <f>IF(SUMPRODUCT(--(D90={"EG_COAL","EG_CCGT","EG_OCGT"}))&gt;0,J90,J90+K90*8760*L90)</f>
        <v>11674.149686632563</v>
      </c>
      <c r="N90" s="11">
        <f>IF(SUMPRODUCT(--(D90={"EG_COAL","EG_CCGT","EG_OCGT"}))&gt;0,K90,0)</f>
        <v>0</v>
      </c>
      <c r="O90" s="513" t="str">
        <f t="shared" si="7"/>
        <v>WREG_BIOMASS</v>
      </c>
      <c r="P90" s="3"/>
      <c r="V90" s="209">
        <f>MH!C10</f>
        <v>2300</v>
      </c>
      <c r="W90" s="209">
        <f t="shared" si="8"/>
        <v>228.69000000000005</v>
      </c>
      <c r="X90" s="303">
        <f t="shared" si="9"/>
        <v>9.9430434782608726E-2</v>
      </c>
      <c r="Z90" s="150"/>
      <c r="AA90" s="150"/>
    </row>
    <row r="91" spans="2:27" x14ac:dyDescent="0.35">
      <c r="B91" s="512" t="s">
        <v>628</v>
      </c>
      <c r="C91" s="3" t="s">
        <v>749</v>
      </c>
      <c r="D91" s="3" t="s">
        <v>1636</v>
      </c>
      <c r="E91" s="11" t="str">
        <f>MH!B9</f>
        <v>2018-19</v>
      </c>
      <c r="F91" s="143">
        <f>SUMIFS(Capacity!$C$3:$C$263,Capacity!$A$3:$A$263,$C91,Capacity!$B$3:$B$263,$D91)</f>
        <v>1633.54</v>
      </c>
      <c r="G91" s="143">
        <f>MH!G11</f>
        <v>0</v>
      </c>
      <c r="H91" s="11">
        <f>MH!H11</f>
        <v>4.37</v>
      </c>
      <c r="I91" s="3"/>
      <c r="J91" s="143">
        <f>IF($E91="2018-19",G91,G91*(1+Assumptions_EG!$C$6)*(1+INDEX($H$47:$H$55,MATCH($D91,$G$47:$G$55,0))))</f>
        <v>0</v>
      </c>
      <c r="K91" s="11">
        <f>IF($E91="2018-19",H91,H91*(1+Assumptions_EG!$C$6)*(1+INDEX(Legacy_FC_VC!$I$47:$I$55,MATCH($D91,Assumptions_EG!$B$14:$B$22,0))))</f>
        <v>4.37</v>
      </c>
      <c r="L91" s="11">
        <f>SUMIF(Legacy_FC_VC!$J$35:$J$43,D91,Legacy_FC_VC!$K$35:$K$43)</f>
        <v>0.1890889600524939</v>
      </c>
      <c r="M91" s="143">
        <f>IF(SUMPRODUCT(--(D91={"EG_COAL","EG_CCGT","EG_OCGT"}))&gt;0,J91,J91+K91*8760*L91)</f>
        <v>7238.5522975615304</v>
      </c>
      <c r="N91" s="11">
        <f>IF(SUMPRODUCT(--(D91={"EG_COAL","EG_CCGT","EG_OCGT"}))&gt;0,K91,0)</f>
        <v>0</v>
      </c>
      <c r="O91" s="513" t="str">
        <f t="shared" si="7"/>
        <v>WREG_SOLARPV</v>
      </c>
      <c r="P91" s="3"/>
      <c r="V91" s="209">
        <f>MH!C11</f>
        <v>2395</v>
      </c>
      <c r="W91" s="209">
        <f t="shared" si="8"/>
        <v>-761.46</v>
      </c>
      <c r="X91" s="303">
        <f t="shared" si="9"/>
        <v>-0.31793736951983298</v>
      </c>
      <c r="Z91" s="150"/>
      <c r="AA91" s="150"/>
    </row>
    <row r="92" spans="2:27" x14ac:dyDescent="0.35">
      <c r="B92" s="512" t="s">
        <v>628</v>
      </c>
      <c r="C92" s="3" t="s">
        <v>749</v>
      </c>
      <c r="D92" s="3" t="s">
        <v>1606</v>
      </c>
      <c r="E92" s="11" t="str">
        <f>MH!B11</f>
        <v>2018-19</v>
      </c>
      <c r="F92" s="143">
        <f>SUMIFS(Capacity!$C$3:$C$263,Capacity!$A$3:$A$263,$C92,Capacity!$B$3:$B$263,$D92)</f>
        <v>4794.13</v>
      </c>
      <c r="G92" s="143">
        <f>MH!G13</f>
        <v>0</v>
      </c>
      <c r="H92" s="11">
        <f>MH!H13</f>
        <v>5.1039077378676208</v>
      </c>
      <c r="I92" s="3"/>
      <c r="J92" s="143">
        <f>IF($E92="2018-19",G92,G92*(1+Assumptions_EG!$C$6)*(1+INDEX($H$47:$H$55,MATCH($D92,$G$47:$G$55,0))))</f>
        <v>0</v>
      </c>
      <c r="K92" s="11">
        <f>IF($E92="2018-19",H92,H92*(1+Assumptions_EG!$C$6)*(1+INDEX(Legacy_FC_VC!$I$47:$I$55,MATCH($D92,Assumptions_EG!$B$14:$B$22,0))))</f>
        <v>5.1039077378676208</v>
      </c>
      <c r="L92" s="11">
        <f>SUMIF(Legacy_FC_VC!$J$35:$J$43,D92,Legacy_FC_VC!$K$35:$K$43)</f>
        <v>0.19182955699540097</v>
      </c>
      <c r="M92" s="143">
        <f>IF(SUMPRODUCT(--(D92={"EG_COAL","EG_CCGT","EG_OCGT"}))&gt;0,J92,J92+K92*8760*L92)</f>
        <v>8576.7439562327727</v>
      </c>
      <c r="N92" s="11">
        <f>IF(SUMPRODUCT(--(D92={"EG_COAL","EG_CCGT","EG_OCGT"}))&gt;0,K92,0)</f>
        <v>0</v>
      </c>
      <c r="O92" s="513" t="str">
        <f t="shared" si="7"/>
        <v>WREG_WIND</v>
      </c>
      <c r="P92" s="3"/>
      <c r="V92" s="209">
        <f>MH!C13</f>
        <v>3835</v>
      </c>
      <c r="W92" s="209">
        <f t="shared" si="8"/>
        <v>959.13000000000011</v>
      </c>
      <c r="X92" s="303">
        <f t="shared" si="9"/>
        <v>0.25009908735332465</v>
      </c>
      <c r="Z92" s="150"/>
      <c r="AA92" s="150"/>
    </row>
    <row r="93" spans="2:27" x14ac:dyDescent="0.35">
      <c r="B93" s="512" t="s">
        <v>644</v>
      </c>
      <c r="C93" s="3" t="s">
        <v>260</v>
      </c>
      <c r="D93" s="3" t="s">
        <v>1612</v>
      </c>
      <c r="E93" s="3" t="str">
        <f>BR!B5</f>
        <v>2017-18</v>
      </c>
      <c r="F93" s="143">
        <f>SUMIFS(Capacity!$C$3:$C$263,Capacity!$A$3:$A$263,$C93,Capacity!$B$3:$B$263,$D93)</f>
        <v>4307.047672106075</v>
      </c>
      <c r="G93" s="143">
        <f>BR!G5</f>
        <v>9098.5503977141507</v>
      </c>
      <c r="H93" s="11">
        <f>BR!H5</f>
        <v>2.1809249723986195</v>
      </c>
      <c r="I93" s="3"/>
      <c r="J93" s="143">
        <f>IF($E93="2018-19",G93,G93*(1+Assumptions_EG!$C$6)*(1+INDEX($H$47:$H$55,MATCH($D93,$G$47:$G$55,0))))</f>
        <v>9460.5342135233877</v>
      </c>
      <c r="K93" s="11">
        <f>IF($E93="2018-19",H93,H93*(1+Assumptions_EG!$C$7)*(1+INDEX(Legacy_FC_VC!$I$47:$I$55,MATCH($D93,Assumptions_EG!$B$14:$B$22,0))))</f>
        <v>2.4108314314952306</v>
      </c>
      <c r="L93" s="11">
        <f>SUMIF(Legacy_FC_VC!$J$35:$J$43,D93,Legacy_FC_VC!$K$35:$K$43)</f>
        <v>0.85</v>
      </c>
      <c r="M93" s="143">
        <f>IF(SUMPRODUCT(--(D93={"EG_COAL","EG_CCGT","EG_OCGT"}))&gt;0,J93,J93+K93*8760*L93)</f>
        <v>9460.5342135233877</v>
      </c>
      <c r="N93" s="11">
        <f>IF(SUMPRODUCT(--(D93={"EG_COAL","EG_CCGT","EG_OCGT"}))&gt;0,K93,0)</f>
        <v>2.4108314314952306</v>
      </c>
      <c r="O93" s="513" t="str">
        <f t="shared" si="7"/>
        <v>EREG_COAL</v>
      </c>
      <c r="P93" s="3"/>
      <c r="V93" s="209">
        <f>BR!C5</f>
        <v>1861.89</v>
      </c>
      <c r="W93" s="209">
        <f t="shared" si="8"/>
        <v>2445.1576721060746</v>
      </c>
      <c r="X93" s="303">
        <f t="shared" si="9"/>
        <v>1.313266450813998</v>
      </c>
      <c r="Z93" s="150"/>
      <c r="AA93" s="150"/>
    </row>
    <row r="94" spans="2:27" x14ac:dyDescent="0.35">
      <c r="B94" s="512" t="s">
        <v>644</v>
      </c>
      <c r="C94" s="3" t="s">
        <v>260</v>
      </c>
      <c r="D94" s="3" t="s">
        <v>1613</v>
      </c>
      <c r="E94" s="3" t="str">
        <f>BR!B6</f>
        <v>2017-18</v>
      </c>
      <c r="F94" s="143">
        <f>SUMIFS(Capacity!$C$3:$C$263,Capacity!$A$3:$A$263,$C94,Capacity!$B$3:$B$263,$D94)</f>
        <v>0</v>
      </c>
      <c r="G94" s="143">
        <f>BR!G6</f>
        <v>2373.8226149627189</v>
      </c>
      <c r="H94" s="11">
        <f>BR!H6</f>
        <v>3.1806741615505532</v>
      </c>
      <c r="I94" s="3"/>
      <c r="J94" s="143">
        <f>IF($E94="2018-19",G94,G94*(1+Assumptions_EG!$C$6)*(1+INDEX($H$47:$H$55,MATCH($D94,$G$47:$G$55,0))))</f>
        <v>2468.2646228274384</v>
      </c>
      <c r="K94" s="11">
        <f>IF($E94="2018-19",H94,H94*(1+Assumptions_EG!$C$7)*(1+INDEX(Legacy_FC_VC!$I$47:$I$55,MATCH($D94,Assumptions_EG!$B$14:$B$22,0))))</f>
        <v>3.4029805964349711</v>
      </c>
      <c r="L94" s="11">
        <f>SUMIF(Legacy_FC_VC!$J$35:$J$43,D94,Legacy_FC_VC!$K$35:$K$43)</f>
        <v>0.85</v>
      </c>
      <c r="M94" s="143">
        <f>IF(SUMPRODUCT(--(D94={"EG_COAL","EG_CCGT","EG_OCGT"}))&gt;0,J94,J94+K94*8760*L94)</f>
        <v>2468.2646228274384</v>
      </c>
      <c r="N94" s="11">
        <f>IF(SUMPRODUCT(--(D94={"EG_COAL","EG_CCGT","EG_OCGT"}))&gt;0,K94,0)</f>
        <v>3.4029805964349711</v>
      </c>
      <c r="O94" s="513" t="str">
        <f t="shared" si="7"/>
        <v>EREG_CCGT</v>
      </c>
      <c r="P94" s="3"/>
      <c r="V94" s="209">
        <f>BR!C6</f>
        <v>0</v>
      </c>
      <c r="W94" s="209">
        <f t="shared" si="8"/>
        <v>0</v>
      </c>
      <c r="X94" s="303">
        <f t="shared" si="9"/>
        <v>0</v>
      </c>
      <c r="Z94" s="150"/>
      <c r="AA94" s="150"/>
    </row>
    <row r="95" spans="2:27" x14ac:dyDescent="0.35">
      <c r="B95" s="512" t="s">
        <v>644</v>
      </c>
      <c r="C95" s="3" t="s">
        <v>260</v>
      </c>
      <c r="D95" s="3" t="s">
        <v>1614</v>
      </c>
      <c r="E95" s="3" t="str">
        <f>BR!B7</f>
        <v>2017-18</v>
      </c>
      <c r="F95" s="143">
        <f>SUMIFS(Capacity!$C$3:$C$263,Capacity!$A$3:$A$263,$C95,Capacity!$B$3:$B$263,$D95)</f>
        <v>0</v>
      </c>
      <c r="G95" s="143">
        <f>BR!G7</f>
        <v>0</v>
      </c>
      <c r="H95" s="11">
        <f>BR!H7</f>
        <v>0</v>
      </c>
      <c r="I95" s="3"/>
      <c r="J95" s="143">
        <f>IF($E95="2018-19",G95,G95*(1+Assumptions_EG!$C$6)*(1+INDEX($H$47:$H$55,MATCH($D95,$G$47:$G$55,0))))</f>
        <v>0</v>
      </c>
      <c r="K95" s="11">
        <f>IF($E95="2018-19",H95,H95*(1+Assumptions_EG!$C$7)*(1+INDEX(Legacy_FC_VC!$I$47:$I$55,MATCH($D95,Assumptions_EG!$B$14:$B$22,0))))</f>
        <v>0</v>
      </c>
      <c r="L95" s="11">
        <f>SUMIF(Legacy_FC_VC!$J$35:$J$43,D95,Legacy_FC_VC!$K$35:$K$43)</f>
        <v>0.85</v>
      </c>
      <c r="M95" s="143">
        <f>IF(SUMPRODUCT(--(D95={"EG_COAL","EG_CCGT","EG_OCGT"}))&gt;0,J95,J95+K95*8760*L95)</f>
        <v>0</v>
      </c>
      <c r="N95" s="11">
        <f>IF(SUMPRODUCT(--(D95={"EG_COAL","EG_CCGT","EG_OCGT"}))&gt;0,K95,0)</f>
        <v>0</v>
      </c>
      <c r="O95" s="513" t="str">
        <f t="shared" si="7"/>
        <v>EREG_OCGT</v>
      </c>
      <c r="P95" s="3"/>
      <c r="V95" s="209">
        <f>BR!C7</f>
        <v>0</v>
      </c>
      <c r="W95" s="209">
        <f t="shared" si="8"/>
        <v>0</v>
      </c>
      <c r="X95" s="303">
        <f t="shared" si="9"/>
        <v>0</v>
      </c>
      <c r="Z95" s="150"/>
      <c r="AA95" s="150"/>
    </row>
    <row r="96" spans="2:27" x14ac:dyDescent="0.35">
      <c r="B96" s="512" t="s">
        <v>644</v>
      </c>
      <c r="C96" s="3" t="s">
        <v>260</v>
      </c>
      <c r="D96" s="3" t="s">
        <v>1615</v>
      </c>
      <c r="E96" s="3" t="str">
        <f>BR!B8</f>
        <v>2017-18</v>
      </c>
      <c r="F96" s="143">
        <f>SUMIFS(Capacity!$C$3:$C$263,Capacity!$A$3:$A$263,$C96,Capacity!$B$3:$B$263,$D96)</f>
        <v>0</v>
      </c>
      <c r="G96" s="143">
        <f>BR!G8</f>
        <v>0</v>
      </c>
      <c r="H96" s="11">
        <f>BR!H8</f>
        <v>0</v>
      </c>
      <c r="I96" s="3"/>
      <c r="J96" s="143">
        <f>IF($E96="2018-19",G96,G96*(1+Assumptions_EG!$C$6)*(1+INDEX($H$47:$H$55,MATCH($D96,$G$47:$G$55,0))))</f>
        <v>0</v>
      </c>
      <c r="K96" s="11">
        <f>IF($E96="2018-19",H96,H96*(1+Assumptions_EG!$C$7)*(1+INDEX(Legacy_FC_VC!$I$47:$I$55,MATCH($D96,Assumptions_EG!$B$14:$B$22,0))))</f>
        <v>0</v>
      </c>
      <c r="L96" s="11">
        <f>SUMIF(Legacy_FC_VC!$J$35:$J$43,D96,Legacy_FC_VC!$K$35:$K$43)</f>
        <v>0.65716939790195539</v>
      </c>
      <c r="M96" s="143">
        <f>IF(SUMPRODUCT(--(D96={"EG_COAL","EG_CCGT","EG_OCGT"}))&gt;0,J96,J96+K96*8760*L96)</f>
        <v>0</v>
      </c>
      <c r="N96" s="11">
        <f>IF(SUMPRODUCT(--(D96={"EG_COAL","EG_CCGT","EG_OCGT"}))&gt;0,K96,0)</f>
        <v>0</v>
      </c>
      <c r="O96" s="513" t="str">
        <f t="shared" si="7"/>
        <v>EREG_PHWR</v>
      </c>
      <c r="P96" s="3"/>
      <c r="V96" s="209">
        <f>BR!C8</f>
        <v>0</v>
      </c>
      <c r="W96" s="209">
        <f t="shared" si="8"/>
        <v>0</v>
      </c>
      <c r="X96" s="303">
        <f t="shared" si="9"/>
        <v>0</v>
      </c>
      <c r="Z96" s="150"/>
      <c r="AA96" s="150"/>
    </row>
    <row r="97" spans="2:27" x14ac:dyDescent="0.35">
      <c r="B97" s="512" t="s">
        <v>644</v>
      </c>
      <c r="C97" s="3" t="s">
        <v>260</v>
      </c>
      <c r="D97" s="3" t="s">
        <v>1604</v>
      </c>
      <c r="E97" s="3" t="str">
        <f>BR!B9</f>
        <v>2017-18</v>
      </c>
      <c r="F97" s="143">
        <f>SUMIFS(Capacity!$C$3:$C$263,Capacity!$A$3:$A$263,$C97,Capacity!$B$3:$B$263,$D97)</f>
        <v>111.92500905886615</v>
      </c>
      <c r="G97" s="143">
        <f>BR!G9</f>
        <v>2150.3510294233652</v>
      </c>
      <c r="H97" s="11">
        <f>BR!H9</f>
        <v>1.9076914882284006</v>
      </c>
      <c r="I97" s="3"/>
      <c r="J97" s="143">
        <f>IF($E97="2018-19",G97,G97*(1+Assumptions_EG!$C$6)*(1+INDEX($H$47:$H$55,MATCH($D97,$G$47:$G$55,0))))</f>
        <v>2235.9022696687944</v>
      </c>
      <c r="K97" s="11">
        <f>IF($E97="2018-19",H97,H97*(1+Assumptions_EG!$C$7)*(1+INDEX(Legacy_FC_VC!$I$47:$I$55,MATCH($D97,Assumptions_EG!$B$14:$B$22,0))))</f>
        <v>1.9839991477575367</v>
      </c>
      <c r="L97" s="11">
        <f>SUMIF(Legacy_FC_VC!$J$35:$J$43,D97,Legacy_FC_VC!$K$35:$K$43)</f>
        <v>0.32761940072174078</v>
      </c>
      <c r="M97" s="143">
        <f>IF(SUMPRODUCT(--(D97={"EG_COAL","EG_CCGT","EG_OCGT"}))&gt;0,J97,J97+K97*8760*L97)</f>
        <v>7929.8725892187276</v>
      </c>
      <c r="N97" s="11">
        <f>IF(SUMPRODUCT(--(D97={"EG_COAL","EG_CCGT","EG_OCGT"}))&gt;0,K97,0)</f>
        <v>0</v>
      </c>
      <c r="O97" s="513" t="str">
        <f t="shared" si="7"/>
        <v>EREG_LH</v>
      </c>
      <c r="P97" s="3"/>
      <c r="V97" s="209">
        <f>BR!C9</f>
        <v>253.54</v>
      </c>
      <c r="W97" s="209">
        <f t="shared" si="8"/>
        <v>-141.61499094113384</v>
      </c>
      <c r="X97" s="303">
        <f t="shared" si="9"/>
        <v>-0.5585508832576076</v>
      </c>
      <c r="Z97" s="150"/>
      <c r="AA97" s="150"/>
    </row>
    <row r="98" spans="2:27" x14ac:dyDescent="0.35">
      <c r="B98" s="512" t="s">
        <v>644</v>
      </c>
      <c r="C98" s="3" t="s">
        <v>260</v>
      </c>
      <c r="D98" s="3" t="s">
        <v>1603</v>
      </c>
      <c r="E98" s="3" t="str">
        <f>BR!B10</f>
        <v>2017-18</v>
      </c>
      <c r="F98" s="143">
        <f>SUMIFS(Capacity!$C$3:$C$263,Capacity!$A$3:$A$263,$C98,Capacity!$B$3:$B$263,$D98)</f>
        <v>70.7</v>
      </c>
      <c r="G98" s="143">
        <f>BR!G10</f>
        <v>0</v>
      </c>
      <c r="H98" s="11">
        <f>BR!H10</f>
        <v>2.4827586206896552</v>
      </c>
      <c r="I98" s="3"/>
      <c r="J98" s="143">
        <f>IF($E98="2018-19",G98,G98*(1+Assumptions_EG!$C$6)*(1+INDEX($H$47:$H$55,MATCH($D98,$G$47:$G$55,0))))</f>
        <v>0</v>
      </c>
      <c r="K98" s="11">
        <f>IF($E98="2018-19",H98,H98*(1+Assumptions_EG!$C$7)*(1+INDEX(Legacy_FC_VC!$I$47:$I$55,MATCH($D98,Assumptions_EG!$B$14:$B$22,0))))</f>
        <v>2.5820689655172417</v>
      </c>
      <c r="L98" s="11">
        <f>SUMIF(Legacy_FC_VC!$J$35:$J$43,D98,Legacy_FC_VC!$K$35:$K$43)</f>
        <v>0.20627943231757243</v>
      </c>
      <c r="M98" s="143">
        <f>IF(SUMPRODUCT(--(D98={"EG_COAL","EG_CCGT","EG_OCGT"}))&gt;0,J98,J98+K98*8760*L98)</f>
        <v>4665.8188308066501</v>
      </c>
      <c r="N98" s="11">
        <f>IF(SUMPRODUCT(--(D98={"EG_COAL","EG_CCGT","EG_OCGT"}))&gt;0,K98,0)</f>
        <v>0</v>
      </c>
      <c r="O98" s="513" t="str">
        <f t="shared" si="7"/>
        <v>EREG_SH</v>
      </c>
      <c r="P98" s="3"/>
      <c r="V98" s="209">
        <f>BR!C10</f>
        <v>13.5</v>
      </c>
      <c r="W98" s="209">
        <f t="shared" ref="W98:W129" si="10">F98-V98</f>
        <v>57.2</v>
      </c>
      <c r="X98" s="303">
        <f t="shared" si="9"/>
        <v>4.2370370370370374</v>
      </c>
      <c r="Z98" s="150"/>
      <c r="AA98" s="150"/>
    </row>
    <row r="99" spans="2:27" x14ac:dyDescent="0.35">
      <c r="B99" s="512" t="s">
        <v>644</v>
      </c>
      <c r="C99" s="3" t="s">
        <v>260</v>
      </c>
      <c r="D99" s="3" t="s">
        <v>1605</v>
      </c>
      <c r="E99" s="3" t="str">
        <f>BR!B11</f>
        <v>2017-18</v>
      </c>
      <c r="F99" s="143">
        <f>SUMIFS(Capacity!$C$3:$C$263,Capacity!$A$3:$A$263,$C99,Capacity!$B$3:$B$263,$D99)</f>
        <v>121.2</v>
      </c>
      <c r="G99" s="143">
        <f>BR!G11</f>
        <v>0</v>
      </c>
      <c r="H99" s="11">
        <f>BR!H11</f>
        <v>6.925795053003533</v>
      </c>
      <c r="I99" s="3"/>
      <c r="J99" s="143">
        <f>IF($E99="2018-19",G99,G99*(1+Assumptions_EG!$C$6)*(1+INDEX($H$47:$H$55,MATCH($D99,$G$47:$G$55,0))))</f>
        <v>0</v>
      </c>
      <c r="K99" s="11">
        <f>IF($E99="2018-19",H99,H99*(1+Assumptions_EG!$C$7)*(1+INDEX(Legacy_FC_VC!$I$47:$I$55,MATCH($D99,Assumptions_EG!$B$14:$B$22,0))))</f>
        <v>7.2028268551236749</v>
      </c>
      <c r="L99" s="11">
        <f>SUMIF(Legacy_FC_VC!$J$35:$J$43,D99,Legacy_FC_VC!$K$35:$K$43)</f>
        <v>0.2313655363440307</v>
      </c>
      <c r="M99" s="143">
        <f>IF(SUMPRODUCT(--(D99={"EG_COAL","EG_CCGT","EG_OCGT"}))&gt;0,J99,J99+K99*8760*L99)</f>
        <v>14598.416471112962</v>
      </c>
      <c r="N99" s="11">
        <f>IF(SUMPRODUCT(--(D99={"EG_COAL","EG_CCGT","EG_OCGT"}))&gt;0,K99,0)</f>
        <v>0</v>
      </c>
      <c r="O99" s="513" t="str">
        <f t="shared" si="7"/>
        <v>EREG_BIOMASS</v>
      </c>
      <c r="P99" s="3"/>
      <c r="V99" s="209">
        <f>BR!C11</f>
        <v>5.56</v>
      </c>
      <c r="W99" s="209">
        <f t="shared" si="10"/>
        <v>115.64</v>
      </c>
      <c r="X99" s="303">
        <f t="shared" si="9"/>
        <v>20.798561151079138</v>
      </c>
      <c r="Z99" s="150"/>
      <c r="AA99" s="150"/>
    </row>
    <row r="100" spans="2:27" x14ac:dyDescent="0.35">
      <c r="B100" s="512" t="s">
        <v>644</v>
      </c>
      <c r="C100" s="3" t="s">
        <v>260</v>
      </c>
      <c r="D100" s="3" t="s">
        <v>1636</v>
      </c>
      <c r="E100" s="3" t="str">
        <f>BR!B12</f>
        <v>2017-18</v>
      </c>
      <c r="F100" s="143">
        <f>SUMIFS(Capacity!$C$3:$C$263,Capacity!$A$3:$A$263,$C100,Capacity!$B$3:$B$263,$D100)</f>
        <v>142.45000000000002</v>
      </c>
      <c r="G100" s="143">
        <f>BR!G12</f>
        <v>0</v>
      </c>
      <c r="H100" s="11">
        <f>BR!H12</f>
        <v>8.0282208588957022</v>
      </c>
      <c r="I100" s="3"/>
      <c r="J100" s="143">
        <f>IF($E100="2018-19",G100,G100*(1+Assumptions_EG!$C$6)*(1+INDEX($H$47:$H$55,MATCH($D100,$G$47:$G$55,0))))</f>
        <v>0</v>
      </c>
      <c r="K100" s="11">
        <f>IF($E100="2018-19",H100,H100*(1+Assumptions_EG!$C$7)*(1+INDEX(Legacy_FC_VC!$I$47:$I$55,MATCH($D100,Assumptions_EG!$B$14:$B$22,0))))</f>
        <v>8.0153757055214694</v>
      </c>
      <c r="L100" s="11">
        <f>SUMIF(Legacy_FC_VC!$J$35:$J$43,D100,Legacy_FC_VC!$K$35:$K$43)</f>
        <v>0.1890889600524939</v>
      </c>
      <c r="M100" s="143">
        <f>IF(SUMPRODUCT(--(D100={"EG_COAL","EG_CCGT","EG_OCGT"}))&gt;0,J100,J100+K100*8760*L100)</f>
        <v>13276.822935702814</v>
      </c>
      <c r="N100" s="11">
        <f>IF(SUMPRODUCT(--(D100={"EG_COAL","EG_CCGT","EG_OCGT"}))&gt;0,K100,0)</f>
        <v>0</v>
      </c>
      <c r="O100" s="513" t="str">
        <f t="shared" si="7"/>
        <v>EREG_SOLARPV</v>
      </c>
      <c r="P100" s="3"/>
      <c r="V100" s="209">
        <f>BR!C12</f>
        <v>66.42</v>
      </c>
      <c r="W100" s="209">
        <f t="shared" si="10"/>
        <v>76.030000000000015</v>
      </c>
      <c r="X100" s="303">
        <f t="shared" si="9"/>
        <v>1.1446853357422466</v>
      </c>
      <c r="Z100" s="150"/>
      <c r="AA100" s="150"/>
    </row>
    <row r="101" spans="2:27" x14ac:dyDescent="0.35">
      <c r="B101" s="512" t="s">
        <v>644</v>
      </c>
      <c r="C101" s="3" t="s">
        <v>260</v>
      </c>
      <c r="D101" s="3" t="s">
        <v>1606</v>
      </c>
      <c r="E101" s="3" t="str">
        <f>BR!B14</f>
        <v>2017-18</v>
      </c>
      <c r="F101" s="143">
        <f>SUMIFS(Capacity!$C$3:$C$263,Capacity!$A$3:$A$263,$C101,Capacity!$B$3:$B$263,$D101)</f>
        <v>0</v>
      </c>
      <c r="G101" s="143">
        <f>BR!G14</f>
        <v>0</v>
      </c>
      <c r="H101" s="11">
        <f>BR!H14</f>
        <v>4.693297390025732</v>
      </c>
      <c r="I101" s="3"/>
      <c r="J101" s="143">
        <f>IF($E101="2018-19",G101,G101*(1+Assumptions_EG!$C$6)*(1+INDEX($H$47:$H$55,MATCH($D101,$G$47:$G$55,0))))</f>
        <v>0</v>
      </c>
      <c r="K101" s="11">
        <f>IF($E101="2018-19",H101,H101*(1+Assumptions_EG!$C$7)*(1+INDEX(Legacy_FC_VC!$I$47:$I$55,MATCH($D101,Assumptions_EG!$B$14:$B$22,0))))</f>
        <v>4.6857881142016904</v>
      </c>
      <c r="L101" s="11">
        <f>SUMIF(Legacy_FC_VC!$J$35:$J$43,D101,Legacy_FC_VC!$K$35:$K$43)</f>
        <v>0.19182955699540097</v>
      </c>
      <c r="M101" s="143">
        <f>IF(SUMPRODUCT(--(D101={"EG_COAL","EG_CCGT","EG_OCGT"}))&gt;0,J101,J101+K101*8760*L101)</f>
        <v>7874.1244851454403</v>
      </c>
      <c r="N101" s="11">
        <f>IF(SUMPRODUCT(--(D101={"EG_COAL","EG_CCGT","EG_OCGT"}))&gt;0,K101,0)</f>
        <v>0</v>
      </c>
      <c r="O101" s="513" t="str">
        <f t="shared" si="7"/>
        <v>EREG_WIND</v>
      </c>
      <c r="P101" s="3"/>
      <c r="V101" s="209">
        <f>BR!C14</f>
        <v>5.4</v>
      </c>
      <c r="W101" s="209">
        <f t="shared" si="10"/>
        <v>-5.4</v>
      </c>
      <c r="X101" s="303">
        <f t="shared" si="9"/>
        <v>-1</v>
      </c>
      <c r="Z101" s="150"/>
      <c r="AA101" s="150"/>
    </row>
    <row r="102" spans="2:27" x14ac:dyDescent="0.35">
      <c r="B102" s="512" t="s">
        <v>628</v>
      </c>
      <c r="C102" s="3" t="s">
        <v>751</v>
      </c>
      <c r="D102" s="3" t="s">
        <v>1612</v>
      </c>
      <c r="E102" s="3" t="str">
        <f>GJ!B5</f>
        <v>2017-18</v>
      </c>
      <c r="F102" s="143">
        <f>SUMIFS(Capacity!$C$3:$C$263,Capacity!$A$3:$A$263,$C102,Capacity!$B$3:$B$263,$D102)</f>
        <v>16228.768869778105</v>
      </c>
      <c r="G102" s="143">
        <f>GJ!G5</f>
        <v>8893.7311961823852</v>
      </c>
      <c r="H102" s="11">
        <f>GJ!H5</f>
        <v>1.6550420985355823</v>
      </c>
      <c r="I102" s="3"/>
      <c r="J102" s="143">
        <f>IF($E102="2018-19",G102,G102*(1+Assumptions_EG!$C$6)*(1+INDEX($H$47:$H$55,MATCH($D102,$G$47:$G$55,0))))</f>
        <v>9247.5663253458806</v>
      </c>
      <c r="K102" s="11">
        <f>IF($E102="2018-19",H102,H102*(1+Assumptions_EG!$C$7)*(1+INDEX(Legacy_FC_VC!$I$47:$I$55,MATCH($D102,Assumptions_EG!$B$14:$B$22,0))))</f>
        <v>1.8295115889333444</v>
      </c>
      <c r="L102" s="11">
        <f>SUMIF(Legacy_FC_VC!$J$35:$J$43,D102,Legacy_FC_VC!$K$35:$K$43)</f>
        <v>0.85</v>
      </c>
      <c r="M102" s="143">
        <f>IF(SUMPRODUCT(--(D102={"EG_COAL","EG_CCGT","EG_OCGT"}))&gt;0,J102,J102+K102*8760*L102)</f>
        <v>9247.5663253458806</v>
      </c>
      <c r="N102" s="11">
        <f>IF(SUMPRODUCT(--(D102={"EG_COAL","EG_CCGT","EG_OCGT"}))&gt;0,K102,0)</f>
        <v>1.8295115889333444</v>
      </c>
      <c r="O102" s="513" t="str">
        <f t="shared" si="7"/>
        <v>WREG_COAL</v>
      </c>
      <c r="P102" s="3"/>
      <c r="V102" s="209">
        <f>GJ!C5</f>
        <v>12204.101698799999</v>
      </c>
      <c r="W102" s="209">
        <f t="shared" si="10"/>
        <v>4024.6671709781058</v>
      </c>
      <c r="X102" s="303">
        <f t="shared" si="9"/>
        <v>0.32977987813505699</v>
      </c>
      <c r="Z102" s="150"/>
      <c r="AA102" s="150"/>
    </row>
    <row r="103" spans="2:27" x14ac:dyDescent="0.35">
      <c r="B103" s="512" t="s">
        <v>628</v>
      </c>
      <c r="C103" s="3" t="s">
        <v>751</v>
      </c>
      <c r="D103" s="3" t="s">
        <v>1613</v>
      </c>
      <c r="E103" s="3" t="str">
        <f>GJ!B6</f>
        <v>2017-18</v>
      </c>
      <c r="F103" s="143">
        <f>SUMIFS(Capacity!$C$3:$C$263,Capacity!$A$3:$A$263,$C103,Capacity!$B$3:$B$263,$D103)</f>
        <v>6561.82</v>
      </c>
      <c r="G103" s="143">
        <f>GJ!G6</f>
        <v>6119.4912566899402</v>
      </c>
      <c r="H103" s="11">
        <f>GJ!H6</f>
        <v>3.7203791469194316</v>
      </c>
      <c r="I103" s="3"/>
      <c r="J103" s="143">
        <f>IF($E103="2018-19",G103,G103*(1+Assumptions_EG!$C$6)*(1+INDEX($H$47:$H$55,MATCH($D103,$G$47:$G$55,0))))</f>
        <v>6362.9538632678414</v>
      </c>
      <c r="K103" s="11">
        <f>IF($E103="2018-19",H103,H103*(1+Assumptions_EG!$C$7)*(1+INDEX(Legacy_FC_VC!$I$47:$I$55,MATCH($D103,Assumptions_EG!$B$14:$B$22,0))))</f>
        <v>3.9804071103518144</v>
      </c>
      <c r="L103" s="11">
        <f>SUMIF(Legacy_FC_VC!$J$35:$J$43,D103,Legacy_FC_VC!$K$35:$K$43)</f>
        <v>0.85</v>
      </c>
      <c r="M103" s="143">
        <f>IF(SUMPRODUCT(--(D103={"EG_COAL","EG_CCGT","EG_OCGT"}))&gt;0,J103,J103+K103*8760*L103)</f>
        <v>6362.9538632678414</v>
      </c>
      <c r="N103" s="11">
        <f>IF(SUMPRODUCT(--(D103={"EG_COAL","EG_CCGT","EG_OCGT"}))&gt;0,K103,0)</f>
        <v>3.9804071103518144</v>
      </c>
      <c r="O103" s="513" t="str">
        <f t="shared" si="7"/>
        <v>WREG_CCGT</v>
      </c>
      <c r="P103" s="3"/>
      <c r="V103" s="209">
        <f>GJ!C6</f>
        <v>3113.0038758000001</v>
      </c>
      <c r="W103" s="209">
        <f t="shared" si="10"/>
        <v>3448.8161241999996</v>
      </c>
      <c r="X103" s="303">
        <f t="shared" si="9"/>
        <v>1.1078740219408498</v>
      </c>
      <c r="Z103" s="150"/>
      <c r="AA103" s="150"/>
    </row>
    <row r="104" spans="2:27" x14ac:dyDescent="0.35">
      <c r="B104" s="512" t="s">
        <v>628</v>
      </c>
      <c r="C104" s="3" t="s">
        <v>751</v>
      </c>
      <c r="D104" s="3" t="s">
        <v>1614</v>
      </c>
      <c r="E104" s="3" t="str">
        <f>GJ!B7</f>
        <v>2017-18</v>
      </c>
      <c r="F104" s="143">
        <f>SUMIFS(Capacity!$C$3:$C$263,Capacity!$A$3:$A$263,$C104,Capacity!$B$3:$B$263,$D104)</f>
        <v>0</v>
      </c>
      <c r="G104" s="143">
        <f>GJ!G7</f>
        <v>0</v>
      </c>
      <c r="H104" s="11">
        <f>GJ!H7</f>
        <v>0</v>
      </c>
      <c r="I104" s="3"/>
      <c r="J104" s="143">
        <f>IF($E104="2018-19",G104,G104*(1+Assumptions_EG!$C$6)*(1+INDEX($H$47:$H$55,MATCH($D104,$G$47:$G$55,0))))</f>
        <v>0</v>
      </c>
      <c r="K104" s="11">
        <f>IF($E104="2018-19",H104,H104*(1+Assumptions_EG!$C$7)*(1+INDEX(Legacy_FC_VC!$I$47:$I$55,MATCH($D104,Assumptions_EG!$B$14:$B$22,0))))</f>
        <v>0</v>
      </c>
      <c r="L104" s="11">
        <f>SUMIF(Legacy_FC_VC!$J$35:$J$43,D104,Legacy_FC_VC!$K$35:$K$43)</f>
        <v>0.85</v>
      </c>
      <c r="M104" s="143">
        <f>IF(SUMPRODUCT(--(D104={"EG_COAL","EG_CCGT","EG_OCGT"}))&gt;0,J104,J104+K104*8760*L104)</f>
        <v>0</v>
      </c>
      <c r="N104" s="11">
        <f>IF(SUMPRODUCT(--(D104={"EG_COAL","EG_CCGT","EG_OCGT"}))&gt;0,K104,0)</f>
        <v>0</v>
      </c>
      <c r="O104" s="513" t="str">
        <f t="shared" si="7"/>
        <v>WREG_OCGT</v>
      </c>
      <c r="P104" s="3"/>
      <c r="V104" s="209">
        <f>GJ!C7</f>
        <v>0</v>
      </c>
      <c r="W104" s="209">
        <f t="shared" si="10"/>
        <v>0</v>
      </c>
      <c r="X104" s="303">
        <f t="shared" si="9"/>
        <v>0</v>
      </c>
      <c r="Z104" s="150"/>
      <c r="AA104" s="150"/>
    </row>
    <row r="105" spans="2:27" x14ac:dyDescent="0.35">
      <c r="B105" s="512" t="s">
        <v>628</v>
      </c>
      <c r="C105" s="3" t="s">
        <v>751</v>
      </c>
      <c r="D105" s="3" t="s">
        <v>1615</v>
      </c>
      <c r="E105" s="3" t="str">
        <f>GJ!B8</f>
        <v>2017-18</v>
      </c>
      <c r="F105" s="143">
        <f>SUMIFS(Capacity!$C$3:$C$263,Capacity!$A$3:$A$263,$C105,Capacity!$B$3:$B$263,$D105)</f>
        <v>638.06451612903231</v>
      </c>
      <c r="G105" s="143">
        <f>GJ!G8</f>
        <v>1754.3857186827061</v>
      </c>
      <c r="H105" s="11">
        <f>GJ!H8</f>
        <v>2.257103574702108</v>
      </c>
      <c r="I105" s="3"/>
      <c r="J105" s="143">
        <f>IF($E105="2018-19",G105,G105*(1+Assumptions_EG!$C$6)*(1+INDEX($H$47:$H$55,MATCH($D105,$G$47:$G$55,0))))</f>
        <v>1824.1835665914832</v>
      </c>
      <c r="K105" s="11">
        <f>IF($E105="2018-19",H105,H105*(1+Assumptions_EG!$C$7)*(1+INDEX(Legacy_FC_VC!$I$47:$I$55,MATCH($D105,Assumptions_EG!$B$14:$B$22,0))))</f>
        <v>2.3473877176901925</v>
      </c>
      <c r="L105" s="11">
        <f>SUMIF(Legacy_FC_VC!$J$35:$J$43,D105,Legacy_FC_VC!$K$35:$K$43)</f>
        <v>0.65716939790195539</v>
      </c>
      <c r="M105" s="143">
        <f>IF(SUMPRODUCT(--(D105={"EG_COAL","EG_CCGT","EG_OCGT"}))&gt;0,J105,J105+K105*8760*L105)</f>
        <v>15337.634394745208</v>
      </c>
      <c r="N105" s="11">
        <f>IF(SUMPRODUCT(--(D105={"EG_COAL","EG_CCGT","EG_OCGT"}))&gt;0,K105,0)</f>
        <v>0</v>
      </c>
      <c r="O105" s="513" t="str">
        <f t="shared" si="7"/>
        <v>WREG_PHWR</v>
      </c>
      <c r="P105" s="3"/>
      <c r="V105" s="209">
        <f>GJ!C8</f>
        <v>285.00004000000001</v>
      </c>
      <c r="W105" s="209">
        <f t="shared" si="10"/>
        <v>353.0644761290323</v>
      </c>
      <c r="X105" s="303">
        <f t="shared" si="9"/>
        <v>1.238822549389931</v>
      </c>
      <c r="Z105" s="150"/>
      <c r="AA105" s="150"/>
    </row>
    <row r="106" spans="2:27" x14ac:dyDescent="0.35">
      <c r="B106" s="512" t="s">
        <v>628</v>
      </c>
      <c r="C106" s="3" t="s">
        <v>751</v>
      </c>
      <c r="D106" s="3" t="s">
        <v>1604</v>
      </c>
      <c r="E106" s="3" t="str">
        <f>GJ!B9</f>
        <v>2017-18</v>
      </c>
      <c r="F106" s="143">
        <f>SUMIFS(Capacity!$C$3:$C$263,Capacity!$A$3:$A$263,$C106,Capacity!$B$3:$B$263,$D106)</f>
        <v>772</v>
      </c>
      <c r="G106" s="143">
        <f>GJ!G9</f>
        <v>1269.4300518134717</v>
      </c>
      <c r="H106" s="11">
        <f>GJ!H9</f>
        <v>0.61818181818181817</v>
      </c>
      <c r="I106" s="3"/>
      <c r="J106" s="143">
        <f>IF($E106="2018-19",G106,G106*(1+Assumptions_EG!$C$6)*(1+INDEX($H$47:$H$55,MATCH($D106,$G$47:$G$55,0))))</f>
        <v>1319.9340457435162</v>
      </c>
      <c r="K106" s="11">
        <f>IF($E106="2018-19",H106,H106*(1+Assumptions_EG!$C$7)*(1+INDEX(Legacy_FC_VC!$I$47:$I$55,MATCH($D106,Assumptions_EG!$B$14:$B$22,0))))</f>
        <v>0.64290909090909087</v>
      </c>
      <c r="L106" s="11">
        <f>SUMIF(Legacy_FC_VC!$J$35:$J$43,D106,Legacy_FC_VC!$K$35:$K$43)</f>
        <v>0.32761940072174078</v>
      </c>
      <c r="M106" s="143">
        <f>IF(SUMPRODUCT(--(D106={"EG_COAL","EG_CCGT","EG_OCGT"}))&gt;0,J106,J106+K106*8760*L106)</f>
        <v>3165.0483876235494</v>
      </c>
      <c r="N106" s="11">
        <f>IF(SUMPRODUCT(--(D106={"EG_COAL","EG_CCGT","EG_OCGT"}))&gt;0,K106,0)</f>
        <v>0</v>
      </c>
      <c r="O106" s="513" t="str">
        <f t="shared" si="7"/>
        <v>WREG_LH</v>
      </c>
      <c r="P106" s="3"/>
      <c r="V106" s="209">
        <f>GJ!C9</f>
        <v>772</v>
      </c>
      <c r="W106" s="209">
        <f t="shared" si="10"/>
        <v>0</v>
      </c>
      <c r="X106" s="303">
        <f t="shared" si="9"/>
        <v>0</v>
      </c>
      <c r="Z106" s="150"/>
      <c r="AA106" s="150"/>
    </row>
    <row r="107" spans="2:27" x14ac:dyDescent="0.35">
      <c r="B107" s="512" t="s">
        <v>628</v>
      </c>
      <c r="C107" s="3" t="s">
        <v>751</v>
      </c>
      <c r="D107" s="3" t="s">
        <v>1603</v>
      </c>
      <c r="E107" s="3" t="str">
        <f>GJ!B10</f>
        <v>2017-18</v>
      </c>
      <c r="F107" s="143">
        <f>SUMIFS(Capacity!$C$3:$C$263,Capacity!$A$3:$A$263,$C107,Capacity!$B$3:$B$263,$D107)</f>
        <v>61.3</v>
      </c>
      <c r="G107" s="143">
        <f>GJ!G10</f>
        <v>0</v>
      </c>
      <c r="H107" s="11">
        <f>GJ!H10</f>
        <v>3.333333333333333</v>
      </c>
      <c r="I107" s="3"/>
      <c r="J107" s="143">
        <f>IF($E107="2018-19",G107,G107*(1+Assumptions_EG!$C$6)*(1+INDEX($H$47:$H$55,MATCH($D107,$G$47:$G$55,0))))</f>
        <v>0</v>
      </c>
      <c r="K107" s="11">
        <f>IF($E107="2018-19",H107,H107*(1+Assumptions_EG!$C$7)*(1+INDEX(Legacy_FC_VC!$I$47:$I$55,MATCH($D107,Assumptions_EG!$B$14:$B$22,0))))</f>
        <v>3.4666666666666663</v>
      </c>
      <c r="L107" s="11">
        <f>SUMIF(Legacy_FC_VC!$J$35:$J$43,D107,Legacy_FC_VC!$K$35:$K$43)</f>
        <v>0.20627943231757243</v>
      </c>
      <c r="M107" s="143">
        <f>IF(SUMPRODUCT(--(D107={"EG_COAL","EG_CCGT","EG_OCGT"}))&gt;0,J107,J107+K107*8760*L107)</f>
        <v>6264.2938006200384</v>
      </c>
      <c r="N107" s="11">
        <f>IF(SUMPRODUCT(--(D107={"EG_COAL","EG_CCGT","EG_OCGT"}))&gt;0,K107,0)</f>
        <v>0</v>
      </c>
      <c r="O107" s="513" t="str">
        <f t="shared" si="7"/>
        <v>WREG_SH</v>
      </c>
      <c r="P107" s="3"/>
      <c r="V107" s="209">
        <f>GJ!C10</f>
        <v>8.56</v>
      </c>
      <c r="W107" s="209">
        <f t="shared" si="10"/>
        <v>52.739999999999995</v>
      </c>
      <c r="X107" s="303">
        <f t="shared" si="9"/>
        <v>6.1612149532710268</v>
      </c>
      <c r="Z107" s="150"/>
      <c r="AA107" s="150"/>
    </row>
    <row r="108" spans="2:27" x14ac:dyDescent="0.35">
      <c r="B108" s="512" t="s">
        <v>628</v>
      </c>
      <c r="C108" s="3" t="s">
        <v>751</v>
      </c>
      <c r="D108" s="3" t="s">
        <v>1605</v>
      </c>
      <c r="E108" s="3" t="str">
        <f>GJ!B11</f>
        <v>2017-18</v>
      </c>
      <c r="F108" s="143">
        <f>SUMIFS(Capacity!$C$3:$C$263,Capacity!$A$3:$A$263,$C108,Capacity!$B$3:$B$263,$D108)</f>
        <v>77.3</v>
      </c>
      <c r="G108" s="143">
        <f>GJ!G11</f>
        <v>0</v>
      </c>
      <c r="H108" s="11">
        <f>GJ!H11</f>
        <v>4.1500000000000004</v>
      </c>
      <c r="I108" s="3"/>
      <c r="J108" s="143">
        <f>IF($E108="2018-19",G108,G108*(1+Assumptions_EG!$C$6)*(1+INDEX($H$47:$H$55,MATCH($D108,$G$47:$G$55,0))))</f>
        <v>0</v>
      </c>
      <c r="K108" s="11">
        <f>IF($E108="2018-19",H108,H108*(1+Assumptions_EG!$C$7)*(1+INDEX(Legacy_FC_VC!$I$47:$I$55,MATCH($D108,Assumptions_EG!$B$14:$B$22,0))))</f>
        <v>4.3160000000000007</v>
      </c>
      <c r="L108" s="11">
        <f>SUMIF(Legacy_FC_VC!$J$35:$J$43,D108,Legacy_FC_VC!$K$35:$K$43)</f>
        <v>0.2313655363440307</v>
      </c>
      <c r="M108" s="143">
        <f>IF(SUMPRODUCT(--(D108={"EG_COAL","EG_CCGT","EG_OCGT"}))&gt;0,J108,J108+K108*8760*L108)</f>
        <v>8747.5052165809284</v>
      </c>
      <c r="N108" s="11">
        <f>IF(SUMPRODUCT(--(D108={"EG_COAL","EG_CCGT","EG_OCGT"}))&gt;0,K108,0)</f>
        <v>0</v>
      </c>
      <c r="O108" s="513" t="str">
        <f t="shared" si="7"/>
        <v>WREG_BIOMASS</v>
      </c>
      <c r="P108" s="3"/>
      <c r="V108" s="209">
        <f>GJ!C11</f>
        <v>41.1</v>
      </c>
      <c r="W108" s="209">
        <f t="shared" si="10"/>
        <v>36.199999999999996</v>
      </c>
      <c r="X108" s="303">
        <f t="shared" si="9"/>
        <v>0.8807785888077857</v>
      </c>
      <c r="Z108" s="150"/>
      <c r="AA108" s="150"/>
    </row>
    <row r="109" spans="2:27" x14ac:dyDescent="0.35">
      <c r="B109" s="512" t="s">
        <v>628</v>
      </c>
      <c r="C109" s="3" t="s">
        <v>751</v>
      </c>
      <c r="D109" s="3" t="s">
        <v>1636</v>
      </c>
      <c r="E109" s="3" t="str">
        <f>GJ!B12</f>
        <v>2017-18</v>
      </c>
      <c r="F109" s="143">
        <f>SUMIFS(Capacity!$C$3:$C$263,Capacity!$A$3:$A$263,$C109,Capacity!$B$3:$B$263,$D109)</f>
        <v>2440.13</v>
      </c>
      <c r="G109" s="143">
        <f>GJ!G12</f>
        <v>0</v>
      </c>
      <c r="H109" s="11">
        <f>GJ!H12</f>
        <v>9.2128732066692525</v>
      </c>
      <c r="I109" s="3"/>
      <c r="J109" s="143">
        <f>IF($E109="2018-19",G109,G109*(1+Assumptions_EG!$C$6)*(1+INDEX($H$47:$H$55,MATCH($D109,$G$47:$G$55,0))))</f>
        <v>0</v>
      </c>
      <c r="K109" s="11">
        <f>IF($E109="2018-19",H109,H109*(1+Assumptions_EG!$C$7)*(1+INDEX(Legacy_FC_VC!$I$47:$I$55,MATCH($D109,Assumptions_EG!$B$14:$B$22,0))))</f>
        <v>9.1981326095385825</v>
      </c>
      <c r="L109" s="11">
        <f>SUMIF(Legacy_FC_VC!$J$35:$J$43,D109,Legacy_FC_VC!$K$35:$K$43)</f>
        <v>0.1890889600524939</v>
      </c>
      <c r="M109" s="143">
        <f>IF(SUMPRODUCT(--(D109={"EG_COAL","EG_CCGT","EG_OCGT"}))&gt;0,J109,J109+K109*8760*L109)</f>
        <v>15235.964286968221</v>
      </c>
      <c r="N109" s="11">
        <f>IF(SUMPRODUCT(--(D109={"EG_COAL","EG_CCGT","EG_OCGT"}))&gt;0,K109,0)</f>
        <v>0</v>
      </c>
      <c r="O109" s="513" t="str">
        <f t="shared" si="7"/>
        <v>WREG_SOLARPV</v>
      </c>
      <c r="P109" s="3"/>
      <c r="V109" s="209">
        <f>GJ!C12</f>
        <v>1514.823333333333</v>
      </c>
      <c r="W109" s="209">
        <f t="shared" si="10"/>
        <v>925.30666666666707</v>
      </c>
      <c r="X109" s="303">
        <f t="shared" si="9"/>
        <v>0.61083470679749274</v>
      </c>
      <c r="Z109" s="150"/>
      <c r="AA109" s="150"/>
    </row>
    <row r="110" spans="2:27" x14ac:dyDescent="0.35">
      <c r="B110" s="512" t="s">
        <v>628</v>
      </c>
      <c r="C110" s="3" t="s">
        <v>751</v>
      </c>
      <c r="D110" s="3" t="s">
        <v>1606</v>
      </c>
      <c r="E110" s="3" t="str">
        <f>GJ!B14</f>
        <v>2017-18</v>
      </c>
      <c r="F110" s="143">
        <f>SUMIFS(Capacity!$C$3:$C$263,Capacity!$A$3:$A$263,$C110,Capacity!$B$3:$B$263,$D110)</f>
        <v>6073.07</v>
      </c>
      <c r="G110" s="143">
        <f>GJ!G14</f>
        <v>0</v>
      </c>
      <c r="H110" s="11">
        <f>GJ!H14</f>
        <v>3.7863070539419086</v>
      </c>
      <c r="I110" s="3"/>
      <c r="J110" s="143">
        <f>IF($E110="2018-19",G110,G110*(1+Assumptions_EG!$C$6)*(1+INDEX($H$47:$H$55,MATCH($D110,$G$47:$G$55,0))))</f>
        <v>0</v>
      </c>
      <c r="K110" s="11">
        <f>IF($E110="2018-19",H110,H110*(1+Assumptions_EG!$C$7)*(1+INDEX(Legacy_FC_VC!$I$47:$I$55,MATCH($D110,Assumptions_EG!$B$14:$B$22,0))))</f>
        <v>3.7802489626556017</v>
      </c>
      <c r="L110" s="11">
        <f>SUMIF(Legacy_FC_VC!$J$35:$J$43,D110,Legacy_FC_VC!$K$35:$K$43)</f>
        <v>0.19182955699540097</v>
      </c>
      <c r="M110" s="143">
        <f>IF(SUMPRODUCT(--(D110={"EG_COAL","EG_CCGT","EG_OCGT"}))&gt;0,J110,J110+K110*8760*L110)</f>
        <v>6352.4321184256823</v>
      </c>
      <c r="N110" s="11">
        <f>IF(SUMPRODUCT(--(D110={"EG_COAL","EG_CCGT","EG_OCGT"}))&gt;0,K110,0)</f>
        <v>0</v>
      </c>
      <c r="O110" s="513" t="str">
        <f t="shared" si="7"/>
        <v>WREG_WIND</v>
      </c>
      <c r="P110" s="3"/>
      <c r="V110" s="209">
        <f>GJ!C14</f>
        <v>5681.9866666666667</v>
      </c>
      <c r="W110" s="209">
        <f t="shared" si="10"/>
        <v>391.08333333333303</v>
      </c>
      <c r="X110" s="303">
        <f t="shared" si="9"/>
        <v>6.8828625668486784E-2</v>
      </c>
      <c r="Z110" s="150"/>
      <c r="AA110" s="150"/>
    </row>
    <row r="111" spans="2:27" x14ac:dyDescent="0.35">
      <c r="B111" s="512" t="s">
        <v>1046</v>
      </c>
      <c r="C111" s="3" t="s">
        <v>752</v>
      </c>
      <c r="D111" s="3" t="s">
        <v>1612</v>
      </c>
      <c r="E111" s="3" t="str">
        <f>RJ!B3</f>
        <v>2017-18</v>
      </c>
      <c r="F111" s="143">
        <f>SUMIFS(Capacity!$C$3:$C$263,Capacity!$A$3:$A$263,$C111,Capacity!$B$3:$B$263,$D111)</f>
        <v>11853.145808232712</v>
      </c>
      <c r="G111" s="143">
        <f>RJ!E5</f>
        <v>6113.819220518043</v>
      </c>
      <c r="H111" s="11">
        <f>RJ!F5</f>
        <v>2.4121776980028926</v>
      </c>
      <c r="I111" s="3"/>
      <c r="J111" s="143">
        <f>IF($E111="2018-19",G111,G111*(1+Assumptions_EG!$C$6)*(1+INDEX($H$47:$H$55,MATCH($D111,$G$47:$G$55,0))))</f>
        <v>6357.0561663909793</v>
      </c>
      <c r="K111" s="11">
        <f>IF($E111="2018-19",H111,H111*(1+Assumptions_EG!$C$7)*(1+INDEX(Legacy_FC_VC!$I$47:$I$55,MATCH($D111,Assumptions_EG!$B$14:$B$22,0))))</f>
        <v>2.6664621141466207</v>
      </c>
      <c r="L111" s="11">
        <f>SUMIF(Legacy_FC_VC!$J$35:$J$43,D111,Legacy_FC_VC!$K$35:$K$43)</f>
        <v>0.85</v>
      </c>
      <c r="M111" s="143">
        <f>IF(SUMPRODUCT(--(D111={"EG_COAL","EG_CCGT","EG_OCGT"}))&gt;0,J111,J111+K111*8760*L111)</f>
        <v>6357.0561663909793</v>
      </c>
      <c r="N111" s="11">
        <f>IF(SUMPRODUCT(--(D111={"EG_COAL","EG_CCGT","EG_OCGT"}))&gt;0,K111,0)</f>
        <v>2.6664621141466207</v>
      </c>
      <c r="O111" s="513" t="str">
        <f t="shared" si="7"/>
        <v>NREG_COAL</v>
      </c>
      <c r="P111" s="3"/>
      <c r="V111" s="209">
        <f>RJ!C5</f>
        <v>11219.203000000001</v>
      </c>
      <c r="W111" s="209">
        <f t="shared" si="10"/>
        <v>633.94280823271038</v>
      </c>
      <c r="X111" s="303">
        <f t="shared" si="9"/>
        <v>5.6505155333468012E-2</v>
      </c>
      <c r="Z111" s="150"/>
      <c r="AA111" s="150"/>
    </row>
    <row r="112" spans="2:27" x14ac:dyDescent="0.35">
      <c r="B112" s="512" t="s">
        <v>1046</v>
      </c>
      <c r="C112" s="3" t="s">
        <v>752</v>
      </c>
      <c r="D112" s="3" t="s">
        <v>1613</v>
      </c>
      <c r="E112" s="3" t="str">
        <f>RJ!B4</f>
        <v>2017-18</v>
      </c>
      <c r="F112" s="143">
        <f>SUMIFS(Capacity!$C$3:$C$263,Capacity!$A$3:$A$263,$C112,Capacity!$B$3:$B$263,$D112)</f>
        <v>824.9</v>
      </c>
      <c r="G112" s="143">
        <f>RJ!E6</f>
        <v>3356.0314081525612</v>
      </c>
      <c r="H112" s="11">
        <f>RJ!F6</f>
        <v>2.50582258782811</v>
      </c>
      <c r="I112" s="3"/>
      <c r="J112" s="143">
        <f>IF($E112="2018-19",G112,G112*(1+Assumptions_EG!$C$6)*(1+INDEX($H$47:$H$55,MATCH($D112,$G$47:$G$55,0))))</f>
        <v>3489.5503756799503</v>
      </c>
      <c r="K112" s="11">
        <f>IF($E112="2018-19",H112,H112*(1+Assumptions_EG!$C$7)*(1+INDEX(Legacy_FC_VC!$I$47:$I$55,MATCH($D112,Assumptions_EG!$B$14:$B$22,0))))</f>
        <v>2.680961711692766</v>
      </c>
      <c r="L112" s="11">
        <f>SUMIF(Legacy_FC_VC!$J$35:$J$43,D112,Legacy_FC_VC!$K$35:$K$43)</f>
        <v>0.85</v>
      </c>
      <c r="M112" s="143">
        <f>IF(SUMPRODUCT(--(D112={"EG_COAL","EG_CCGT","EG_OCGT"}))&gt;0,J112,J112+K112*8760*L112)</f>
        <v>3489.5503756799503</v>
      </c>
      <c r="N112" s="11">
        <f>IF(SUMPRODUCT(--(D112={"EG_COAL","EG_CCGT","EG_OCGT"}))&gt;0,K112,0)</f>
        <v>2.680961711692766</v>
      </c>
      <c r="O112" s="513" t="str">
        <f t="shared" si="7"/>
        <v>NREG_CCGT</v>
      </c>
      <c r="P112" s="3"/>
      <c r="V112" s="209">
        <f>RJ!C6</f>
        <v>839.2701209999999</v>
      </c>
      <c r="W112" s="209">
        <f t="shared" si="10"/>
        <v>-14.370120999999926</v>
      </c>
      <c r="X112" s="303">
        <f t="shared" si="9"/>
        <v>-1.7122164414572229E-2</v>
      </c>
      <c r="Z112" s="150"/>
      <c r="AA112" s="150"/>
    </row>
    <row r="113" spans="2:27" x14ac:dyDescent="0.35">
      <c r="B113" s="512" t="s">
        <v>1046</v>
      </c>
      <c r="C113" s="3" t="s">
        <v>752</v>
      </c>
      <c r="D113" s="3" t="s">
        <v>1614</v>
      </c>
      <c r="E113" s="3" t="str">
        <f>RJ!B5</f>
        <v>2017-18</v>
      </c>
      <c r="F113" s="143">
        <f>SUMIFS(Capacity!$C$3:$C$263,Capacity!$A$3:$A$263,$C113,Capacity!$B$3:$B$263,$D113)</f>
        <v>0</v>
      </c>
      <c r="G113" s="143">
        <f>RJ!E7</f>
        <v>0</v>
      </c>
      <c r="H113" s="11">
        <f>RJ!F7</f>
        <v>0</v>
      </c>
      <c r="I113" s="3"/>
      <c r="J113" s="143">
        <f>IF($E113="2018-19",G113,G113*(1+Assumptions_EG!$C$6)*(1+INDEX($H$47:$H$55,MATCH($D113,$G$47:$G$55,0))))</f>
        <v>0</v>
      </c>
      <c r="K113" s="11">
        <f>IF($E113="2018-19",H113,H113*(1+Assumptions_EG!$C$7)*(1+INDEX(Legacy_FC_VC!$I$47:$I$55,MATCH($D113,Assumptions_EG!$B$14:$B$22,0))))</f>
        <v>0</v>
      </c>
      <c r="L113" s="11">
        <f>SUMIF(Legacy_FC_VC!$J$35:$J$43,D113,Legacy_FC_VC!$K$35:$K$43)</f>
        <v>0.85</v>
      </c>
      <c r="M113" s="143">
        <f>IF(SUMPRODUCT(--(D113={"EG_COAL","EG_CCGT","EG_OCGT"}))&gt;0,J113,J113+K113*8760*L113)</f>
        <v>0</v>
      </c>
      <c r="N113" s="11">
        <f>IF(SUMPRODUCT(--(D113={"EG_COAL","EG_CCGT","EG_OCGT"}))&gt;0,K113,0)</f>
        <v>0</v>
      </c>
      <c r="O113" s="513" t="str">
        <f t="shared" si="7"/>
        <v>NREG_OCGT</v>
      </c>
      <c r="P113" s="3"/>
      <c r="V113" s="209">
        <f>RJ!C7</f>
        <v>0</v>
      </c>
      <c r="W113" s="209">
        <f t="shared" si="10"/>
        <v>0</v>
      </c>
      <c r="X113" s="303">
        <f t="shared" si="9"/>
        <v>0</v>
      </c>
      <c r="Z113" s="150"/>
      <c r="AA113" s="150"/>
    </row>
    <row r="114" spans="2:27" x14ac:dyDescent="0.35">
      <c r="B114" s="512" t="s">
        <v>1046</v>
      </c>
      <c r="C114" s="3" t="s">
        <v>752</v>
      </c>
      <c r="D114" s="3" t="s">
        <v>1615</v>
      </c>
      <c r="E114" s="3" t="str">
        <f>RJ!B6</f>
        <v>2017-18</v>
      </c>
      <c r="F114" s="143">
        <f>SUMIFS(Capacity!$C$3:$C$263,Capacity!$A$3:$A$263,$C114,Capacity!$B$3:$B$263,$D114)</f>
        <v>652.15606877901348</v>
      </c>
      <c r="G114" s="143">
        <f>RJ!E8</f>
        <v>0</v>
      </c>
      <c r="H114" s="11">
        <f>RJ!F8</f>
        <v>3.0254753761707311</v>
      </c>
      <c r="I114" s="3"/>
      <c r="J114" s="143">
        <f>IF($E114="2018-19",G114,G114*(1+Assumptions_EG!$C$6)*(1+INDEX($H$47:$H$55,MATCH($D114,$G$47:$G$55,0))))</f>
        <v>0</v>
      </c>
      <c r="K114" s="11">
        <f>IF($E114="2018-19",H114,H114*(1+Assumptions_EG!$C$7)*(1+INDEX(Legacy_FC_VC!$I$47:$I$55,MATCH($D114,Assumptions_EG!$B$14:$B$22,0))))</f>
        <v>3.1464943912175607</v>
      </c>
      <c r="L114" s="11">
        <f>SUMIF(Legacy_FC_VC!$J$35:$J$43,D114,Legacy_FC_VC!$K$35:$K$43)</f>
        <v>0.65716939790195539</v>
      </c>
      <c r="M114" s="143">
        <f>IF(SUMPRODUCT(--(D114={"EG_COAL","EG_CCGT","EG_OCGT"}))&gt;0,J114,J114+K114*8760*L114)</f>
        <v>18113.75126330612</v>
      </c>
      <c r="N114" s="11">
        <f>IF(SUMPRODUCT(--(D114={"EG_COAL","EG_CCGT","EG_OCGT"}))&gt;0,K114,0)</f>
        <v>0</v>
      </c>
      <c r="O114" s="513" t="str">
        <f t="shared" si="7"/>
        <v>NREG_PHWR</v>
      </c>
      <c r="P114" s="3"/>
      <c r="V114" s="209">
        <f>RJ!C8</f>
        <v>456.74</v>
      </c>
      <c r="W114" s="209">
        <f t="shared" si="10"/>
        <v>195.41606877901347</v>
      </c>
      <c r="X114" s="303">
        <f t="shared" si="9"/>
        <v>0.42784969299604475</v>
      </c>
      <c r="Z114" s="150"/>
      <c r="AA114" s="150"/>
    </row>
    <row r="115" spans="2:27" x14ac:dyDescent="0.35">
      <c r="B115" s="512" t="s">
        <v>1046</v>
      </c>
      <c r="C115" s="3" t="s">
        <v>752</v>
      </c>
      <c r="D115" s="3" t="s">
        <v>1604</v>
      </c>
      <c r="E115" s="3" t="str">
        <f>RJ!B7</f>
        <v>2017-18</v>
      </c>
      <c r="F115" s="143">
        <f>SUMIFS(Capacity!$C$3:$C$263,Capacity!$A$3:$A$263,$C115,Capacity!$B$3:$B$263,$D115)</f>
        <v>2016.0627519965651</v>
      </c>
      <c r="G115" s="143">
        <f>RJ!E9</f>
        <v>2721.3432716918414</v>
      </c>
      <c r="H115" s="11">
        <f>RJ!F9</f>
        <v>1.3536388432519693</v>
      </c>
      <c r="I115" s="3"/>
      <c r="J115" s="143">
        <f>IF($E115="2018-19",G115,G115*(1+Assumptions_EG!$C$6)*(1+INDEX($H$47:$H$55,MATCH($D115,$G$47:$G$55,0))))</f>
        <v>2829.6113120448731</v>
      </c>
      <c r="K115" s="11">
        <f>IF($E115="2018-19",H115,H115*(1+Assumptions_EG!$C$7)*(1+INDEX(Legacy_FC_VC!$I$47:$I$55,MATCH($D115,Assumptions_EG!$B$14:$B$22,0))))</f>
        <v>1.407784396982048</v>
      </c>
      <c r="L115" s="11">
        <f>SUMIF(Legacy_FC_VC!$J$35:$J$43,D115,Legacy_FC_VC!$K$35:$K$43)</f>
        <v>0.32761940072174078</v>
      </c>
      <c r="M115" s="143">
        <f>IF(SUMPRODUCT(--(D115={"EG_COAL","EG_CCGT","EG_OCGT"}))&gt;0,J115,J115+K115*8760*L115)</f>
        <v>6869.8764410906333</v>
      </c>
      <c r="N115" s="11">
        <f>IF(SUMPRODUCT(--(D115={"EG_COAL","EG_CCGT","EG_OCGT"}))&gt;0,K115,0)</f>
        <v>0</v>
      </c>
      <c r="O115" s="513" t="str">
        <f t="shared" si="7"/>
        <v>NREG_LH</v>
      </c>
      <c r="P115" s="3"/>
      <c r="V115" s="209">
        <f>RJ!C9</f>
        <v>1638.5182040000002</v>
      </c>
      <c r="W115" s="209">
        <f t="shared" si="10"/>
        <v>377.54454799656492</v>
      </c>
      <c r="X115" s="303">
        <f t="shared" si="9"/>
        <v>0.23041828102665673</v>
      </c>
      <c r="Z115" s="150"/>
      <c r="AA115" s="150"/>
    </row>
    <row r="116" spans="2:27" x14ac:dyDescent="0.35">
      <c r="B116" s="512" t="s">
        <v>1046</v>
      </c>
      <c r="C116" s="3" t="s">
        <v>752</v>
      </c>
      <c r="D116" s="3" t="s">
        <v>1603</v>
      </c>
      <c r="E116" s="3" t="str">
        <f>RJ!B8</f>
        <v>2017-18</v>
      </c>
      <c r="F116" s="143">
        <f>SUMIFS(Capacity!$C$3:$C$263,Capacity!$A$3:$A$263,$C116,Capacity!$B$3:$B$263,$D116)</f>
        <v>23.85</v>
      </c>
      <c r="G116" s="143">
        <f>RJ!E10</f>
        <v>0</v>
      </c>
      <c r="H116" s="11">
        <f>RJ!F10</f>
        <v>3.7799999999999994</v>
      </c>
      <c r="I116" s="3"/>
      <c r="J116" s="143">
        <f>IF($E116="2018-19",G116,G116*(1+Assumptions_EG!$C$6)*(1+INDEX($H$47:$H$55,MATCH($D116,$G$47:$G$55,0))))</f>
        <v>0</v>
      </c>
      <c r="K116" s="11">
        <f>IF($E116="2018-19",H116,H116*(1+Assumptions_EG!$C$7)*(1+INDEX(Legacy_FC_VC!$I$47:$I$55,MATCH($D116,Assumptions_EG!$B$14:$B$22,0))))</f>
        <v>3.9311999999999996</v>
      </c>
      <c r="L116" s="11">
        <f>SUMIF(Legacy_FC_VC!$J$35:$J$43,D116,Legacy_FC_VC!$K$35:$K$43)</f>
        <v>0.20627943231757243</v>
      </c>
      <c r="M116" s="143">
        <f>IF(SUMPRODUCT(--(D116={"EG_COAL","EG_CCGT","EG_OCGT"}))&gt;0,J116,J116+K116*8760*L116)</f>
        <v>7103.7091699031243</v>
      </c>
      <c r="N116" s="11">
        <f>IF(SUMPRODUCT(--(D116={"EG_COAL","EG_CCGT","EG_OCGT"}))&gt;0,K116,0)</f>
        <v>0</v>
      </c>
      <c r="O116" s="513" t="str">
        <f t="shared" si="7"/>
        <v>NREG_SH</v>
      </c>
      <c r="P116" s="3"/>
      <c r="V116" s="209">
        <f>RJ!C10</f>
        <v>23.85</v>
      </c>
      <c r="W116" s="209">
        <f t="shared" si="10"/>
        <v>0</v>
      </c>
      <c r="X116" s="303">
        <f t="shared" si="9"/>
        <v>0</v>
      </c>
      <c r="Z116" s="150"/>
      <c r="AA116" s="150"/>
    </row>
    <row r="117" spans="2:27" x14ac:dyDescent="0.35">
      <c r="B117" s="512" t="s">
        <v>1046</v>
      </c>
      <c r="C117" s="3" t="s">
        <v>752</v>
      </c>
      <c r="D117" s="3" t="s">
        <v>1605</v>
      </c>
      <c r="E117" s="3" t="str">
        <f>RJ!B9</f>
        <v>2017-18</v>
      </c>
      <c r="F117" s="143">
        <f>SUMIFS(Capacity!$C$3:$C$263,Capacity!$A$3:$A$263,$C117,Capacity!$B$3:$B$263,$D117)</f>
        <v>121.3</v>
      </c>
      <c r="G117" s="143">
        <f>RJ!E11</f>
        <v>0</v>
      </c>
      <c r="H117" s="11">
        <f>RJ!F11</f>
        <v>6.7776024302843316</v>
      </c>
      <c r="I117" s="3"/>
      <c r="J117" s="143">
        <f>IF($E117="2018-19",G117,G117*(1+Assumptions_EG!$C$6)*(1+INDEX($H$47:$H$55,MATCH($D117,$G$47:$G$55,0))))</f>
        <v>0</v>
      </c>
      <c r="K117" s="11">
        <f>IF($E117="2018-19",H117,H117*(1+Assumptions_EG!$C$7)*(1+INDEX(Legacy_FC_VC!$I$47:$I$55,MATCH($D117,Assumptions_EG!$B$14:$B$22,0))))</f>
        <v>7.048706527495705</v>
      </c>
      <c r="L117" s="11">
        <f>SUMIF(Legacy_FC_VC!$J$35:$J$43,D117,Legacy_FC_VC!$K$35:$K$43)</f>
        <v>0.2313655363440307</v>
      </c>
      <c r="M117" s="143">
        <f>IF(SUMPRODUCT(--(D117={"EG_COAL","EG_CCGT","EG_OCGT"}))&gt;0,J117,J117+K117*8760*L117)</f>
        <v>14286.051232487654</v>
      </c>
      <c r="N117" s="11">
        <f>IF(SUMPRODUCT(--(D117={"EG_COAL","EG_CCGT","EG_OCGT"}))&gt;0,K117,0)</f>
        <v>0</v>
      </c>
      <c r="O117" s="513" t="str">
        <f t="shared" si="7"/>
        <v>NREG_BIOMASS</v>
      </c>
      <c r="P117" s="3"/>
      <c r="V117" s="209">
        <f>RJ!C11</f>
        <v>97.000000000000014</v>
      </c>
      <c r="W117" s="209">
        <f t="shared" si="10"/>
        <v>24.299999999999983</v>
      </c>
      <c r="X117" s="303">
        <f t="shared" si="9"/>
        <v>0.25051546391752555</v>
      </c>
      <c r="Z117" s="150"/>
      <c r="AA117" s="150"/>
    </row>
    <row r="118" spans="2:27" x14ac:dyDescent="0.35">
      <c r="B118" s="512" t="s">
        <v>1046</v>
      </c>
      <c r="C118" s="3" t="s">
        <v>752</v>
      </c>
      <c r="D118" s="3" t="s">
        <v>1636</v>
      </c>
      <c r="E118" s="3" t="str">
        <f>RJ!B10</f>
        <v>2017-18</v>
      </c>
      <c r="F118" s="143">
        <f>SUMIFS(Capacity!$C$3:$C$263,Capacity!$A$3:$A$263,$C118,Capacity!$B$3:$B$263,$D118)</f>
        <v>3166.79</v>
      </c>
      <c r="G118" s="143">
        <f>RJ!E12</f>
        <v>2200.7725497463048</v>
      </c>
      <c r="H118" s="11">
        <f>RJ!F12</f>
        <v>3.8859343922440925</v>
      </c>
      <c r="I118" s="3"/>
      <c r="J118" s="143">
        <f>IF($E118="2018-19",G118,G118*(1+Assumptions_EG!$C$6)*(1+INDEX($H$47:$H$55,MATCH($D118,$G$47:$G$55,0))))</f>
        <v>2288.3297990291721</v>
      </c>
      <c r="K118" s="11">
        <f>IF($E118="2018-19",H118,H118*(1+Assumptions_EG!$C$7)*(1+INDEX(Legacy_FC_VC!$I$47:$I$55,MATCH($D118,Assumptions_EG!$B$14:$B$22,0))))</f>
        <v>3.8797168972165021</v>
      </c>
      <c r="L118" s="11">
        <f>SUMIF(Legacy_FC_VC!$J$35:$J$43,D118,Legacy_FC_VC!$K$35:$K$43)</f>
        <v>0.1890889600524939</v>
      </c>
      <c r="M118" s="143">
        <f>IF(SUMPRODUCT(--(D118={"EG_COAL","EG_CCGT","EG_OCGT"}))&gt;0,J118,J118+K118*8760*L118)</f>
        <v>8714.7677075497195</v>
      </c>
      <c r="N118" s="11">
        <f>IF(SUMPRODUCT(--(D118={"EG_COAL","EG_CCGT","EG_OCGT"}))&gt;0,K118,0)</f>
        <v>0</v>
      </c>
      <c r="O118" s="513" t="str">
        <f t="shared" si="7"/>
        <v>NREG_SOLARPV</v>
      </c>
      <c r="P118" s="3"/>
      <c r="V118" s="209">
        <f>RJ!C12</f>
        <v>971.35714285714289</v>
      </c>
      <c r="W118" s="209">
        <f t="shared" si="10"/>
        <v>2195.4328571428568</v>
      </c>
      <c r="X118" s="303">
        <f t="shared" si="9"/>
        <v>2.2601706007794689</v>
      </c>
      <c r="Z118" s="150"/>
      <c r="AA118" s="150"/>
    </row>
    <row r="119" spans="2:27" x14ac:dyDescent="0.35">
      <c r="B119" s="512" t="s">
        <v>1046</v>
      </c>
      <c r="C119" s="3" t="s">
        <v>752</v>
      </c>
      <c r="D119" s="3" t="s">
        <v>1606</v>
      </c>
      <c r="E119" s="3" t="str">
        <f>RJ!B12</f>
        <v>2017-18</v>
      </c>
      <c r="F119" s="143">
        <f>SUMIFS(Capacity!$C$3:$C$263,Capacity!$A$3:$A$263,$C119,Capacity!$B$3:$B$263,$D119)</f>
        <v>4299.72</v>
      </c>
      <c r="G119" s="143">
        <f>RJ!E14</f>
        <v>0</v>
      </c>
      <c r="H119" s="11">
        <f>RJ!F14</f>
        <v>5.0770904958343435</v>
      </c>
      <c r="I119" s="3"/>
      <c r="J119" s="143">
        <f>IF($E119="2018-19",G119,G119*(1+Assumptions_EG!$C$6)*(1+INDEX($H$47:$H$55,MATCH($D119,$G$47:$G$55,0))))</f>
        <v>0</v>
      </c>
      <c r="K119" s="11">
        <f>IF($E119="2018-19",H119,H119*(1+Assumptions_EG!$C$7)*(1+INDEX(Legacy_FC_VC!$I$47:$I$55,MATCH($D119,Assumptions_EG!$B$14:$B$22,0))))</f>
        <v>5.0689671510410088</v>
      </c>
      <c r="L119" s="11">
        <f>SUMIF(Legacy_FC_VC!$J$35:$J$43,D119,Legacy_FC_VC!$K$35:$K$43)</f>
        <v>0.19182955699540097</v>
      </c>
      <c r="M119" s="143">
        <f>IF(SUMPRODUCT(--(D119={"EG_COAL","EG_CCGT","EG_OCGT"}))&gt;0,J119,J119+K119*8760*L119)</f>
        <v>8518.0288535539039</v>
      </c>
      <c r="N119" s="11">
        <f>IF(SUMPRODUCT(--(D119={"EG_COAL","EG_CCGT","EG_OCGT"}))&gt;0,K119,0)</f>
        <v>0</v>
      </c>
      <c r="O119" s="513" t="str">
        <f t="shared" si="7"/>
        <v>NREG_WIND</v>
      </c>
      <c r="P119" s="3"/>
      <c r="V119" s="209">
        <f>RJ!C14</f>
        <v>3593.9285714285711</v>
      </c>
      <c r="W119" s="209">
        <f t="shared" si="10"/>
        <v>705.79142857142915</v>
      </c>
      <c r="X119" s="303">
        <f t="shared" si="9"/>
        <v>0.1963843784159795</v>
      </c>
      <c r="Z119" s="150"/>
      <c r="AA119" s="150"/>
    </row>
    <row r="120" spans="2:27" x14ac:dyDescent="0.35">
      <c r="B120" s="512" t="s">
        <v>1046</v>
      </c>
      <c r="C120" s="3" t="s">
        <v>753</v>
      </c>
      <c r="D120" s="3" t="s">
        <v>1612</v>
      </c>
      <c r="E120" s="3" t="str">
        <f>UP!B4</f>
        <v>2017-18</v>
      </c>
      <c r="F120" s="143">
        <f>SUMIFS(Capacity!$C$3:$C$263,Capacity!$A$3:$A$263,$C120,Capacity!$B$3:$B$263,$D120)</f>
        <v>18437.180660414531</v>
      </c>
      <c r="G120" s="143">
        <f>UP!F4</f>
        <v>7859.8285752748052</v>
      </c>
      <c r="H120" s="11">
        <f>UP!G4</f>
        <v>2.5250933596720855</v>
      </c>
      <c r="I120" s="3"/>
      <c r="J120" s="143">
        <f>IF($E120="2018-19",G120,G120*(1+Assumptions_EG!$C$6)*(1+INDEX($H$47:$H$55,MATCH($D120,$G$47:$G$55,0))))</f>
        <v>8172.5301172698073</v>
      </c>
      <c r="K120" s="11">
        <f>IF($E120="2018-19",H120,H120*(1+Assumptions_EG!$C$7)*(1+INDEX(Legacy_FC_VC!$I$47:$I$55,MATCH($D120,Assumptions_EG!$B$14:$B$22,0))))</f>
        <v>2.7912810004931692</v>
      </c>
      <c r="L120" s="11">
        <f>SUMIF(Legacy_FC_VC!$J$35:$J$43,D120,Legacy_FC_VC!$K$35:$K$43)</f>
        <v>0.85</v>
      </c>
      <c r="M120" s="143">
        <f>IF(SUMPRODUCT(--(D120={"EG_COAL","EG_CCGT","EG_OCGT"}))&gt;0,J120,J120+K120*8760*L120)</f>
        <v>8172.5301172698073</v>
      </c>
      <c r="N120" s="11">
        <f>IF(SUMPRODUCT(--(D120={"EG_COAL","EG_CCGT","EG_OCGT"}))&gt;0,K120,0)</f>
        <v>2.7912810004931692</v>
      </c>
      <c r="O120" s="513" t="str">
        <f t="shared" si="7"/>
        <v>NREG_COAL</v>
      </c>
      <c r="P120" s="3"/>
      <c r="V120" s="209">
        <f>UP!C4</f>
        <v>18273.909999999996</v>
      </c>
      <c r="W120" s="209">
        <f t="shared" si="10"/>
        <v>163.27066041453509</v>
      </c>
      <c r="X120" s="303">
        <f t="shared" si="9"/>
        <v>8.9346319651642768E-3</v>
      </c>
      <c r="Z120" s="150"/>
      <c r="AA120" s="150"/>
    </row>
    <row r="121" spans="2:27" x14ac:dyDescent="0.35">
      <c r="B121" s="512" t="s">
        <v>1046</v>
      </c>
      <c r="C121" s="3" t="s">
        <v>753</v>
      </c>
      <c r="D121" s="3" t="s">
        <v>1613</v>
      </c>
      <c r="E121" s="3" t="str">
        <f>UP!B5</f>
        <v>2017-18</v>
      </c>
      <c r="F121" s="143">
        <f>SUMIFS(Capacity!$C$3:$C$263,Capacity!$A$3:$A$263,$C121,Capacity!$B$3:$B$263,$D121)</f>
        <v>549.49</v>
      </c>
      <c r="G121" s="143">
        <f>UP!F5</f>
        <v>1106.1808853606958</v>
      </c>
      <c r="H121" s="11">
        <f>UP!G5</f>
        <v>2.9357384441939116</v>
      </c>
      <c r="I121" s="3"/>
      <c r="J121" s="143">
        <f>IF($E121="2018-19",G121,G121*(1+Assumptions_EG!$C$6)*(1+INDEX($H$47:$H$55,MATCH($D121,$G$47:$G$55,0))))</f>
        <v>1150.1900472991408</v>
      </c>
      <c r="K121" s="11">
        <f>IF($E121="2018-19",H121,H121*(1+Assumptions_EG!$C$7)*(1+INDEX(Legacy_FC_VC!$I$47:$I$55,MATCH($D121,Assumptions_EG!$B$14:$B$22,0))))</f>
        <v>3.140925619658538</v>
      </c>
      <c r="L121" s="11">
        <f>SUMIF(Legacy_FC_VC!$J$35:$J$43,D121,Legacy_FC_VC!$K$35:$K$43)</f>
        <v>0.85</v>
      </c>
      <c r="M121" s="143">
        <f>IF(SUMPRODUCT(--(D121={"EG_COAL","EG_CCGT","EG_OCGT"}))&gt;0,J121,J121+K121*8760*L121)</f>
        <v>1150.1900472991408</v>
      </c>
      <c r="N121" s="11">
        <f>IF(SUMPRODUCT(--(D121={"EG_COAL","EG_CCGT","EG_OCGT"}))&gt;0,K121,0)</f>
        <v>3.140925619658538</v>
      </c>
      <c r="O121" s="513" t="str">
        <f t="shared" si="7"/>
        <v>NREG_CCGT</v>
      </c>
      <c r="P121" s="3"/>
      <c r="V121" s="209">
        <f>UP!C5</f>
        <v>576.94000000000005</v>
      </c>
      <c r="W121" s="209">
        <f t="shared" si="10"/>
        <v>-27.450000000000045</v>
      </c>
      <c r="X121" s="303">
        <f t="shared" si="9"/>
        <v>-4.7578604360938817E-2</v>
      </c>
      <c r="Z121" s="150"/>
      <c r="AA121" s="150"/>
    </row>
    <row r="122" spans="2:27" x14ac:dyDescent="0.35">
      <c r="B122" s="512" t="s">
        <v>1046</v>
      </c>
      <c r="C122" s="3" t="s">
        <v>753</v>
      </c>
      <c r="D122" s="3" t="s">
        <v>1614</v>
      </c>
      <c r="E122" s="3" t="str">
        <f>UP!B6</f>
        <v>2017-18</v>
      </c>
      <c r="F122" s="143">
        <f>SUMIFS(Capacity!$C$3:$C$263,Capacity!$A$3:$A$263,$C122,Capacity!$B$3:$B$263,$D122)</f>
        <v>0</v>
      </c>
      <c r="G122" s="143">
        <f>UP!F6</f>
        <v>0</v>
      </c>
      <c r="H122" s="11">
        <f>UP!G6</f>
        <v>0</v>
      </c>
      <c r="I122" s="3"/>
      <c r="J122" s="143">
        <f>IF($E122="2018-19",G122,G122*(1+Assumptions_EG!$C$6)*(1+INDEX($H$47:$H$55,MATCH($D122,$G$47:$G$55,0))))</f>
        <v>0</v>
      </c>
      <c r="K122" s="11">
        <f>IF($E122="2018-19",H122,H122*(1+Assumptions_EG!$C$7)*(1+INDEX(Legacy_FC_VC!$I$47:$I$55,MATCH($D122,Assumptions_EG!$B$14:$B$22,0))))</f>
        <v>0</v>
      </c>
      <c r="L122" s="11">
        <f>SUMIF(Legacy_FC_VC!$J$35:$J$43,D122,Legacy_FC_VC!$K$35:$K$43)</f>
        <v>0.85</v>
      </c>
      <c r="M122" s="143">
        <f>IF(SUMPRODUCT(--(D122={"EG_COAL","EG_CCGT","EG_OCGT"}))&gt;0,J122,J122+K122*8760*L122)</f>
        <v>0</v>
      </c>
      <c r="N122" s="11">
        <f>IF(SUMPRODUCT(--(D122={"EG_COAL","EG_CCGT","EG_OCGT"}))&gt;0,K122,0)</f>
        <v>0</v>
      </c>
      <c r="O122" s="513" t="str">
        <f t="shared" si="7"/>
        <v>NREG_OCGT</v>
      </c>
      <c r="P122" s="3"/>
      <c r="V122" s="209">
        <f>UP!C6</f>
        <v>0</v>
      </c>
      <c r="W122" s="209">
        <f t="shared" si="10"/>
        <v>0</v>
      </c>
      <c r="X122" s="303">
        <f t="shared" si="9"/>
        <v>0</v>
      </c>
      <c r="Z122" s="150"/>
      <c r="AA122" s="150"/>
    </row>
    <row r="123" spans="2:27" x14ac:dyDescent="0.35">
      <c r="B123" s="512" t="s">
        <v>1046</v>
      </c>
      <c r="C123" s="3" t="s">
        <v>753</v>
      </c>
      <c r="D123" s="3" t="s">
        <v>1615</v>
      </c>
      <c r="E123" s="3" t="str">
        <f>UP!B7</f>
        <v>2017-18</v>
      </c>
      <c r="F123" s="143">
        <f>SUMIFS(Capacity!$C$3:$C$263,Capacity!$A$3:$A$263,$C123,Capacity!$B$3:$B$263,$D123)</f>
        <v>339.09210545344115</v>
      </c>
      <c r="G123" s="143">
        <f>UP!F7</f>
        <v>0</v>
      </c>
      <c r="H123" s="11">
        <f>UP!G7</f>
        <v>3.1850938010716217</v>
      </c>
      <c r="I123" s="3"/>
      <c r="J123" s="143">
        <f>IF($E123="2018-19",G123,G123*(1+Assumptions_EG!$C$6)*(1+INDEX($H$47:$H$55,MATCH($D123,$G$47:$G$55,0))))</f>
        <v>0</v>
      </c>
      <c r="K123" s="11">
        <f>IF($E123="2018-19",H123,H123*(1+Assumptions_EG!$C$7)*(1+INDEX(Legacy_FC_VC!$I$47:$I$55,MATCH($D123,Assumptions_EG!$B$14:$B$22,0))))</f>
        <v>3.3124975531144867</v>
      </c>
      <c r="L123" s="11">
        <f>SUMIF(Legacy_FC_VC!$J$35:$J$43,D123,Legacy_FC_VC!$K$35:$K$43)</f>
        <v>0.65716939790195539</v>
      </c>
      <c r="M123" s="143">
        <f>IF(SUMPRODUCT(--(D123={"EG_COAL","EG_CCGT","EG_OCGT"}))&gt;0,J123,J123+K123*8760*L123)</f>
        <v>19069.398917379862</v>
      </c>
      <c r="N123" s="11">
        <f>IF(SUMPRODUCT(--(D123={"EG_COAL","EG_CCGT","EG_OCGT"}))&gt;0,K123,0)</f>
        <v>0</v>
      </c>
      <c r="O123" s="513" t="str">
        <f t="shared" si="7"/>
        <v>NREG_PHWR</v>
      </c>
      <c r="P123" s="3"/>
      <c r="V123" s="209">
        <f>UP!C7</f>
        <v>329.12</v>
      </c>
      <c r="W123" s="209">
        <f t="shared" si="10"/>
        <v>9.9721054534411451</v>
      </c>
      <c r="X123" s="303">
        <f t="shared" si="9"/>
        <v>3.0299299506080291E-2</v>
      </c>
      <c r="Z123" s="150"/>
      <c r="AA123" s="150"/>
    </row>
    <row r="124" spans="2:27" x14ac:dyDescent="0.35">
      <c r="B124" s="512" t="s">
        <v>1046</v>
      </c>
      <c r="C124" s="3" t="s">
        <v>753</v>
      </c>
      <c r="D124" s="3" t="s">
        <v>1604</v>
      </c>
      <c r="E124" s="3" t="str">
        <f>UP!B8</f>
        <v>2017-18</v>
      </c>
      <c r="F124" s="143">
        <f>SUMIFS(Capacity!$C$3:$C$263,Capacity!$A$3:$A$263,$C124,Capacity!$B$3:$B$263,$D124)</f>
        <v>3502.168156940882</v>
      </c>
      <c r="G124" s="143">
        <f>UP!F8</f>
        <v>6157.4168521951506</v>
      </c>
      <c r="H124" s="11">
        <f>UP!G8</f>
        <v>1.6460835613245164</v>
      </c>
      <c r="I124" s="3"/>
      <c r="J124" s="143">
        <f>IF($E124="2018-19",G124,G124*(1+Assumptions_EG!$C$6)*(1+INDEX($H$47:$H$55,MATCH($D124,$G$47:$G$55,0))))</f>
        <v>6402.3883202045681</v>
      </c>
      <c r="K124" s="11">
        <f>IF($E124="2018-19",H124,H124*(1+Assumptions_EG!$C$7)*(1+INDEX(Legacy_FC_VC!$I$47:$I$55,MATCH($D124,Assumptions_EG!$B$14:$B$22,0))))</f>
        <v>1.7119269037774971</v>
      </c>
      <c r="L124" s="11">
        <f>SUMIF(Legacy_FC_VC!$J$35:$J$43,D124,Legacy_FC_VC!$K$35:$K$43)</f>
        <v>0.32761940072174078</v>
      </c>
      <c r="M124" s="143">
        <f>IF(SUMPRODUCT(--(D124={"EG_COAL","EG_CCGT","EG_OCGT"}))&gt;0,J124,J124+K124*8760*L124)</f>
        <v>11315.526004948846</v>
      </c>
      <c r="N124" s="11">
        <f>IF(SUMPRODUCT(--(D124={"EG_COAL","EG_CCGT","EG_OCGT"}))&gt;0,K124,0)</f>
        <v>0</v>
      </c>
      <c r="O124" s="513" t="str">
        <f t="shared" si="7"/>
        <v>NREG_LH</v>
      </c>
      <c r="P124" s="3"/>
      <c r="V124" s="209">
        <f>UP!C8</f>
        <v>3382.23</v>
      </c>
      <c r="W124" s="209">
        <f t="shared" si="10"/>
        <v>119.93815694088198</v>
      </c>
      <c r="X124" s="303">
        <f t="shared" si="9"/>
        <v>3.5461265774616745E-2</v>
      </c>
      <c r="Z124" s="150"/>
      <c r="AA124" s="150"/>
    </row>
    <row r="125" spans="2:27" x14ac:dyDescent="0.35">
      <c r="B125" s="512" t="s">
        <v>1046</v>
      </c>
      <c r="C125" s="3" t="s">
        <v>753</v>
      </c>
      <c r="D125" s="3" t="s">
        <v>1603</v>
      </c>
      <c r="E125" s="3" t="str">
        <f>UP!B9</f>
        <v>2017-18</v>
      </c>
      <c r="F125" s="143">
        <f>SUMIFS(Capacity!$C$3:$C$263,Capacity!$A$3:$A$263,$C125,Capacity!$B$3:$B$263,$D125)</f>
        <v>25.1</v>
      </c>
      <c r="G125" s="143">
        <f>UP!F9</f>
        <v>2690.9871244635192</v>
      </c>
      <c r="H125" s="11">
        <f>UP!G9</f>
        <v>0</v>
      </c>
      <c r="I125" s="3"/>
      <c r="J125" s="143">
        <f>IF($E125="2018-19",G125,G125*(1+Assumptions_EG!$C$6)*(1+INDEX($H$47:$H$55,MATCH($D125,$G$47:$G$55,0))))</f>
        <v>2798.047452211064</v>
      </c>
      <c r="K125" s="11">
        <f>IF($E125="2018-19",H125,H125*(1+Assumptions_EG!$C$7)*(1+INDEX(Legacy_FC_VC!$I$47:$I$55,MATCH($D125,Assumptions_EG!$B$14:$B$22,0))))</f>
        <v>0</v>
      </c>
      <c r="L125" s="11">
        <f>SUMIF(Legacy_FC_VC!$J$35:$J$43,D125,Legacy_FC_VC!$K$35:$K$43)</f>
        <v>0.20627943231757243</v>
      </c>
      <c r="M125" s="143">
        <f>IF(SUMPRODUCT(--(D125={"EG_COAL","EG_CCGT","EG_OCGT"}))&gt;0,J125,J125+K125*8760*L125)</f>
        <v>2798.047452211064</v>
      </c>
      <c r="N125" s="11">
        <f>IF(SUMPRODUCT(--(D125={"EG_COAL","EG_CCGT","EG_OCGT"}))&gt;0,K125,0)</f>
        <v>0</v>
      </c>
      <c r="O125" s="513" t="str">
        <f t="shared" si="7"/>
        <v>NREG_SH</v>
      </c>
      <c r="P125" s="3"/>
      <c r="V125" s="209">
        <f>UP!C9</f>
        <v>23.3</v>
      </c>
      <c r="W125" s="209">
        <f t="shared" si="10"/>
        <v>1.8000000000000007</v>
      </c>
      <c r="X125" s="303">
        <f t="shared" ref="X125:X181" si="11">IFERROR(W125/V125,0)</f>
        <v>7.7253218884120206E-2</v>
      </c>
      <c r="Z125" s="150"/>
      <c r="AA125" s="150"/>
    </row>
    <row r="126" spans="2:27" x14ac:dyDescent="0.35">
      <c r="B126" s="512" t="s">
        <v>1046</v>
      </c>
      <c r="C126" s="3" t="s">
        <v>753</v>
      </c>
      <c r="D126" s="3" t="s">
        <v>1605</v>
      </c>
      <c r="E126" s="3" t="str">
        <f>UP!B10</f>
        <v>2017-18</v>
      </c>
      <c r="F126" s="143">
        <f>SUMIFS(Capacity!$C$3:$C$263,Capacity!$A$3:$A$263,$C126,Capacity!$B$3:$B$263,$D126)</f>
        <v>2115.5100000000002</v>
      </c>
      <c r="G126" s="143">
        <f>UP!F10</f>
        <v>0</v>
      </c>
      <c r="H126" s="11">
        <f>UP!G10</f>
        <v>5.18</v>
      </c>
      <c r="I126" s="3"/>
      <c r="J126" s="143">
        <f>IF($E126="2018-19",G126,G126*(1+Assumptions_EG!$C$6)*(1+INDEX($H$47:$H$55,MATCH($D126,$G$47:$G$55,0))))</f>
        <v>0</v>
      </c>
      <c r="K126" s="11">
        <f>IF($E126="2018-19",H126,H126*(1+Assumptions_EG!$C$7)*(1+INDEX(Legacy_FC_VC!$I$47:$I$55,MATCH($D126,Assumptions_EG!$B$14:$B$22,0))))</f>
        <v>5.3872</v>
      </c>
      <c r="L126" s="11">
        <f>SUMIF(Legacy_FC_VC!$J$35:$J$43,D126,Legacy_FC_VC!$K$35:$K$43)</f>
        <v>0.2313655363440307</v>
      </c>
      <c r="M126" s="143">
        <f>IF(SUMPRODUCT(--(D126={"EG_COAL","EG_CCGT","EG_OCGT"}))&gt;0,J126,J126+K126*8760*L126)</f>
        <v>10918.572776358846</v>
      </c>
      <c r="N126" s="11">
        <f>IF(SUMPRODUCT(--(D126={"EG_COAL","EG_CCGT","EG_OCGT"}))&gt;0,K126,0)</f>
        <v>0</v>
      </c>
      <c r="O126" s="513" t="str">
        <f t="shared" si="7"/>
        <v>NREG_BIOMASS</v>
      </c>
      <c r="P126" s="3"/>
      <c r="V126" s="209">
        <v>0</v>
      </c>
      <c r="W126" s="209">
        <f t="shared" si="10"/>
        <v>2115.5100000000002</v>
      </c>
      <c r="X126" s="303">
        <f t="shared" si="11"/>
        <v>0</v>
      </c>
      <c r="Z126" s="150"/>
      <c r="AA126" s="150"/>
    </row>
    <row r="127" spans="2:27" x14ac:dyDescent="0.35">
      <c r="B127" s="512" t="s">
        <v>1046</v>
      </c>
      <c r="C127" s="3" t="s">
        <v>753</v>
      </c>
      <c r="D127" s="3" t="s">
        <v>1636</v>
      </c>
      <c r="E127" s="3" t="str">
        <f>UP!B11</f>
        <v>2017-18</v>
      </c>
      <c r="F127" s="143">
        <f>SUMIFS(Capacity!$C$3:$C$263,Capacity!$A$3:$A$263,$C127,Capacity!$B$3:$B$263,$D127)</f>
        <v>960.1</v>
      </c>
      <c r="G127" s="143">
        <f>UP!F11</f>
        <v>0</v>
      </c>
      <c r="H127" s="11">
        <f>UP!G11</f>
        <v>6.46</v>
      </c>
      <c r="I127" s="3"/>
      <c r="J127" s="143">
        <f>IF($E127="2018-19",G127,G127*(1+Assumptions_EG!$C$6)*(1+INDEX($H$47:$H$55,MATCH($D127,$G$47:$G$55,0))))</f>
        <v>0</v>
      </c>
      <c r="K127" s="11">
        <f>IF($E127="2018-19",H127,H127*(1+Assumptions_EG!$C$7)*(1+INDEX(Legacy_FC_VC!$I$47:$I$55,MATCH($D127,Assumptions_EG!$B$14:$B$22,0))))</f>
        <v>6.4496639999999994</v>
      </c>
      <c r="L127" s="11">
        <f>SUMIF(Legacy_FC_VC!$J$35:$J$43,D127,Legacy_FC_VC!$K$35:$K$43)</f>
        <v>0.1890889600524939</v>
      </c>
      <c r="M127" s="143">
        <f>IF(SUMPRODUCT(--(D127={"EG_COAL","EG_CCGT","EG_OCGT"}))&gt;0,J127,J127+K127*8760*L127)</f>
        <v>10683.347864004549</v>
      </c>
      <c r="N127" s="11">
        <f>IF(SUMPRODUCT(--(D127={"EG_COAL","EG_CCGT","EG_OCGT"}))&gt;0,K127,0)</f>
        <v>0</v>
      </c>
      <c r="O127" s="513" t="str">
        <f t="shared" si="7"/>
        <v>NREG_SOLARPV</v>
      </c>
      <c r="P127" s="3"/>
      <c r="V127" s="209">
        <f>UP!C11</f>
        <v>649.01</v>
      </c>
      <c r="W127" s="209">
        <f t="shared" si="10"/>
        <v>311.09000000000003</v>
      </c>
      <c r="X127" s="303">
        <f t="shared" si="11"/>
        <v>0.47933005654766497</v>
      </c>
      <c r="Z127" s="150"/>
      <c r="AA127" s="150"/>
    </row>
    <row r="128" spans="2:27" x14ac:dyDescent="0.35">
      <c r="B128" s="512" t="s">
        <v>1046</v>
      </c>
      <c r="C128" s="3" t="s">
        <v>753</v>
      </c>
      <c r="D128" s="3" t="s">
        <v>1606</v>
      </c>
      <c r="E128" s="3" t="str">
        <f>UP!B13</f>
        <v>2017-18</v>
      </c>
      <c r="F128" s="143">
        <f>SUMIFS(Capacity!$C$3:$C$263,Capacity!$A$3:$A$263,$C128,Capacity!$B$3:$B$263,$D128)</f>
        <v>0</v>
      </c>
      <c r="G128" s="143">
        <f>UP!F13</f>
        <v>0</v>
      </c>
      <c r="H128" s="11">
        <f>UP!G13</f>
        <v>0</v>
      </c>
      <c r="I128" s="3"/>
      <c r="J128" s="143">
        <f>IF($E128="2018-19",G128,G128*(1+Assumptions_EG!$C$6)*(1+INDEX($H$47:$H$55,MATCH($D128,$G$47:$G$55,0))))</f>
        <v>0</v>
      </c>
      <c r="K128" s="11">
        <f>IF($E128="2018-19",H128,H128*(1+Assumptions_EG!$C$7)*(1+INDEX(Legacy_FC_VC!$I$47:$I$55,MATCH($D128,Assumptions_EG!$B$14:$B$22,0))))</f>
        <v>0</v>
      </c>
      <c r="L128" s="11">
        <f>SUMIF(Legacy_FC_VC!$J$35:$J$43,D128,Legacy_FC_VC!$K$35:$K$43)</f>
        <v>0.19182955699540097</v>
      </c>
      <c r="M128" s="143">
        <f>IF(SUMPRODUCT(--(D128={"EG_COAL","EG_CCGT","EG_OCGT"}))&gt;0,J128,J128+K128*8760*L128)</f>
        <v>0</v>
      </c>
      <c r="N128" s="11">
        <f>IF(SUMPRODUCT(--(D128={"EG_COAL","EG_CCGT","EG_OCGT"}))&gt;0,K128,0)</f>
        <v>0</v>
      </c>
      <c r="O128" s="513" t="str">
        <f t="shared" si="7"/>
        <v>NREG_WIND</v>
      </c>
      <c r="P128" s="3"/>
      <c r="V128" s="209">
        <f>UP!C13</f>
        <v>0</v>
      </c>
      <c r="W128" s="209">
        <f t="shared" si="10"/>
        <v>0</v>
      </c>
      <c r="X128" s="303">
        <f t="shared" si="11"/>
        <v>0</v>
      </c>
      <c r="Z128" s="150"/>
      <c r="AA128" s="150"/>
    </row>
    <row r="129" spans="2:27" x14ac:dyDescent="0.35">
      <c r="B129" s="512" t="s">
        <v>628</v>
      </c>
      <c r="C129" s="3" t="s">
        <v>754</v>
      </c>
      <c r="D129" s="3" t="s">
        <v>1612</v>
      </c>
      <c r="E129" s="3" t="str">
        <f>MP!C14</f>
        <v>2017-18</v>
      </c>
      <c r="F129" s="143">
        <f>SUMIFS(Capacity!$C$3:$C$263,Capacity!$A$3:$A$263,$C129,Capacity!$B$3:$B$263,$D129)</f>
        <v>15410.164381582681</v>
      </c>
      <c r="G129" s="143">
        <f>MP!E4</f>
        <v>6827.3554437612574</v>
      </c>
      <c r="H129" s="11">
        <f>MP!F4</f>
        <v>1.9187250791876282</v>
      </c>
      <c r="I129" s="3"/>
      <c r="J129" s="143">
        <f>IF($E129="2018-19",G129,G129*(1+Assumptions_EG!$C$6)*(1+INDEX($H$47:$H$55,MATCH($D129,$G$47:$G$55,0))))</f>
        <v>7098.980270507237</v>
      </c>
      <c r="K129" s="11">
        <f>IF($E129="2018-19",H129,H129*(1+Assumptions_EG!$C$7)*(1+INDEX(Legacy_FC_VC!$I$47:$I$55,MATCH($D129,Assumptions_EG!$B$14:$B$22,0))))</f>
        <v>2.1209912252122356</v>
      </c>
      <c r="L129" s="11">
        <f>SUMIF(Legacy_FC_VC!$J$35:$J$43,D129,Legacy_FC_VC!$K$35:$K$43)</f>
        <v>0.85</v>
      </c>
      <c r="M129" s="143">
        <f>IF(SUMPRODUCT(--(D129={"EG_COAL","EG_CCGT","EG_OCGT"}))&gt;0,J129,J129+K129*8760*L129)</f>
        <v>7098.980270507237</v>
      </c>
      <c r="N129" s="11">
        <f>IF(SUMPRODUCT(--(D129={"EG_COAL","EG_CCGT","EG_OCGT"}))&gt;0,K129,0)</f>
        <v>2.1209912252122356</v>
      </c>
      <c r="O129" s="513" t="str">
        <f t="shared" si="7"/>
        <v>WREG_COAL</v>
      </c>
      <c r="P129" s="3"/>
      <c r="V129" s="209">
        <f>MP!D14</f>
        <v>7902.03</v>
      </c>
      <c r="W129" s="209">
        <f t="shared" si="10"/>
        <v>7508.1343815826813</v>
      </c>
      <c r="X129" s="303">
        <f t="shared" si="11"/>
        <v>0.95015260402487478</v>
      </c>
      <c r="Z129" s="150"/>
      <c r="AA129" s="150"/>
    </row>
    <row r="130" spans="2:27" x14ac:dyDescent="0.35">
      <c r="B130" s="512" t="s">
        <v>628</v>
      </c>
      <c r="C130" s="3" t="s">
        <v>754</v>
      </c>
      <c r="D130" s="3" t="s">
        <v>1613</v>
      </c>
      <c r="E130" s="3" t="str">
        <f>MP!C15</f>
        <v>2017-18</v>
      </c>
      <c r="F130" s="143">
        <f>SUMIFS(Capacity!$C$3:$C$263,Capacity!$A$3:$A$263,$C130,Capacity!$B$3:$B$263,$D130)</f>
        <v>357</v>
      </c>
      <c r="G130" s="143">
        <f>MP!E5</f>
        <v>6880.9338521400778</v>
      </c>
      <c r="H130" s="11">
        <f>MP!F5</f>
        <v>2.4471595330739304</v>
      </c>
      <c r="I130" s="3"/>
      <c r="J130" s="143">
        <f>IF($E130="2018-19",G130,G130*(1+Assumptions_EG!$C$6)*(1+INDEX($H$47:$H$55,MATCH($D130,$G$47:$G$55,0))))</f>
        <v>7154.690284016785</v>
      </c>
      <c r="K130" s="11">
        <f>IF($E130="2018-19",H130,H130*(1+Assumptions_EG!$C$7)*(1+INDEX(Legacy_FC_VC!$I$47:$I$55,MATCH($D130,Assumptions_EG!$B$14:$B$22,0))))</f>
        <v>2.6181985278780622</v>
      </c>
      <c r="L130" s="11">
        <f>SUMIF(Legacy_FC_VC!$J$35:$J$43,D130,Legacy_FC_VC!$K$35:$K$43)</f>
        <v>0.85</v>
      </c>
      <c r="M130" s="143">
        <f>IF(SUMPRODUCT(--(D130={"EG_COAL","EG_CCGT","EG_OCGT"}))&gt;0,J130,J130+K130*8760*L130)</f>
        <v>7154.690284016785</v>
      </c>
      <c r="N130" s="11">
        <f>IF(SUMPRODUCT(--(D130={"EG_COAL","EG_CCGT","EG_OCGT"}))&gt;0,K130,0)</f>
        <v>2.6181985278780622</v>
      </c>
      <c r="O130" s="513" t="str">
        <f t="shared" ref="O130:O193" si="12">B130&amp;D130</f>
        <v>WREG_CCGT</v>
      </c>
      <c r="P130" s="3"/>
      <c r="V130" s="209">
        <f>MP!D15</f>
        <v>3029.41</v>
      </c>
      <c r="W130" s="209">
        <f t="shared" ref="W130:W161" si="13">F130-V130</f>
        <v>-2672.41</v>
      </c>
      <c r="X130" s="303">
        <f t="shared" si="11"/>
        <v>-0.88215527115841041</v>
      </c>
      <c r="Z130" s="150"/>
      <c r="AA130" s="150"/>
    </row>
    <row r="131" spans="2:27" x14ac:dyDescent="0.35">
      <c r="B131" s="512" t="s">
        <v>628</v>
      </c>
      <c r="C131" s="3" t="s">
        <v>754</v>
      </c>
      <c r="D131" s="3" t="s">
        <v>1614</v>
      </c>
      <c r="E131" s="3" t="str">
        <f>MP!C16</f>
        <v>2017-18</v>
      </c>
      <c r="F131" s="143">
        <f>SUMIFS(Capacity!$C$3:$C$263,Capacity!$A$3:$A$263,$C131,Capacity!$B$3:$B$263,$D131)</f>
        <v>0</v>
      </c>
      <c r="G131" s="143">
        <f>MP!E6</f>
        <v>0</v>
      </c>
      <c r="H131" s="11">
        <f>MP!F6</f>
        <v>0</v>
      </c>
      <c r="I131" s="3"/>
      <c r="J131" s="143">
        <f>IF($E131="2018-19",G131,G131*(1+Assumptions_EG!$C$6)*(1+INDEX($H$47:$H$55,MATCH($D131,$G$47:$G$55,0))))</f>
        <v>0</v>
      </c>
      <c r="K131" s="11">
        <f>IF($E131="2018-19",H131,H131*(1+Assumptions_EG!$C$7)*(1+INDEX(Legacy_FC_VC!$I$47:$I$55,MATCH($D131,Assumptions_EG!$B$14:$B$22,0))))</f>
        <v>0</v>
      </c>
      <c r="L131" s="11">
        <f>SUMIF(Legacy_FC_VC!$J$35:$J$43,D131,Legacy_FC_VC!$K$35:$K$43)</f>
        <v>0.85</v>
      </c>
      <c r="M131" s="143">
        <f>IF(SUMPRODUCT(--(D131={"EG_COAL","EG_CCGT","EG_OCGT"}))&gt;0,J131,J131+K131*8760*L131)</f>
        <v>0</v>
      </c>
      <c r="N131" s="11">
        <f>IF(SUMPRODUCT(--(D131={"EG_COAL","EG_CCGT","EG_OCGT"}))&gt;0,K131,0)</f>
        <v>0</v>
      </c>
      <c r="O131" s="513" t="str">
        <f t="shared" si="12"/>
        <v>WREG_OCGT</v>
      </c>
      <c r="P131" s="3"/>
      <c r="V131" s="209">
        <f>MP!D16</f>
        <v>10931.439999999999</v>
      </c>
      <c r="W131" s="209">
        <f t="shared" si="13"/>
        <v>-10931.439999999999</v>
      </c>
      <c r="X131" s="303">
        <f t="shared" si="11"/>
        <v>-1</v>
      </c>
      <c r="Z131" s="150"/>
      <c r="AA131" s="150"/>
    </row>
    <row r="132" spans="2:27" x14ac:dyDescent="0.35">
      <c r="B132" s="512" t="s">
        <v>628</v>
      </c>
      <c r="C132" s="3" t="s">
        <v>754</v>
      </c>
      <c r="D132" s="3" t="s">
        <v>1615</v>
      </c>
      <c r="E132" s="3" t="str">
        <f>MP!C17</f>
        <v>2017-18</v>
      </c>
      <c r="F132" s="143">
        <f>SUMIFS(Capacity!$C$3:$C$263,Capacity!$A$3:$A$263,$C132,Capacity!$B$3:$B$263,$D132)</f>
        <v>311.61290322580646</v>
      </c>
      <c r="G132" s="143">
        <f>MP!E7</f>
        <v>0</v>
      </c>
      <c r="H132" s="11">
        <f>MP!F7</f>
        <v>2.6385714285714283</v>
      </c>
      <c r="I132" s="3"/>
      <c r="J132" s="143">
        <f>IF($E132="2018-19",G132,G132*(1+Assumptions_EG!$C$6)*(1+INDEX($H$47:$H$55,MATCH($D132,$G$47:$G$55,0))))</f>
        <v>0</v>
      </c>
      <c r="K132" s="11">
        <f>IF($E132="2018-19",H132,H132*(1+Assumptions_EG!$C$7)*(1+INDEX(Legacy_FC_VC!$I$47:$I$55,MATCH($D132,Assumptions_EG!$B$14:$B$22,0))))</f>
        <v>2.7441142857142857</v>
      </c>
      <c r="L132" s="11">
        <f>SUMIF(Legacy_FC_VC!$J$35:$J$43,D132,Legacy_FC_VC!$K$35:$K$43)</f>
        <v>0.65716939790195539</v>
      </c>
      <c r="M132" s="143">
        <f>IF(SUMPRODUCT(--(D132={"EG_COAL","EG_CCGT","EG_OCGT"}))&gt;0,J132,J132+K132*8760*L132)</f>
        <v>15797.327892353022</v>
      </c>
      <c r="N132" s="11">
        <f>IF(SUMPRODUCT(--(D132={"EG_COAL","EG_CCGT","EG_OCGT"}))&gt;0,K132,0)</f>
        <v>0</v>
      </c>
      <c r="O132" s="513" t="str">
        <f t="shared" si="12"/>
        <v>WREG_PHWR</v>
      </c>
      <c r="P132" s="3"/>
      <c r="V132" s="209">
        <f>MP!D17</f>
        <v>257.36</v>
      </c>
      <c r="W132" s="209">
        <f t="shared" si="13"/>
        <v>54.252903225806449</v>
      </c>
      <c r="X132" s="303">
        <f t="shared" si="11"/>
        <v>0.21080549901230355</v>
      </c>
      <c r="Z132" s="150"/>
      <c r="AA132" s="150"/>
    </row>
    <row r="133" spans="2:27" x14ac:dyDescent="0.35">
      <c r="B133" s="512" t="s">
        <v>628</v>
      </c>
      <c r="C133" s="3" t="s">
        <v>754</v>
      </c>
      <c r="D133" s="3" t="s">
        <v>1604</v>
      </c>
      <c r="E133" s="3" t="str">
        <f>MP!C18</f>
        <v>2017-18</v>
      </c>
      <c r="F133" s="143">
        <f>SUMIFS(Capacity!$C$3:$C$263,Capacity!$A$3:$A$263,$C133,Capacity!$B$3:$B$263,$D133)</f>
        <v>3223.66</v>
      </c>
      <c r="G133" s="143">
        <f>MP!E8</f>
        <v>4195.7241794640158</v>
      </c>
      <c r="H133" s="11">
        <f>MP!F8</f>
        <v>0.57025895814513694</v>
      </c>
      <c r="I133" s="3"/>
      <c r="J133" s="143">
        <f>IF($E133="2018-19",G133,G133*(1+Assumptions_EG!$C$6)*(1+INDEX($H$47:$H$55,MATCH($D133,$G$47:$G$55,0))))</f>
        <v>4362.6501382350998</v>
      </c>
      <c r="K133" s="11">
        <f>IF($E133="2018-19",H133,H133*(1+Assumptions_EG!$C$7)*(1+INDEX(Legacy_FC_VC!$I$47:$I$55,MATCH($D133,Assumptions_EG!$B$14:$B$22,0))))</f>
        <v>0.59306931647094241</v>
      </c>
      <c r="L133" s="11">
        <f>SUMIF(Legacy_FC_VC!$J$35:$J$43,D133,Legacy_FC_VC!$K$35:$K$43)</f>
        <v>0.32761940072174078</v>
      </c>
      <c r="M133" s="143">
        <f>IF(SUMPRODUCT(--(D133={"EG_COAL","EG_CCGT","EG_OCGT"}))&gt;0,J133,J133+K133*8760*L133)</f>
        <v>6064.7270213013835</v>
      </c>
      <c r="N133" s="11">
        <f>IF(SUMPRODUCT(--(D133={"EG_COAL","EG_CCGT","EG_OCGT"}))&gt;0,K133,0)</f>
        <v>0</v>
      </c>
      <c r="O133" s="513" t="str">
        <f t="shared" si="12"/>
        <v>WREG_LH</v>
      </c>
      <c r="P133" s="3"/>
      <c r="V133" s="209">
        <f>MP!D18</f>
        <v>0</v>
      </c>
      <c r="W133" s="209">
        <f t="shared" si="13"/>
        <v>3223.66</v>
      </c>
      <c r="X133" s="303">
        <f t="shared" si="11"/>
        <v>0</v>
      </c>
      <c r="Z133" s="150"/>
      <c r="AA133" s="150"/>
    </row>
    <row r="134" spans="2:27" x14ac:dyDescent="0.35">
      <c r="B134" s="512" t="s">
        <v>628</v>
      </c>
      <c r="C134" s="3" t="s">
        <v>754</v>
      </c>
      <c r="D134" s="3" t="s">
        <v>1603</v>
      </c>
      <c r="E134" s="3" t="str">
        <f>MP!C19</f>
        <v>2017-18</v>
      </c>
      <c r="F134" s="143">
        <f>SUMIFS(Capacity!$C$3:$C$263,Capacity!$A$3:$A$263,$C134,Capacity!$B$3:$B$263,$D134)</f>
        <v>95.91</v>
      </c>
      <c r="G134" s="143">
        <f>MP!E9</f>
        <v>0</v>
      </c>
      <c r="H134" s="11">
        <f>MP!F9</f>
        <v>3.81</v>
      </c>
      <c r="I134" s="3"/>
      <c r="J134" s="143">
        <f>IF($E134="2018-19",G134,G134*(1+Assumptions_EG!$C$6)*(1+INDEX($H$47:$H$55,MATCH($D134,$G$47:$G$55,0))))</f>
        <v>0</v>
      </c>
      <c r="K134" s="11">
        <f>IF($E134="2018-19",H134,H134*(1+Assumptions_EG!$C$7)*(1+INDEX(Legacy_FC_VC!$I$47:$I$55,MATCH($D134,Assumptions_EG!$B$14:$B$22,0))))</f>
        <v>3.9624000000000001</v>
      </c>
      <c r="L134" s="11">
        <f>SUMIF(Legacy_FC_VC!$J$35:$J$43,D134,Legacy_FC_VC!$K$35:$K$43)</f>
        <v>0.20627943231757243</v>
      </c>
      <c r="M134" s="143">
        <f>IF(SUMPRODUCT(--(D134={"EG_COAL","EG_CCGT","EG_OCGT"}))&gt;0,J134,J134+K134*8760*L134)</f>
        <v>7160.087814108706</v>
      </c>
      <c r="N134" s="11">
        <f>IF(SUMPRODUCT(--(D134={"EG_COAL","EG_CCGT","EG_OCGT"}))&gt;0,K134,0)</f>
        <v>0</v>
      </c>
      <c r="O134" s="513" t="str">
        <f t="shared" si="12"/>
        <v>WREG_SH</v>
      </c>
      <c r="P134" s="3"/>
      <c r="V134" s="209">
        <f>MP!D19</f>
        <v>345.96000000000004</v>
      </c>
      <c r="W134" s="209">
        <f t="shared" si="13"/>
        <v>-250.05000000000004</v>
      </c>
      <c r="X134" s="303">
        <f t="shared" si="11"/>
        <v>-0.72277141866111694</v>
      </c>
      <c r="Z134" s="150"/>
      <c r="AA134" s="150"/>
    </row>
    <row r="135" spans="2:27" x14ac:dyDescent="0.35">
      <c r="B135" s="512" t="s">
        <v>628</v>
      </c>
      <c r="C135" s="3" t="s">
        <v>754</v>
      </c>
      <c r="D135" s="3" t="s">
        <v>1605</v>
      </c>
      <c r="E135" s="3" t="str">
        <f>MP!C20</f>
        <v>2017-18</v>
      </c>
      <c r="F135" s="143">
        <f>SUMIFS(Capacity!$C$3:$C$263,Capacity!$A$3:$A$263,$C135,Capacity!$B$3:$B$263,$D135)</f>
        <v>120.75</v>
      </c>
      <c r="G135" s="143">
        <f>MP!E10</f>
        <v>0</v>
      </c>
      <c r="H135" s="11">
        <f>MP!F10</f>
        <v>5.76</v>
      </c>
      <c r="I135" s="3"/>
      <c r="J135" s="143">
        <f>IF($E135="2018-19",G135,G135*(1+Assumptions_EG!$C$6)*(1+INDEX($H$47:$H$55,MATCH($D135,$G$47:$G$55,0))))</f>
        <v>0</v>
      </c>
      <c r="K135" s="11">
        <f>IF($E135="2018-19",H135,H135*(1+Assumptions_EG!$C$7)*(1+INDEX(Legacy_FC_VC!$I$47:$I$55,MATCH($D135,Assumptions_EG!$B$14:$B$22,0))))</f>
        <v>5.9904000000000002</v>
      </c>
      <c r="L135" s="11">
        <f>SUMIF(Legacy_FC_VC!$J$35:$J$43,D135,Legacy_FC_VC!$K$35:$K$43)</f>
        <v>0.2313655363440307</v>
      </c>
      <c r="M135" s="143">
        <f>IF(SUMPRODUCT(--(D135={"EG_COAL","EG_CCGT","EG_OCGT"}))&gt;0,J135,J135+K135*8760*L135)</f>
        <v>12141.115674097866</v>
      </c>
      <c r="N135" s="11">
        <f>IF(SUMPRODUCT(--(D135={"EG_COAL","EG_CCGT","EG_OCGT"}))&gt;0,K135,0)</f>
        <v>0</v>
      </c>
      <c r="O135" s="513" t="str">
        <f t="shared" si="12"/>
        <v>WREG_BIOMASS</v>
      </c>
      <c r="P135" s="3"/>
      <c r="V135" s="209">
        <f>MP!D20</f>
        <v>3321</v>
      </c>
      <c r="W135" s="209">
        <f t="shared" si="13"/>
        <v>-3200.25</v>
      </c>
      <c r="X135" s="303">
        <f t="shared" si="11"/>
        <v>-0.96364046973803075</v>
      </c>
      <c r="Z135" s="150"/>
      <c r="AA135" s="150"/>
    </row>
    <row r="136" spans="2:27" x14ac:dyDescent="0.35">
      <c r="B136" s="512" t="s">
        <v>628</v>
      </c>
      <c r="C136" s="3" t="s">
        <v>754</v>
      </c>
      <c r="D136" s="3" t="s">
        <v>1636</v>
      </c>
      <c r="E136" s="3" t="str">
        <f>MP!C21</f>
        <v>2017-18</v>
      </c>
      <c r="F136" s="143">
        <f>SUMIFS(Capacity!$C$3:$C$263,Capacity!$A$3:$A$263,$C136,Capacity!$B$3:$B$263,$D136)</f>
        <v>1840.16</v>
      </c>
      <c r="G136" s="143">
        <f>MP!E11</f>
        <v>0</v>
      </c>
      <c r="H136" s="11">
        <f>MP!F11</f>
        <v>5.95</v>
      </c>
      <c r="I136" s="3"/>
      <c r="J136" s="143">
        <f>IF($E136="2018-19",G136,G136*(1+Assumptions_EG!$C$6)*(1+INDEX($H$47:$H$55,MATCH($D136,$G$47:$G$55,0))))</f>
        <v>0</v>
      </c>
      <c r="K136" s="11">
        <f>IF($E136="2018-19",H136,H136*(1+Assumptions_EG!$C$7)*(1+INDEX(Legacy_FC_VC!$I$47:$I$55,MATCH($D136,Assumptions_EG!$B$14:$B$22,0))))</f>
        <v>5.94048</v>
      </c>
      <c r="L136" s="11">
        <f>SUMIF(Legacy_FC_VC!$J$35:$J$43,D136,Legacy_FC_VC!$K$35:$K$43)</f>
        <v>0.1890889600524939</v>
      </c>
      <c r="M136" s="143">
        <f>IF(SUMPRODUCT(--(D136={"EG_COAL","EG_CCGT","EG_OCGT"}))&gt;0,J136,J136+K136*8760*L136)</f>
        <v>9839.9256642147175</v>
      </c>
      <c r="N136" s="11">
        <f>IF(SUMPRODUCT(--(D136={"EG_COAL","EG_CCGT","EG_OCGT"}))&gt;0,K136,0)</f>
        <v>0</v>
      </c>
      <c r="O136" s="513" t="str">
        <f t="shared" si="12"/>
        <v>WREG_SOLARPV</v>
      </c>
      <c r="P136" s="3"/>
      <c r="V136" s="209">
        <f>MP!D21</f>
        <v>30</v>
      </c>
      <c r="W136" s="209">
        <f t="shared" si="13"/>
        <v>1810.16</v>
      </c>
      <c r="X136" s="303">
        <f t="shared" si="11"/>
        <v>60.338666666666668</v>
      </c>
      <c r="Z136" s="150"/>
      <c r="AA136" s="150"/>
    </row>
    <row r="137" spans="2:27" x14ac:dyDescent="0.35">
      <c r="B137" s="512" t="s">
        <v>628</v>
      </c>
      <c r="C137" s="3" t="s">
        <v>754</v>
      </c>
      <c r="D137" s="3" t="s">
        <v>1606</v>
      </c>
      <c r="E137" s="3" t="str">
        <f>MP!C23</f>
        <v>2017-18</v>
      </c>
      <c r="F137" s="143">
        <f>SUMIFS(Capacity!$C$3:$C$263,Capacity!$A$3:$A$263,$C137,Capacity!$B$3:$B$263,$D137)</f>
        <v>2519.89</v>
      </c>
      <c r="G137" s="143">
        <f>MP!E13</f>
        <v>0</v>
      </c>
      <c r="H137" s="11">
        <f>MP!F13</f>
        <v>5.38</v>
      </c>
      <c r="I137" s="3"/>
      <c r="J137" s="143">
        <f>IF($E137="2018-19",G137,G137*(1+Assumptions_EG!$C$6)*(1+INDEX($H$47:$H$55,MATCH($D137,$G$47:$G$55,0))))</f>
        <v>0</v>
      </c>
      <c r="K137" s="11">
        <f>IF($E137="2018-19",H137,H137*(1+Assumptions_EG!$C$7)*(1+INDEX(Legacy_FC_VC!$I$47:$I$55,MATCH($D137,Assumptions_EG!$B$14:$B$22,0))))</f>
        <v>5.3713920000000002</v>
      </c>
      <c r="L137" s="11">
        <f>SUMIF(Legacy_FC_VC!$J$35:$J$43,D137,Legacy_FC_VC!$K$35:$K$43)</f>
        <v>0.19182955699540097</v>
      </c>
      <c r="M137" s="143">
        <f>IF(SUMPRODUCT(--(D137={"EG_COAL","EG_CCGT","EG_OCGT"}))&gt;0,J137,J137+K137*8760*L137)</f>
        <v>9026.2317108036932</v>
      </c>
      <c r="N137" s="11">
        <f>IF(SUMPRODUCT(--(D137={"EG_COAL","EG_CCGT","EG_OCGT"}))&gt;0,K137,0)</f>
        <v>0</v>
      </c>
      <c r="O137" s="513" t="str">
        <f t="shared" si="12"/>
        <v>WREG_WIND</v>
      </c>
      <c r="P137" s="3"/>
      <c r="V137" s="209">
        <f>MP!D23</f>
        <v>1025</v>
      </c>
      <c r="W137" s="209">
        <f t="shared" si="13"/>
        <v>1494.8899999999999</v>
      </c>
      <c r="X137" s="303">
        <f t="shared" si="11"/>
        <v>1.4584292682926827</v>
      </c>
      <c r="Z137" s="150"/>
      <c r="AA137" s="150"/>
    </row>
    <row r="138" spans="2:27" x14ac:dyDescent="0.35">
      <c r="B138" s="512" t="s">
        <v>644</v>
      </c>
      <c r="C138" s="3" t="s">
        <v>797</v>
      </c>
      <c r="D138" s="3" t="s">
        <v>1612</v>
      </c>
      <c r="E138" s="3" t="str">
        <f>WB!B4</f>
        <v>2017-18</v>
      </c>
      <c r="F138" s="143">
        <f>SUMIFS(Capacity!$C$3:$C$263,Capacity!$A$3:$A$263,$C138,Capacity!$B$3:$B$263,$D138)</f>
        <v>16249.526196543926</v>
      </c>
      <c r="G138" s="143">
        <f>WB!E4</f>
        <v>5851.397082200624</v>
      </c>
      <c r="H138" s="11">
        <f>WB!F4</f>
        <v>2.2618272085135507</v>
      </c>
      <c r="I138" s="3"/>
      <c r="J138" s="143">
        <f>IF($E138="2018-19",G138,G138*(1+Assumptions_EG!$C$6)*(1+INDEX($H$47:$H$55,MATCH($D138,$G$47:$G$55,0))))</f>
        <v>6084.1936213242798</v>
      </c>
      <c r="K138" s="11">
        <f>IF($E138="2018-19",H138,H138*(1+Assumptions_EG!$C$7)*(1+INDEX(Legacy_FC_VC!$I$47:$I$55,MATCH($D138,Assumptions_EG!$B$14:$B$22,0))))</f>
        <v>2.5002621346017273</v>
      </c>
      <c r="L138" s="11">
        <f>SUMIF(Legacy_FC_VC!$J$35:$J$43,D138,Legacy_FC_VC!$K$35:$K$43)</f>
        <v>0.85</v>
      </c>
      <c r="M138" s="143">
        <f>IF(SUMPRODUCT(--(D138={"EG_COAL","EG_CCGT","EG_OCGT"}))&gt;0,J138,J138+K138*8760*L138)</f>
        <v>6084.1936213242798</v>
      </c>
      <c r="N138" s="11">
        <f>IF(SUMPRODUCT(--(D138={"EG_COAL","EG_CCGT","EG_OCGT"}))&gt;0,K138,0)</f>
        <v>2.5002621346017273</v>
      </c>
      <c r="O138" s="513" t="str">
        <f t="shared" si="12"/>
        <v>EREG_COAL</v>
      </c>
      <c r="P138" s="3"/>
      <c r="V138" s="209">
        <f>WB!C4</f>
        <v>6093.6830126370587</v>
      </c>
      <c r="W138" s="209">
        <f t="shared" si="13"/>
        <v>10155.843183906867</v>
      </c>
      <c r="X138" s="303">
        <f t="shared" si="11"/>
        <v>1.6666182279002231</v>
      </c>
      <c r="Z138" s="150"/>
      <c r="AA138" s="150"/>
    </row>
    <row r="139" spans="2:27" x14ac:dyDescent="0.35">
      <c r="B139" s="512" t="s">
        <v>644</v>
      </c>
      <c r="C139" s="3" t="s">
        <v>797</v>
      </c>
      <c r="D139" s="3" t="s">
        <v>1613</v>
      </c>
      <c r="E139" s="3" t="str">
        <f>WB!B5</f>
        <v>2017-18</v>
      </c>
      <c r="F139" s="143">
        <f>SUMIFS(Capacity!$C$3:$C$263,Capacity!$A$3:$A$263,$C139,Capacity!$B$3:$B$263,$D139)</f>
        <v>100</v>
      </c>
      <c r="G139" s="143">
        <f>WB!E5</f>
        <v>2373.8226149627189</v>
      </c>
      <c r="H139" s="11">
        <f>WB!F5</f>
        <v>3.1806741615505532</v>
      </c>
      <c r="I139" s="3"/>
      <c r="J139" s="143">
        <f>IF($E139="2018-19",G139,G139*(1+Assumptions_EG!$C$6)*(1+INDEX($H$47:$H$55,MATCH($D139,$G$47:$G$55,0))))</f>
        <v>2468.2646228274384</v>
      </c>
      <c r="K139" s="11">
        <f>IF($E139="2018-19",H139,H139*(1+Assumptions_EG!$C$7)*(1+INDEX(Legacy_FC_VC!$I$47:$I$55,MATCH($D139,Assumptions_EG!$B$14:$B$22,0))))</f>
        <v>3.4029805964349711</v>
      </c>
      <c r="L139" s="11">
        <f>SUMIF(Legacy_FC_VC!$J$35:$J$43,D139,Legacy_FC_VC!$K$35:$K$43)</f>
        <v>0.85</v>
      </c>
      <c r="M139" s="143">
        <f>IF(SUMPRODUCT(--(D139={"EG_COAL","EG_CCGT","EG_OCGT"}))&gt;0,J139,J139+K139*8760*L139)</f>
        <v>2468.2646228274384</v>
      </c>
      <c r="N139" s="11">
        <f>IF(SUMPRODUCT(--(D139={"EG_COAL","EG_CCGT","EG_OCGT"}))&gt;0,K139,0)</f>
        <v>3.4029805964349711</v>
      </c>
      <c r="O139" s="513" t="str">
        <f t="shared" si="12"/>
        <v>EREG_CCGT</v>
      </c>
      <c r="P139" s="3"/>
      <c r="V139" s="209">
        <f>WB!C5</f>
        <v>0</v>
      </c>
      <c r="W139" s="209">
        <f t="shared" si="13"/>
        <v>100</v>
      </c>
      <c r="X139" s="303">
        <f t="shared" si="11"/>
        <v>0</v>
      </c>
      <c r="Z139" s="150"/>
      <c r="AA139" s="150"/>
    </row>
    <row r="140" spans="2:27" x14ac:dyDescent="0.35">
      <c r="B140" s="512" t="s">
        <v>644</v>
      </c>
      <c r="C140" s="3" t="s">
        <v>797</v>
      </c>
      <c r="D140" s="3" t="s">
        <v>1614</v>
      </c>
      <c r="E140" s="3" t="str">
        <f>WB!B6</f>
        <v>2017-18</v>
      </c>
      <c r="F140" s="143">
        <f>SUMIFS(Capacity!$C$3:$C$263,Capacity!$A$3:$A$263,$C140,Capacity!$B$3:$B$263,$D140)</f>
        <v>0</v>
      </c>
      <c r="G140" s="143">
        <f>WB!E6</f>
        <v>0</v>
      </c>
      <c r="H140" s="11">
        <f>WB!F6</f>
        <v>0</v>
      </c>
      <c r="I140" s="3"/>
      <c r="J140" s="143">
        <f>IF($E140="2018-19",G140,G140*(1+Assumptions_EG!$C$6)*(1+INDEX($H$47:$H$55,MATCH($D140,$G$47:$G$55,0))))</f>
        <v>0</v>
      </c>
      <c r="K140" s="11">
        <f>IF($E140="2018-19",H140,H140*(1+Assumptions_EG!$C$7)*(1+INDEX(Legacy_FC_VC!$I$47:$I$55,MATCH($D140,Assumptions_EG!$B$14:$B$22,0))))</f>
        <v>0</v>
      </c>
      <c r="L140" s="11">
        <f>SUMIF(Legacy_FC_VC!$J$35:$J$43,D140,Legacy_FC_VC!$K$35:$K$43)</f>
        <v>0.85</v>
      </c>
      <c r="M140" s="143">
        <f>IF(SUMPRODUCT(--(D140={"EG_COAL","EG_CCGT","EG_OCGT"}))&gt;0,J140,J140+K140*8760*L140)</f>
        <v>0</v>
      </c>
      <c r="N140" s="11">
        <f>IF(SUMPRODUCT(--(D140={"EG_COAL","EG_CCGT","EG_OCGT"}))&gt;0,K140,0)</f>
        <v>0</v>
      </c>
      <c r="O140" s="513" t="str">
        <f t="shared" si="12"/>
        <v>EREG_OCGT</v>
      </c>
      <c r="P140" s="3"/>
      <c r="V140" s="209">
        <f>WB!C6</f>
        <v>0</v>
      </c>
      <c r="W140" s="209">
        <f t="shared" si="13"/>
        <v>0</v>
      </c>
      <c r="X140" s="303">
        <f t="shared" si="11"/>
        <v>0</v>
      </c>
      <c r="Z140" s="150"/>
      <c r="AA140" s="150"/>
    </row>
    <row r="141" spans="2:27" x14ac:dyDescent="0.35">
      <c r="B141" s="512" t="s">
        <v>644</v>
      </c>
      <c r="C141" s="3" t="s">
        <v>797</v>
      </c>
      <c r="D141" s="3" t="s">
        <v>1615</v>
      </c>
      <c r="E141" s="3" t="str">
        <f>WB!B7</f>
        <v>2017-18</v>
      </c>
      <c r="F141" s="143">
        <f>SUMIFS(Capacity!$C$3:$C$263,Capacity!$A$3:$A$263,$C141,Capacity!$B$3:$B$263,$D141)</f>
        <v>0</v>
      </c>
      <c r="G141" s="143">
        <f>WB!E7</f>
        <v>0</v>
      </c>
      <c r="H141" s="11">
        <f>WB!F7</f>
        <v>0</v>
      </c>
      <c r="I141" s="3"/>
      <c r="J141" s="143">
        <f>IF($E141="2018-19",G141,G141*(1+Assumptions_EG!$C$6)*(1+INDEX($H$47:$H$55,MATCH($D141,$G$47:$G$55,0))))</f>
        <v>0</v>
      </c>
      <c r="K141" s="11">
        <f>IF($E141="2018-19",H141,H141*(1+Assumptions_EG!$C$7)*(1+INDEX(Legacy_FC_VC!$I$47:$I$55,MATCH($D141,Assumptions_EG!$B$14:$B$22,0))))</f>
        <v>0</v>
      </c>
      <c r="L141" s="11">
        <f>SUMIF(Legacy_FC_VC!$J$35:$J$43,D141,Legacy_FC_VC!$K$35:$K$43)</f>
        <v>0.65716939790195539</v>
      </c>
      <c r="M141" s="143">
        <f>IF(SUMPRODUCT(--(D141={"EG_COAL","EG_CCGT","EG_OCGT"}))&gt;0,J141,J141+K141*8760*L141)</f>
        <v>0</v>
      </c>
      <c r="N141" s="11">
        <f>IF(SUMPRODUCT(--(D141={"EG_COAL","EG_CCGT","EG_OCGT"}))&gt;0,K141,0)</f>
        <v>0</v>
      </c>
      <c r="O141" s="513" t="str">
        <f t="shared" si="12"/>
        <v>EREG_PHWR</v>
      </c>
      <c r="P141" s="3"/>
      <c r="V141" s="209">
        <f>WB!C7</f>
        <v>0</v>
      </c>
      <c r="W141" s="209">
        <f t="shared" si="13"/>
        <v>0</v>
      </c>
      <c r="X141" s="303">
        <f t="shared" si="11"/>
        <v>0</v>
      </c>
      <c r="Z141" s="150"/>
      <c r="AA141" s="150"/>
    </row>
    <row r="142" spans="2:27" x14ac:dyDescent="0.35">
      <c r="B142" s="512" t="s">
        <v>644</v>
      </c>
      <c r="C142" s="3" t="s">
        <v>797</v>
      </c>
      <c r="D142" s="3" t="s">
        <v>1604</v>
      </c>
      <c r="E142" s="3" t="str">
        <f>WB!B8</f>
        <v>2017-18</v>
      </c>
      <c r="F142" s="143">
        <f>SUMIFS(Capacity!$C$3:$C$263,Capacity!$A$3:$A$263,$C142,Capacity!$B$3:$B$263,$D142)</f>
        <v>1609.8886302994367</v>
      </c>
      <c r="G142" s="143">
        <f>WB!E8</f>
        <v>1370.9623533062054</v>
      </c>
      <c r="H142" s="11">
        <f>WB!F8</f>
        <v>2.2566122358175749</v>
      </c>
      <c r="I142" s="3"/>
      <c r="J142" s="143">
        <f>IF($E142="2018-19",G142,G142*(1+Assumptions_EG!$C$6)*(1+INDEX($H$47:$H$55,MATCH($D142,$G$47:$G$55,0))))</f>
        <v>1425.505787401517</v>
      </c>
      <c r="K142" s="11">
        <f>IF($E142="2018-19",H142,H142*(1+Assumptions_EG!$C$7)*(1+INDEX(Legacy_FC_VC!$I$47:$I$55,MATCH($D142,Assumptions_EG!$B$14:$B$22,0))))</f>
        <v>2.346876725250278</v>
      </c>
      <c r="L142" s="11">
        <f>SUMIF(Legacy_FC_VC!$J$35:$J$43,D142,Legacy_FC_VC!$K$35:$K$43)</f>
        <v>0.32761940072174078</v>
      </c>
      <c r="M142" s="143">
        <f>IF(SUMPRODUCT(--(D142={"EG_COAL","EG_CCGT","EG_OCGT"}))&gt;0,J142,J142+K142*8760*L142)</f>
        <v>8160.9151409395636</v>
      </c>
      <c r="N142" s="11">
        <f>IF(SUMPRODUCT(--(D142={"EG_COAL","EG_CCGT","EG_OCGT"}))&gt;0,K142,0)</f>
        <v>0</v>
      </c>
      <c r="O142" s="513" t="str">
        <f t="shared" si="12"/>
        <v>EREG_LH</v>
      </c>
      <c r="P142" s="3"/>
      <c r="V142" s="209">
        <f>WB!C8</f>
        <v>2934.3020000000001</v>
      </c>
      <c r="W142" s="209">
        <f t="shared" si="13"/>
        <v>-1324.4133697005634</v>
      </c>
      <c r="X142" s="303">
        <f t="shared" si="11"/>
        <v>-0.45135550795404267</v>
      </c>
      <c r="Z142" s="150"/>
      <c r="AA142" s="150"/>
    </row>
    <row r="143" spans="2:27" x14ac:dyDescent="0.35">
      <c r="B143" s="512" t="s">
        <v>644</v>
      </c>
      <c r="C143" s="3" t="s">
        <v>797</v>
      </c>
      <c r="D143" s="3" t="s">
        <v>1603</v>
      </c>
      <c r="E143" s="3" t="str">
        <f>WB!B9</f>
        <v>2017-18</v>
      </c>
      <c r="F143" s="143">
        <f>SUMIFS(Capacity!$C$3:$C$263,Capacity!$A$3:$A$263,$C143,Capacity!$B$3:$B$263,$D143)</f>
        <v>98.5</v>
      </c>
      <c r="G143" s="143">
        <f>WB!E9</f>
        <v>496.12115018349061</v>
      </c>
      <c r="H143" s="11">
        <f>WB!F9</f>
        <v>0</v>
      </c>
      <c r="I143" s="3"/>
      <c r="J143" s="143">
        <f>IF($E143="2018-19",G143,G143*(1+Assumptions_EG!$C$6)*(1+INDEX($H$47:$H$55,MATCH($D143,$G$47:$G$55,0))))</f>
        <v>515.85922044710151</v>
      </c>
      <c r="K143" s="11">
        <f>IF($E143="2018-19",H143,H143*(1+Assumptions_EG!$C$7)*(1+INDEX(Legacy_FC_VC!$I$47:$I$55,MATCH($D143,Assumptions_EG!$B$14:$B$22,0))))</f>
        <v>0</v>
      </c>
      <c r="L143" s="11">
        <f>SUMIF(Legacy_FC_VC!$J$35:$J$43,D143,Legacy_FC_VC!$K$35:$K$43)</f>
        <v>0.20627943231757243</v>
      </c>
      <c r="M143" s="143">
        <f>IF(SUMPRODUCT(--(D143={"EG_COAL","EG_CCGT","EG_OCGT"}))&gt;0,J143,J143+K143*8760*L143)</f>
        <v>515.85922044710151</v>
      </c>
      <c r="N143" s="11">
        <f>IF(SUMPRODUCT(--(D143={"EG_COAL","EG_CCGT","EG_OCGT"}))&gt;0,K143,0)</f>
        <v>0</v>
      </c>
      <c r="O143" s="513" t="str">
        <f t="shared" si="12"/>
        <v>EREG_SH</v>
      </c>
      <c r="P143" s="3"/>
      <c r="V143" s="209">
        <f>WB!C9</f>
        <v>89.35</v>
      </c>
      <c r="W143" s="209">
        <f t="shared" si="13"/>
        <v>9.1500000000000057</v>
      </c>
      <c r="X143" s="303">
        <f t="shared" si="11"/>
        <v>0.10240626748740914</v>
      </c>
      <c r="Z143" s="150"/>
      <c r="AA143" s="150"/>
    </row>
    <row r="144" spans="2:27" x14ac:dyDescent="0.35">
      <c r="B144" s="512" t="s">
        <v>644</v>
      </c>
      <c r="C144" s="3" t="s">
        <v>797</v>
      </c>
      <c r="D144" s="16" t="s">
        <v>1605</v>
      </c>
      <c r="E144" s="3" t="str">
        <f>WB!B10</f>
        <v>2017-18</v>
      </c>
      <c r="F144" s="143">
        <f>SUMIFS(Capacity!$C$3:$C$263,Capacity!$A$3:$A$263,$C144,Capacity!$B$3:$B$263,$D144)</f>
        <v>319.92</v>
      </c>
      <c r="G144" s="143">
        <f>WB!E10</f>
        <v>0</v>
      </c>
      <c r="H144" s="11">
        <f>WB!F10</f>
        <v>6.925795053003533</v>
      </c>
      <c r="I144" s="3"/>
      <c r="J144" s="143">
        <f>IF($E144="2018-19",G144,G144*(1+Assumptions_EG!$C$6)*(1+INDEX($H$47:$H$55,MATCH($D144,$G$47:$G$55,0))))</f>
        <v>0</v>
      </c>
      <c r="K144" s="11">
        <f>IF($E144="2018-19",H144,H144*(1+Assumptions_EG!$C$7)*(1+INDEX(Legacy_FC_VC!$I$47:$I$55,MATCH($D144,Assumptions_EG!$B$14:$B$22,0))))</f>
        <v>7.2028268551236749</v>
      </c>
      <c r="L144" s="11">
        <f>SUMIF(Legacy_FC_VC!$J$35:$J$43,D144,Legacy_FC_VC!$K$35:$K$43)</f>
        <v>0.2313655363440307</v>
      </c>
      <c r="M144" s="143">
        <f>IF(SUMPRODUCT(--(D144={"EG_COAL","EG_CCGT","EG_OCGT"}))&gt;0,J144,J144+K144*8760*L144)</f>
        <v>14598.416471112962</v>
      </c>
      <c r="N144" s="11">
        <f>IF(SUMPRODUCT(--(D144={"EG_COAL","EG_CCGT","EG_OCGT"}))&gt;0,K144,0)</f>
        <v>0</v>
      </c>
      <c r="O144" s="513" t="str">
        <f t="shared" si="12"/>
        <v>EREG_BIOMASS</v>
      </c>
      <c r="P144" s="3"/>
      <c r="V144" s="209">
        <f>WB!C10</f>
        <v>0</v>
      </c>
      <c r="W144" s="209">
        <f t="shared" si="13"/>
        <v>319.92</v>
      </c>
      <c r="X144" s="303">
        <f t="shared" si="11"/>
        <v>0</v>
      </c>
      <c r="Z144" s="150"/>
      <c r="AA144" s="150"/>
    </row>
    <row r="145" spans="2:27" x14ac:dyDescent="0.35">
      <c r="B145" s="512" t="s">
        <v>644</v>
      </c>
      <c r="C145" s="3" t="s">
        <v>797</v>
      </c>
      <c r="D145" s="3" t="s">
        <v>1636</v>
      </c>
      <c r="E145" s="3" t="str">
        <f>WB!B11</f>
        <v>2017-18</v>
      </c>
      <c r="F145" s="143">
        <f>SUMIFS(Capacity!$C$3:$C$263,Capacity!$A$3:$A$263,$C145,Capacity!$B$3:$B$263,$D145)</f>
        <v>75.95</v>
      </c>
      <c r="G145" s="143">
        <f>WB!E11</f>
        <v>0</v>
      </c>
      <c r="H145" s="11">
        <f>WB!F11</f>
        <v>10.684668110918546</v>
      </c>
      <c r="I145" s="3"/>
      <c r="J145" s="143">
        <f>IF($E145="2018-19",G145,G145*(1+Assumptions_EG!$C$6)*(1+INDEX($H$47:$H$55,MATCH($D145,$G$47:$G$55,0))))</f>
        <v>0</v>
      </c>
      <c r="K145" s="509">
        <f>IF($E145="2018-19",H145,H145*(1+Assumptions_EG!$C$7)*(1+INDEX(Legacy_FC_VC!$I$47:$I$55,MATCH($D145,Assumptions_EG!$B$14:$B$22,0))))</f>
        <v>10.667572641941076</v>
      </c>
      <c r="L145" s="509">
        <f>SUMIF(Legacy_FC_VC!$J$35:$J$43,D145,Legacy_FC_VC!$K$35:$K$43)</f>
        <v>0.1890889600524939</v>
      </c>
      <c r="M145" s="143">
        <f>IF(SUMPRODUCT(--(D145={"EG_COAL","EG_CCGT","EG_OCGT"}))&gt;0,J145,J145+K145*8760*L145)</f>
        <v>17669.973102225878</v>
      </c>
      <c r="N145" s="11">
        <f>IF(SUMPRODUCT(--(D145={"EG_COAL","EG_CCGT","EG_OCGT"}))&gt;0,K145,0)</f>
        <v>0</v>
      </c>
      <c r="O145" s="513" t="str">
        <f t="shared" si="12"/>
        <v>EREG_SOLARPV</v>
      </c>
      <c r="P145" s="3"/>
      <c r="V145" s="209">
        <f>WB!C11</f>
        <v>40</v>
      </c>
      <c r="W145" s="209">
        <f t="shared" si="13"/>
        <v>35.950000000000003</v>
      </c>
      <c r="X145" s="303">
        <f t="shared" si="11"/>
        <v>0.89875000000000005</v>
      </c>
      <c r="Z145" s="150"/>
      <c r="AA145" s="150"/>
    </row>
    <row r="146" spans="2:27" x14ac:dyDescent="0.35">
      <c r="B146" s="512" t="s">
        <v>644</v>
      </c>
      <c r="C146" s="3" t="s">
        <v>797</v>
      </c>
      <c r="D146" s="3" t="s">
        <v>1606</v>
      </c>
      <c r="E146" s="3" t="str">
        <f>WB!B13</f>
        <v>2017-18</v>
      </c>
      <c r="F146" s="143">
        <f>SUMIFS(Capacity!$C$3:$C$263,Capacity!$A$3:$A$263,$C146,Capacity!$B$3:$B$263,$D146)</f>
        <v>0</v>
      </c>
      <c r="G146" s="143">
        <f>WB!E13</f>
        <v>0</v>
      </c>
      <c r="H146" s="11">
        <f>WB!F13</f>
        <v>4.693297390025732</v>
      </c>
      <c r="I146" s="3"/>
      <c r="J146" s="143">
        <f>IF($E146="2018-19",G146,G146*(1+Assumptions_EG!$C$6)*(1+INDEX($H$47:$H$55,MATCH($D146,$G$47:$G$55,0))))</f>
        <v>0</v>
      </c>
      <c r="K146" s="11">
        <f>IF($E146="2018-19",H146,H146*(1+Assumptions_EG!$C$7)*(1+INDEX(Legacy_FC_VC!$I$47:$I$55,MATCH($D146,Assumptions_EG!$B$14:$B$22,0))))</f>
        <v>4.6857881142016904</v>
      </c>
      <c r="L146" s="11">
        <f>SUMIF(Legacy_FC_VC!$J$35:$J$43,D146,Legacy_FC_VC!$K$35:$K$43)</f>
        <v>0.19182955699540097</v>
      </c>
      <c r="M146" s="143">
        <f>IF(SUMPRODUCT(--(D146={"EG_COAL","EG_CCGT","EG_OCGT"}))&gt;0,J146,J146+K146*8760*L146)</f>
        <v>7874.1244851454403</v>
      </c>
      <c r="N146" s="11">
        <f>IF(SUMPRODUCT(--(D146={"EG_COAL","EG_CCGT","EG_OCGT"}))&gt;0,K146,0)</f>
        <v>0</v>
      </c>
      <c r="O146" s="513" t="str">
        <f t="shared" si="12"/>
        <v>EREG_WIND</v>
      </c>
      <c r="P146" s="3"/>
      <c r="V146" s="209">
        <f>WB!C13</f>
        <v>0</v>
      </c>
      <c r="W146" s="209">
        <f t="shared" si="13"/>
        <v>0</v>
      </c>
      <c r="X146" s="303">
        <f t="shared" si="11"/>
        <v>0</v>
      </c>
      <c r="Z146" s="150"/>
      <c r="AA146" s="150"/>
    </row>
    <row r="147" spans="2:27" x14ac:dyDescent="0.35">
      <c r="B147" s="512" t="s">
        <v>1046</v>
      </c>
      <c r="C147" s="3" t="s">
        <v>799</v>
      </c>
      <c r="D147" s="3" t="s">
        <v>1612</v>
      </c>
      <c r="E147" s="3" t="str">
        <f>PB!B4</f>
        <v>2017-18</v>
      </c>
      <c r="F147" s="143">
        <f>SUMIFS(Capacity!$C$3:$C$263,Capacity!$A$3:$A$263,$C147,Capacity!$B$3:$B$263,$D147)</f>
        <v>7926.7575623790099</v>
      </c>
      <c r="G147" s="143">
        <f>PB!E4</f>
        <v>10207.195004801035</v>
      </c>
      <c r="H147" s="11">
        <f>PB!F4</f>
        <v>2.0419708046774936</v>
      </c>
      <c r="I147" s="3"/>
      <c r="J147" s="143">
        <f>IF($E147="2018-19",G147,G147*(1+Assumptions_EG!$C$6)*(1+INDEX($H$47:$H$55,MATCH($D147,$G$47:$G$55,0))))</f>
        <v>10613.286001172844</v>
      </c>
      <c r="K147" s="11">
        <f>IF($E147="2018-19",H147,H147*(1+Assumptions_EG!$C$7)*(1+INDEX(Legacy_FC_VC!$I$47:$I$55,MATCH($D147,Assumptions_EG!$B$14:$B$22,0))))</f>
        <v>2.2572291392022881</v>
      </c>
      <c r="L147" s="11">
        <f>SUMIF(Legacy_FC_VC!$J$35:$J$43,D147,Legacy_FC_VC!$K$35:$K$43)</f>
        <v>0.85</v>
      </c>
      <c r="M147" s="143">
        <f>IF(SUMPRODUCT(--(D147={"EG_COAL","EG_CCGT","EG_OCGT"}))&gt;0,J147,J147+K147*8760*L147)</f>
        <v>10613.286001172844</v>
      </c>
      <c r="N147" s="11">
        <f>IF(SUMPRODUCT(--(D147={"EG_COAL","EG_CCGT","EG_OCGT"}))&gt;0,K147,0)</f>
        <v>2.2572291392022881</v>
      </c>
      <c r="O147" s="513" t="str">
        <f t="shared" si="12"/>
        <v>NREG_COAL</v>
      </c>
      <c r="P147" s="3"/>
      <c r="V147" s="209">
        <f>PB!C4</f>
        <v>5157.0681245181204</v>
      </c>
      <c r="W147" s="209">
        <f t="shared" si="13"/>
        <v>2769.6894378608895</v>
      </c>
      <c r="X147" s="303">
        <f t="shared" si="11"/>
        <v>0.53706667644994333</v>
      </c>
      <c r="Z147" s="150"/>
      <c r="AA147" s="150"/>
    </row>
    <row r="148" spans="2:27" x14ac:dyDescent="0.35">
      <c r="B148" s="512" t="s">
        <v>1046</v>
      </c>
      <c r="C148" s="3" t="s">
        <v>799</v>
      </c>
      <c r="D148" s="3" t="s">
        <v>1613</v>
      </c>
      <c r="E148" s="3" t="str">
        <f>PB!B5</f>
        <v>2017-18</v>
      </c>
      <c r="F148" s="143">
        <f>SUMIFS(Capacity!$C$3:$C$263,Capacity!$A$3:$A$263,$C148,Capacity!$B$3:$B$263,$D148)</f>
        <v>414.01</v>
      </c>
      <c r="G148" s="143">
        <f>PB!E5</f>
        <v>5589.0144862358839</v>
      </c>
      <c r="H148" s="11">
        <f>PB!F5</f>
        <v>2.7257417405517854</v>
      </c>
      <c r="I148" s="3"/>
      <c r="J148" s="143">
        <f>IF($E148="2018-19",G148,G148*(1+Assumptions_EG!$C$6)*(1+INDEX($H$47:$H$55,MATCH($D148,$G$47:$G$55,0))))</f>
        <v>5811.3721917940184</v>
      </c>
      <c r="K148" s="11">
        <f>IF($E148="2018-19",H148,H148*(1+Assumptions_EG!$C$7)*(1+INDEX(Legacy_FC_VC!$I$47:$I$55,MATCH($D148,Assumptions_EG!$B$14:$B$22,0))))</f>
        <v>2.9162516444214481</v>
      </c>
      <c r="L148" s="11">
        <f>SUMIF(Legacy_FC_VC!$J$35:$J$43,D148,Legacy_FC_VC!$K$35:$K$43)</f>
        <v>0.85</v>
      </c>
      <c r="M148" s="143">
        <f>IF(SUMPRODUCT(--(D148={"EG_COAL","EG_CCGT","EG_OCGT"}))&gt;0,J148,J148+K148*8760*L148)</f>
        <v>5811.3721917940184</v>
      </c>
      <c r="N148" s="11">
        <f>IF(SUMPRODUCT(--(D148={"EG_COAL","EG_CCGT","EG_OCGT"}))&gt;0,K148,0)</f>
        <v>2.9162516444214481</v>
      </c>
      <c r="O148" s="513" t="str">
        <f t="shared" si="12"/>
        <v>NREG_CCGT</v>
      </c>
      <c r="P148" s="3"/>
      <c r="V148" s="209">
        <f>PB!C5</f>
        <v>401.09039000000001</v>
      </c>
      <c r="W148" s="209">
        <f t="shared" si="13"/>
        <v>12.919609999999977</v>
      </c>
      <c r="X148" s="303">
        <f t="shared" si="11"/>
        <v>3.2211218024944394E-2</v>
      </c>
      <c r="Z148" s="150"/>
      <c r="AA148" s="150"/>
    </row>
    <row r="149" spans="2:27" x14ac:dyDescent="0.35">
      <c r="B149" s="512" t="s">
        <v>1046</v>
      </c>
      <c r="C149" s="3" t="s">
        <v>799</v>
      </c>
      <c r="D149" s="3" t="s">
        <v>1614</v>
      </c>
      <c r="E149" s="3" t="str">
        <f>PB!B6</f>
        <v>2017-18</v>
      </c>
      <c r="F149" s="143">
        <f>SUMIFS(Capacity!$C$3:$C$263,Capacity!$A$3:$A$263,$C149,Capacity!$B$3:$B$263,$D149)</f>
        <v>0</v>
      </c>
      <c r="G149" s="143">
        <f>PB!E6</f>
        <v>0</v>
      </c>
      <c r="H149" s="11">
        <f>PB!F6</f>
        <v>0</v>
      </c>
      <c r="I149" s="3"/>
      <c r="J149" s="143">
        <f>IF($E149="2018-19",G149,G149*(1+Assumptions_EG!$C$6)*(1+INDEX($H$47:$H$55,MATCH($D149,$G$47:$G$55,0))))</f>
        <v>0</v>
      </c>
      <c r="K149" s="11">
        <f>IF($E149="2018-19",H149,H149*(1+Assumptions_EG!$C$7)*(1+INDEX(Legacy_FC_VC!$I$47:$I$55,MATCH($D149,Assumptions_EG!$B$14:$B$22,0))))</f>
        <v>0</v>
      </c>
      <c r="L149" s="11">
        <f>SUMIF(Legacy_FC_VC!$J$35:$J$43,D149,Legacy_FC_VC!$K$35:$K$43)</f>
        <v>0.85</v>
      </c>
      <c r="M149" s="143">
        <f>IF(SUMPRODUCT(--(D149={"EG_COAL","EG_CCGT","EG_OCGT"}))&gt;0,J149,J149+K149*8760*L149)</f>
        <v>0</v>
      </c>
      <c r="N149" s="11">
        <f>IF(SUMPRODUCT(--(D149={"EG_COAL","EG_CCGT","EG_OCGT"}))&gt;0,K149,0)</f>
        <v>0</v>
      </c>
      <c r="O149" s="513" t="str">
        <f t="shared" si="12"/>
        <v>NREG_OCGT</v>
      </c>
      <c r="P149" s="3"/>
      <c r="V149" s="209">
        <f>PB!C6</f>
        <v>0</v>
      </c>
      <c r="W149" s="209">
        <f t="shared" si="13"/>
        <v>0</v>
      </c>
      <c r="X149" s="303">
        <f t="shared" si="11"/>
        <v>0</v>
      </c>
      <c r="Z149" s="150"/>
      <c r="AA149" s="150"/>
    </row>
    <row r="150" spans="2:27" x14ac:dyDescent="0.35">
      <c r="B150" s="512" t="s">
        <v>1046</v>
      </c>
      <c r="C150" s="3" t="s">
        <v>799</v>
      </c>
      <c r="D150" s="3" t="s">
        <v>1615</v>
      </c>
      <c r="E150" s="3" t="str">
        <f>PB!B7</f>
        <v>2017-18</v>
      </c>
      <c r="F150" s="143">
        <f>SUMIFS(Capacity!$C$3:$C$263,Capacity!$A$3:$A$263,$C150,Capacity!$B$3:$B$263,$D150)</f>
        <v>230.53999334769844</v>
      </c>
      <c r="G150" s="143">
        <f>PB!E7</f>
        <v>0</v>
      </c>
      <c r="H150" s="11">
        <f>PB!F7</f>
        <v>2.915447792696384</v>
      </c>
      <c r="I150" s="3"/>
      <c r="J150" s="143">
        <f>IF($E150="2018-19",G150,G150*(1+Assumptions_EG!$C$6)*(1+INDEX($H$47:$H$55,MATCH($D150,$G$47:$G$55,0))))</f>
        <v>0</v>
      </c>
      <c r="K150" s="11">
        <f>IF($E150="2018-19",H150,H150*(1+Assumptions_EG!$C$7)*(1+INDEX(Legacy_FC_VC!$I$47:$I$55,MATCH($D150,Assumptions_EG!$B$14:$B$22,0))))</f>
        <v>3.0320657044042396</v>
      </c>
      <c r="L150" s="11">
        <f>SUMIF(Legacy_FC_VC!$J$35:$J$43,D150,Legacy_FC_VC!$K$35:$K$43)</f>
        <v>0.65716939790195539</v>
      </c>
      <c r="M150" s="143">
        <f>IF(SUMPRODUCT(--(D150={"EG_COAL","EG_CCGT","EG_OCGT"}))&gt;0,J150,J150+K150*8760*L150)</f>
        <v>17455.007749855522</v>
      </c>
      <c r="N150" s="11">
        <f>IF(SUMPRODUCT(--(D150={"EG_COAL","EG_CCGT","EG_OCGT"}))&gt;0,K150,0)</f>
        <v>0</v>
      </c>
      <c r="O150" s="513" t="str">
        <f t="shared" si="12"/>
        <v>NREG_PHWR</v>
      </c>
      <c r="P150" s="3"/>
      <c r="V150" s="209">
        <f>PB!C7</f>
        <v>196.81200000000001</v>
      </c>
      <c r="W150" s="209">
        <f t="shared" si="13"/>
        <v>33.72799334769843</v>
      </c>
      <c r="X150" s="303">
        <f t="shared" si="11"/>
        <v>0.17137163052912641</v>
      </c>
      <c r="Z150" s="150"/>
      <c r="AA150" s="150"/>
    </row>
    <row r="151" spans="2:27" x14ac:dyDescent="0.35">
      <c r="B151" s="512" t="s">
        <v>1046</v>
      </c>
      <c r="C151" s="3" t="s">
        <v>799</v>
      </c>
      <c r="D151" s="3" t="s">
        <v>1604</v>
      </c>
      <c r="E151" s="3" t="str">
        <f>PB!B8</f>
        <v>2017-18</v>
      </c>
      <c r="F151" s="143">
        <f>SUMIFS(Capacity!$C$3:$C$263,Capacity!$A$3:$A$263,$C151,Capacity!$B$3:$B$263,$D151)</f>
        <v>3960.1199211449912</v>
      </c>
      <c r="G151" s="143">
        <f>PB!E8</f>
        <v>8148.7775070741172</v>
      </c>
      <c r="H151" s="11">
        <f>PB!F8</f>
        <v>1.8562635063200805</v>
      </c>
      <c r="I151" s="3"/>
      <c r="J151" s="143">
        <f>IF($E151="2018-19",G151,G151*(1+Assumptions_EG!$C$6)*(1+INDEX($H$47:$H$55,MATCH($D151,$G$47:$G$55,0))))</f>
        <v>8472.974818431785</v>
      </c>
      <c r="K151" s="11">
        <f>IF($E151="2018-19",H151,H151*(1+Assumptions_EG!$C$7)*(1+INDEX(Legacy_FC_VC!$I$47:$I$55,MATCH($D151,Assumptions_EG!$B$14:$B$22,0))))</f>
        <v>1.9305140465728838</v>
      </c>
      <c r="L151" s="11">
        <f>SUMIF(Legacy_FC_VC!$J$35:$J$43,D151,Legacy_FC_VC!$K$35:$K$43)</f>
        <v>0.32761940072174078</v>
      </c>
      <c r="M151" s="143">
        <f>IF(SUMPRODUCT(--(D151={"EG_COAL","EG_CCGT","EG_OCGT"}))&gt;0,J151,J151+K151*8760*L151)</f>
        <v>14013.445788434237</v>
      </c>
      <c r="N151" s="11">
        <f>IF(SUMPRODUCT(--(D151={"EG_COAL","EG_CCGT","EG_OCGT"}))&gt;0,K151,0)</f>
        <v>0</v>
      </c>
      <c r="O151" s="513" t="str">
        <f t="shared" si="12"/>
        <v>NREG_LH</v>
      </c>
      <c r="P151" s="3"/>
      <c r="V151" s="209">
        <f>PB!C8</f>
        <v>1041.4077440000001</v>
      </c>
      <c r="W151" s="209">
        <f t="shared" si="13"/>
        <v>2918.7121771449911</v>
      </c>
      <c r="X151" s="303">
        <f t="shared" si="11"/>
        <v>2.8026603354554953</v>
      </c>
      <c r="Z151" s="150"/>
      <c r="AA151" s="150"/>
    </row>
    <row r="152" spans="2:27" x14ac:dyDescent="0.35">
      <c r="B152" s="512" t="s">
        <v>1046</v>
      </c>
      <c r="C152" s="3" t="s">
        <v>799</v>
      </c>
      <c r="D152" s="3" t="s">
        <v>1603</v>
      </c>
      <c r="E152" s="3" t="str">
        <f>PB!B9</f>
        <v>2017-18</v>
      </c>
      <c r="F152" s="143">
        <f>SUMIFS(Capacity!$C$3:$C$263,Capacity!$A$3:$A$263,$C152,Capacity!$B$3:$B$263,$D152)</f>
        <v>173.55</v>
      </c>
      <c r="G152" s="143">
        <f>PB!E9</f>
        <v>0</v>
      </c>
      <c r="H152" s="11">
        <f>PB!F9</f>
        <v>2.42</v>
      </c>
      <c r="I152" s="3"/>
      <c r="J152" s="143">
        <f>IF($E152="2018-19",G152,G152*(1+Assumptions_EG!$C$6)*(1+INDEX($H$47:$H$55,MATCH($D152,$G$47:$G$55,0))))</f>
        <v>0</v>
      </c>
      <c r="K152" s="11">
        <f>IF($E152="2018-19",H152,H152*(1+Assumptions_EG!$C$7)*(1+INDEX(Legacy_FC_VC!$I$47:$I$55,MATCH($D152,Assumptions_EG!$B$14:$B$22,0))))</f>
        <v>2.5167999999999999</v>
      </c>
      <c r="L152" s="11">
        <f>SUMIF(Legacy_FC_VC!$J$35:$J$43,D152,Legacy_FC_VC!$K$35:$K$43)</f>
        <v>0.20627943231757243</v>
      </c>
      <c r="M152" s="143">
        <f>IF(SUMPRODUCT(--(D152={"EG_COAL","EG_CCGT","EG_OCGT"}))&gt;0,J152,J152+K152*8760*L152)</f>
        <v>4547.8772992501481</v>
      </c>
      <c r="N152" s="11">
        <f>IF(SUMPRODUCT(--(D152={"EG_COAL","EG_CCGT","EG_OCGT"}))&gt;0,K152,0)</f>
        <v>0</v>
      </c>
      <c r="O152" s="513" t="str">
        <f t="shared" si="12"/>
        <v>NREG_SH</v>
      </c>
      <c r="P152" s="3"/>
      <c r="V152" s="209">
        <f>PB!C9</f>
        <v>172.66666666666666</v>
      </c>
      <c r="W152" s="209">
        <f t="shared" si="13"/>
        <v>0.88333333333335418</v>
      </c>
      <c r="X152" s="303">
        <f t="shared" si="11"/>
        <v>5.1158301158302369E-3</v>
      </c>
      <c r="Z152" s="150"/>
      <c r="AA152" s="150"/>
    </row>
    <row r="153" spans="2:27" x14ac:dyDescent="0.35">
      <c r="B153" s="512" t="s">
        <v>1046</v>
      </c>
      <c r="C153" s="3" t="s">
        <v>799</v>
      </c>
      <c r="D153" s="3" t="s">
        <v>1605</v>
      </c>
      <c r="E153" s="3" t="str">
        <f>PB!B10</f>
        <v>2017-18</v>
      </c>
      <c r="F153" s="143">
        <f>SUMIFS(Capacity!$C$3:$C$263,Capacity!$A$3:$A$263,$C153,Capacity!$B$3:$B$263,$D153)</f>
        <v>326.35000000000002</v>
      </c>
      <c r="G153" s="143">
        <f>PB!E10</f>
        <v>0</v>
      </c>
      <c r="H153" s="11">
        <f>PB!F10</f>
        <v>7.1047233362808022</v>
      </c>
      <c r="I153" s="3"/>
      <c r="J153" s="143">
        <f>IF($E153="2018-19",G153,G153*(1+Assumptions_EG!$C$6)*(1+INDEX($H$47:$H$55,MATCH($D153,$G$47:$G$55,0))))</f>
        <v>0</v>
      </c>
      <c r="K153" s="11">
        <f>IF($E153="2018-19",H153,H153*(1+Assumptions_EG!$C$7)*(1+INDEX(Legacy_FC_VC!$I$47:$I$55,MATCH($D153,Assumptions_EG!$B$14:$B$22,0))))</f>
        <v>7.3889122697320344</v>
      </c>
      <c r="L153" s="11">
        <f>SUMIF(Legacy_FC_VC!$J$35:$J$43,D153,Legacy_FC_VC!$K$35:$K$43)</f>
        <v>0.2313655363440307</v>
      </c>
      <c r="M153" s="143">
        <f>IF(SUMPRODUCT(--(D153={"EG_COAL","EG_CCGT","EG_OCGT"}))&gt;0,J153,J153+K153*8760*L153)</f>
        <v>14975.567336501343</v>
      </c>
      <c r="N153" s="11">
        <f>IF(SUMPRODUCT(--(D153={"EG_COAL","EG_CCGT","EG_OCGT"}))&gt;0,K153,0)</f>
        <v>0</v>
      </c>
      <c r="O153" s="513" t="str">
        <f t="shared" si="12"/>
        <v>NREG_BIOMASS</v>
      </c>
      <c r="P153" s="3"/>
      <c r="V153" s="209">
        <f>PB!C10</f>
        <v>280.31666666666666</v>
      </c>
      <c r="W153" s="209">
        <f t="shared" si="13"/>
        <v>46.03333333333336</v>
      </c>
      <c r="X153" s="303">
        <f t="shared" si="11"/>
        <v>0.1642190379927464</v>
      </c>
      <c r="Z153" s="150"/>
      <c r="AA153" s="150"/>
    </row>
    <row r="154" spans="2:27" x14ac:dyDescent="0.35">
      <c r="B154" s="512" t="s">
        <v>1046</v>
      </c>
      <c r="C154" s="3" t="s">
        <v>799</v>
      </c>
      <c r="D154" s="3" t="s">
        <v>1636</v>
      </c>
      <c r="E154" s="3" t="str">
        <f>PB!B11</f>
        <v>2017-18</v>
      </c>
      <c r="F154" s="143">
        <f>SUMIFS(Capacity!$C$3:$C$263,Capacity!$A$3:$A$263,$C154,Capacity!$B$3:$B$263,$D154)</f>
        <v>905.62</v>
      </c>
      <c r="G154" s="143">
        <f>PB!E11</f>
        <v>0</v>
      </c>
      <c r="H154" s="11">
        <f>PB!F11</f>
        <v>5.7130472906992971</v>
      </c>
      <c r="I154" s="3"/>
      <c r="J154" s="143">
        <f>IF($E154="2018-19",G154,G154*(1+Assumptions_EG!$C$6)*(1+INDEX($H$47:$H$55,MATCH($D154,$G$47:$G$55,0))))</f>
        <v>0</v>
      </c>
      <c r="K154" s="11">
        <f>IF($E154="2018-19",H154,H154*(1+Assumptions_EG!$C$7)*(1+INDEX(Legacy_FC_VC!$I$47:$I$55,MATCH($D154,Assumptions_EG!$B$14:$B$22,0))))</f>
        <v>5.7039064150341785</v>
      </c>
      <c r="L154" s="11">
        <f>SUMIF(Legacy_FC_VC!$J$35:$J$43,D154,Legacy_FC_VC!$K$35:$K$43)</f>
        <v>0.1890889600524939</v>
      </c>
      <c r="M154" s="143">
        <f>IF(SUMPRODUCT(--(D154={"EG_COAL","EG_CCGT","EG_OCGT"}))&gt;0,J154,J154+K154*8760*L154)</f>
        <v>9448.060614558719</v>
      </c>
      <c r="N154" s="11">
        <f>IF(SUMPRODUCT(--(D154={"EG_COAL","EG_CCGT","EG_OCGT"}))&gt;0,K154,0)</f>
        <v>0</v>
      </c>
      <c r="O154" s="513" t="str">
        <f t="shared" si="12"/>
        <v>NREG_SOLARPV</v>
      </c>
      <c r="P154" s="3"/>
      <c r="V154" s="209">
        <f>PB!C11</f>
        <v>868.39666666666665</v>
      </c>
      <c r="W154" s="209">
        <f t="shared" si="13"/>
        <v>37.223333333333358</v>
      </c>
      <c r="X154" s="303">
        <f t="shared" si="11"/>
        <v>4.2864435991232915E-2</v>
      </c>
      <c r="Z154" s="150"/>
      <c r="AA154" s="150"/>
    </row>
    <row r="155" spans="2:27" x14ac:dyDescent="0.35">
      <c r="B155" s="512" t="s">
        <v>1046</v>
      </c>
      <c r="C155" s="3" t="s">
        <v>799</v>
      </c>
      <c r="D155" s="3" t="s">
        <v>1606</v>
      </c>
      <c r="E155" s="3" t="str">
        <f>PB!B13</f>
        <v>2017-18</v>
      </c>
      <c r="F155" s="143">
        <f>SUMIFS(Capacity!$C$3:$C$263,Capacity!$A$3:$A$263,$C155,Capacity!$B$3:$B$263,$D155)</f>
        <v>0</v>
      </c>
      <c r="G155" s="143">
        <f>PB!E13</f>
        <v>0</v>
      </c>
      <c r="H155" s="11">
        <f>PB!F13</f>
        <v>0</v>
      </c>
      <c r="I155" s="3"/>
      <c r="J155" s="143">
        <f>IF($E155="2018-19",G155,G155*(1+Assumptions_EG!$C$6)*(1+INDEX($H$47:$H$55,MATCH($D155,$G$47:$G$55,0))))</f>
        <v>0</v>
      </c>
      <c r="K155" s="11">
        <f>IF($E155="2018-19",H155,H155*(1+Assumptions_EG!$C$7)*(1+INDEX(Legacy_FC_VC!$I$47:$I$55,MATCH($D155,Assumptions_EG!$B$14:$B$22,0))))</f>
        <v>0</v>
      </c>
      <c r="L155" s="11">
        <f>SUMIF(Legacy_FC_VC!$J$35:$J$43,D155,Legacy_FC_VC!$K$35:$K$43)</f>
        <v>0.19182955699540097</v>
      </c>
      <c r="M155" s="143">
        <f>IF(SUMPRODUCT(--(D155={"EG_COAL","EG_CCGT","EG_OCGT"}))&gt;0,J155,J155+K155*8760*L155)</f>
        <v>0</v>
      </c>
      <c r="N155" s="11">
        <f>IF(SUMPRODUCT(--(D155={"EG_COAL","EG_CCGT","EG_OCGT"}))&gt;0,K155,0)</f>
        <v>0</v>
      </c>
      <c r="O155" s="513" t="str">
        <f t="shared" si="12"/>
        <v>NREG_WIND</v>
      </c>
      <c r="P155" s="3"/>
      <c r="V155" s="209">
        <f>PB!C13</f>
        <v>0</v>
      </c>
      <c r="W155" s="209">
        <f t="shared" si="13"/>
        <v>0</v>
      </c>
      <c r="X155" s="303">
        <f t="shared" si="11"/>
        <v>0</v>
      </c>
      <c r="Z155" s="150"/>
      <c r="AA155" s="150"/>
    </row>
    <row r="156" spans="2:27" x14ac:dyDescent="0.35">
      <c r="B156" s="512" t="s">
        <v>1051</v>
      </c>
      <c r="C156" s="3" t="s">
        <v>788</v>
      </c>
      <c r="D156" s="3" t="s">
        <v>1612</v>
      </c>
      <c r="E156" s="3" t="str">
        <f>TN!B4</f>
        <v>2017-18</v>
      </c>
      <c r="F156" s="143">
        <f>SUMIFS(Capacity!$C$3:$C$263,Capacity!$A$3:$A$263,$C156,Capacity!$B$3:$B$263,$D156)</f>
        <v>14231.735506175159</v>
      </c>
      <c r="G156" s="143">
        <f>TN!E4</f>
        <v>7802.6675243690206</v>
      </c>
      <c r="H156" s="11">
        <f>TN!F4</f>
        <v>2.5181114586738524</v>
      </c>
      <c r="I156" s="3"/>
      <c r="J156" s="143">
        <f>IF($E156="2018-19",G156,G156*(1+Assumptions_EG!$C$6)*(1+INDEX($H$47:$H$55,MATCH($D156,$G$47:$G$55,0))))</f>
        <v>8113.094926592511</v>
      </c>
      <c r="K156" s="11">
        <f>IF($E156="2018-19",H156,H156*(1+Assumptions_EG!$C$7)*(1+INDEX(Legacy_FC_VC!$I$47:$I$55,MATCH($D156,Assumptions_EG!$B$14:$B$22,0))))</f>
        <v>2.7835630887854514</v>
      </c>
      <c r="L156" s="11">
        <f>SUMIF(Legacy_FC_VC!$J$35:$J$43,D156,Legacy_FC_VC!$K$35:$K$43)</f>
        <v>0.85</v>
      </c>
      <c r="M156" s="143">
        <f>IF(SUMPRODUCT(--(D156={"EG_COAL","EG_CCGT","EG_OCGT"}))&gt;0,J156,J156+K156*8760*L156)</f>
        <v>8113.094926592511</v>
      </c>
      <c r="N156" s="11">
        <f>IF(SUMPRODUCT(--(D156={"EG_COAL","EG_CCGT","EG_OCGT"}))&gt;0,K156,0)</f>
        <v>2.7835630887854514</v>
      </c>
      <c r="O156" s="513" t="str">
        <f t="shared" si="12"/>
        <v>SREG_COAL</v>
      </c>
      <c r="P156" s="3"/>
      <c r="V156" s="209">
        <f>TN!C4</f>
        <v>8721.8220000000001</v>
      </c>
      <c r="W156" s="209">
        <f t="shared" si="13"/>
        <v>5509.9135061751585</v>
      </c>
      <c r="X156" s="303">
        <f t="shared" si="11"/>
        <v>0.63173881629035289</v>
      </c>
      <c r="Z156" s="150"/>
      <c r="AA156" s="150"/>
    </row>
    <row r="157" spans="2:27" x14ac:dyDescent="0.35">
      <c r="B157" s="512" t="s">
        <v>1051</v>
      </c>
      <c r="C157" s="3" t="s">
        <v>788</v>
      </c>
      <c r="D157" s="3" t="s">
        <v>1613</v>
      </c>
      <c r="E157" s="3" t="str">
        <f>TN!B5</f>
        <v>2017-18</v>
      </c>
      <c r="F157" s="143">
        <f>SUMIFS(Capacity!$C$3:$C$263,Capacity!$A$3:$A$263,$C157,Capacity!$B$3:$B$263,$D157)</f>
        <v>1027.18</v>
      </c>
      <c r="G157" s="143">
        <f>TN!E5</f>
        <v>8381.8204390738501</v>
      </c>
      <c r="H157" s="11">
        <f>TN!F5</f>
        <v>2.278700041631974</v>
      </c>
      <c r="I157" s="3"/>
      <c r="J157" s="143">
        <f>IF($E157="2018-19",G157,G157*(1+Assumptions_EG!$C$6)*(1+INDEX($H$47:$H$55,MATCH($D157,$G$47:$G$55,0))))</f>
        <v>8715.289311953431</v>
      </c>
      <c r="K157" s="11">
        <f>IF($E157="2018-19",H157,H157*(1+Assumptions_EG!$C$7)*(1+INDEX(Legacy_FC_VC!$I$47:$I$55,MATCH($D157,Assumptions_EG!$B$14:$B$22,0))))</f>
        <v>2.4379649196725559</v>
      </c>
      <c r="L157" s="11">
        <f>SUMIF(Legacy_FC_VC!$J$35:$J$43,D157,Legacy_FC_VC!$K$35:$K$43)</f>
        <v>0.85</v>
      </c>
      <c r="M157" s="143">
        <f>IF(SUMPRODUCT(--(D157={"EG_COAL","EG_CCGT","EG_OCGT"}))&gt;0,J157,J157+K157*8760*L157)</f>
        <v>8715.289311953431</v>
      </c>
      <c r="N157" s="11">
        <f>IF(SUMPRODUCT(--(D157={"EG_COAL","EG_CCGT","EG_OCGT"}))&gt;0,K157,0)</f>
        <v>2.4379649196725559</v>
      </c>
      <c r="O157" s="513" t="str">
        <f t="shared" si="12"/>
        <v>SREG_CCGT</v>
      </c>
      <c r="P157" s="3"/>
      <c r="V157" s="209">
        <f>TN!C5</f>
        <v>966.57999999999993</v>
      </c>
      <c r="W157" s="209">
        <f t="shared" si="13"/>
        <v>60.600000000000136</v>
      </c>
      <c r="X157" s="303">
        <f t="shared" si="11"/>
        <v>6.2695276128204747E-2</v>
      </c>
      <c r="Z157" s="150"/>
      <c r="AA157" s="150"/>
    </row>
    <row r="158" spans="2:27" x14ac:dyDescent="0.35">
      <c r="B158" s="512" t="s">
        <v>1051</v>
      </c>
      <c r="C158" s="3" t="s">
        <v>788</v>
      </c>
      <c r="D158" s="3" t="s">
        <v>1614</v>
      </c>
      <c r="E158" s="3" t="str">
        <f>TN!B6</f>
        <v>2017-18</v>
      </c>
      <c r="F158" s="143">
        <f>SUMIFS(Capacity!$C$3:$C$263,Capacity!$A$3:$A$263,$C158,Capacity!$B$3:$B$263,$D158)</f>
        <v>0</v>
      </c>
      <c r="G158" s="143">
        <f>TN!E6</f>
        <v>0</v>
      </c>
      <c r="H158" s="11">
        <f>TN!F6</f>
        <v>0</v>
      </c>
      <c r="I158" s="3"/>
      <c r="J158" s="143">
        <f>IF($E158="2018-19",G158,G158*(1+Assumptions_EG!$C$6)*(1+INDEX($H$47:$H$55,MATCH($D158,$G$47:$G$55,0))))</f>
        <v>0</v>
      </c>
      <c r="K158" s="11">
        <f>IF($E158="2018-19",H158,H158*(1+Assumptions_EG!$C$7)*(1+INDEX(Legacy_FC_VC!$I$47:$I$55,MATCH($D158,Assumptions_EG!$B$14:$B$22,0))))</f>
        <v>0</v>
      </c>
      <c r="L158" s="11">
        <f>SUMIF(Legacy_FC_VC!$J$35:$J$43,D158,Legacy_FC_VC!$K$35:$K$43)</f>
        <v>0.85</v>
      </c>
      <c r="M158" s="143">
        <f>IF(SUMPRODUCT(--(D158={"EG_COAL","EG_CCGT","EG_OCGT"}))&gt;0,J158,J158+K158*8760*L158)</f>
        <v>0</v>
      </c>
      <c r="N158" s="11">
        <f>IF(SUMPRODUCT(--(D158={"EG_COAL","EG_CCGT","EG_OCGT"}))&gt;0,K158,0)</f>
        <v>0</v>
      </c>
      <c r="O158" s="513" t="str">
        <f t="shared" si="12"/>
        <v>SREG_OCGT</v>
      </c>
      <c r="P158" s="3"/>
      <c r="V158" s="209">
        <f>TN!C6</f>
        <v>0</v>
      </c>
      <c r="W158" s="209">
        <f t="shared" si="13"/>
        <v>0</v>
      </c>
      <c r="X158" s="303">
        <f t="shared" si="11"/>
        <v>0</v>
      </c>
      <c r="Z158" s="150"/>
      <c r="AA158" s="150"/>
    </row>
    <row r="159" spans="2:27" x14ac:dyDescent="0.35">
      <c r="B159" s="512" t="s">
        <v>1051</v>
      </c>
      <c r="C159" s="3" t="s">
        <v>788</v>
      </c>
      <c r="D159" s="3" t="s">
        <v>1615</v>
      </c>
      <c r="E159" s="3" t="str">
        <f>TN!B7</f>
        <v>2017-18</v>
      </c>
      <c r="F159" s="143">
        <f>SUMIFS(Capacity!$C$3:$C$263,Capacity!$A$3:$A$263,$C159,Capacity!$B$3:$B$263,$D159)</f>
        <v>1675.0383275261324</v>
      </c>
      <c r="G159" s="143">
        <f>TN!E7</f>
        <v>0</v>
      </c>
      <c r="H159" s="11">
        <f>TN!F7</f>
        <v>3.2410007526107276</v>
      </c>
      <c r="I159" s="3"/>
      <c r="J159" s="143">
        <f>IF($E159="2018-19",G159,G159*(1+Assumptions_EG!$C$6)*(1+INDEX($H$47:$H$55,MATCH($D159,$G$47:$G$55,0))))</f>
        <v>0</v>
      </c>
      <c r="K159" s="11">
        <f>IF($E159="2018-19",H159,H159*(1+Assumptions_EG!$C$7)*(1+INDEX(Legacy_FC_VC!$I$47:$I$55,MATCH($D159,Assumptions_EG!$B$14:$B$22,0))))</f>
        <v>3.370640782715157</v>
      </c>
      <c r="L159" s="11">
        <f>SUMIF(Legacy_FC_VC!$J$35:$J$43,D159,Legacy_FC_VC!$K$35:$K$43)</f>
        <v>0.65716939790195539</v>
      </c>
      <c r="M159" s="143">
        <f>IF(SUMPRODUCT(--(D159={"EG_COAL","EG_CCGT","EG_OCGT"}))&gt;0,J159,J159+K159*8760*L159)</f>
        <v>19404.11808979329</v>
      </c>
      <c r="N159" s="11">
        <f>IF(SUMPRODUCT(--(D159={"EG_COAL","EG_CCGT","EG_OCGT"}))&gt;0,K159,0)</f>
        <v>0</v>
      </c>
      <c r="O159" s="513" t="str">
        <f t="shared" si="12"/>
        <v>SREG_PHWR</v>
      </c>
      <c r="P159" s="3"/>
      <c r="V159" s="209">
        <f>TN!C7</f>
        <v>1708.4639999999999</v>
      </c>
      <c r="W159" s="209">
        <f t="shared" si="13"/>
        <v>-33.425672473867508</v>
      </c>
      <c r="X159" s="303">
        <f t="shared" si="11"/>
        <v>-1.9564750836931599E-2</v>
      </c>
      <c r="Z159" s="150"/>
      <c r="AA159" s="150"/>
    </row>
    <row r="160" spans="2:27" x14ac:dyDescent="0.35">
      <c r="B160" s="512" t="s">
        <v>1051</v>
      </c>
      <c r="C160" s="3" t="s">
        <v>788</v>
      </c>
      <c r="D160" s="3" t="s">
        <v>1604</v>
      </c>
      <c r="E160" s="3" t="str">
        <f>TN!B8</f>
        <v>2017-18</v>
      </c>
      <c r="F160" s="143">
        <f>SUMIFS(Capacity!$C$3:$C$263,Capacity!$A$3:$A$263,$C160,Capacity!$B$3:$B$263,$D160)</f>
        <v>2178.1999999999998</v>
      </c>
      <c r="G160" s="143">
        <f>TN!E8</f>
        <v>4692.4945098310927</v>
      </c>
      <c r="H160" s="11">
        <f>TN!F8</f>
        <v>0</v>
      </c>
      <c r="I160" s="3"/>
      <c r="J160" s="143">
        <f>IF($E160="2018-19",G160,G160*(1+Assumptions_EG!$C$6)*(1+INDEX($H$47:$H$55,MATCH($D160,$G$47:$G$55,0))))</f>
        <v>4879.1843663558529</v>
      </c>
      <c r="K160" s="11">
        <f>IF($E160="2018-19",H160,H160*(1+Assumptions_EG!$C$7)*(1+INDEX(Legacy_FC_VC!$I$47:$I$55,MATCH($D160,Assumptions_EG!$B$14:$B$22,0))))</f>
        <v>0</v>
      </c>
      <c r="L160" s="11">
        <f>SUMIF(Legacy_FC_VC!$J$35:$J$43,D160,Legacy_FC_VC!$K$35:$K$43)</f>
        <v>0.32761940072174078</v>
      </c>
      <c r="M160" s="143">
        <f>IF(SUMPRODUCT(--(D160={"EG_COAL","EG_CCGT","EG_OCGT"}))&gt;0,J160,J160+K160*8760*L160)</f>
        <v>4879.1843663558529</v>
      </c>
      <c r="N160" s="11">
        <f>IF(SUMPRODUCT(--(D160={"EG_COAL","EG_CCGT","EG_OCGT"}))&gt;0,K160,0)</f>
        <v>0</v>
      </c>
      <c r="O160" s="513" t="str">
        <f t="shared" si="12"/>
        <v>SREG_LH</v>
      </c>
      <c r="P160" s="3"/>
      <c r="V160" s="209">
        <f>TN!C8</f>
        <v>1388.9414225941423</v>
      </c>
      <c r="W160" s="209">
        <f t="shared" si="13"/>
        <v>789.25857740585752</v>
      </c>
      <c r="X160" s="303">
        <f t="shared" si="11"/>
        <v>0.56824468229318836</v>
      </c>
      <c r="Z160" s="150"/>
      <c r="AA160" s="150"/>
    </row>
    <row r="161" spans="2:27" x14ac:dyDescent="0.35">
      <c r="B161" s="512" t="s">
        <v>1051</v>
      </c>
      <c r="C161" s="3" t="s">
        <v>788</v>
      </c>
      <c r="D161" s="3" t="s">
        <v>1603</v>
      </c>
      <c r="E161" s="3" t="str">
        <f>TN!B9</f>
        <v>2017-18</v>
      </c>
      <c r="F161" s="143">
        <f>SUMIFS(Capacity!$C$3:$C$263,Capacity!$A$3:$A$263,$C161,Capacity!$B$3:$B$263,$D161)</f>
        <v>123.05</v>
      </c>
      <c r="G161" s="143">
        <f>TN!E9</f>
        <v>1773.7294519170678</v>
      </c>
      <c r="H161" s="11">
        <f>TN!F9</f>
        <v>0</v>
      </c>
      <c r="I161" s="3"/>
      <c r="J161" s="143">
        <f>IF($E161="2018-19",G161,G161*(1+Assumptions_EG!$C$6)*(1+INDEX($H$47:$H$55,MATCH($D161,$G$47:$G$55,0))))</f>
        <v>1844.2968859755165</v>
      </c>
      <c r="K161" s="11">
        <f>IF($E161="2018-19",H161,H161*(1+Assumptions_EG!$C$7)*(1+INDEX(Legacy_FC_VC!$I$47:$I$55,MATCH($D161,Assumptions_EG!$B$14:$B$22,0))))</f>
        <v>0</v>
      </c>
      <c r="L161" s="11">
        <f>SUMIF(Legacy_FC_VC!$J$35:$J$43,D161,Legacy_FC_VC!$K$35:$K$43)</f>
        <v>0.20627943231757243</v>
      </c>
      <c r="M161" s="143">
        <f>IF(SUMPRODUCT(--(D161={"EG_COAL","EG_CCGT","EG_OCGT"}))&gt;0,J161,J161+K161*8760*L161)</f>
        <v>1844.2968859755165</v>
      </c>
      <c r="N161" s="11">
        <f>IF(SUMPRODUCT(--(D161={"EG_COAL","EG_CCGT","EG_OCGT"}))&gt;0,K161,0)</f>
        <v>0</v>
      </c>
      <c r="O161" s="513" t="str">
        <f t="shared" si="12"/>
        <v>SREG_SH</v>
      </c>
      <c r="P161" s="3"/>
      <c r="V161" s="209">
        <f>TN!C9</f>
        <v>925.9585774058578</v>
      </c>
      <c r="W161" s="209">
        <f t="shared" si="13"/>
        <v>-802.90857740585784</v>
      </c>
      <c r="X161" s="303">
        <f t="shared" si="11"/>
        <v>-0.86711068615538534</v>
      </c>
      <c r="Z161" s="150"/>
      <c r="AA161" s="150"/>
    </row>
    <row r="162" spans="2:27" x14ac:dyDescent="0.35">
      <c r="B162" s="512" t="s">
        <v>1051</v>
      </c>
      <c r="C162" s="3" t="s">
        <v>788</v>
      </c>
      <c r="D162" s="3" t="s">
        <v>1605</v>
      </c>
      <c r="E162" s="3" t="str">
        <f>TN!B10</f>
        <v>2017-18</v>
      </c>
      <c r="F162" s="143">
        <f>SUMIFS(Capacity!$C$3:$C$263,Capacity!$A$3:$A$263,$C162,Capacity!$B$3:$B$263,$D162)</f>
        <v>1003.9499999999999</v>
      </c>
      <c r="G162" s="143">
        <f>TN!E10</f>
        <v>0</v>
      </c>
      <c r="H162" s="11">
        <f>TN!F10</f>
        <v>3.08</v>
      </c>
      <c r="I162" s="3"/>
      <c r="J162" s="143">
        <f>IF($E162="2018-19",G162,G162*(1+Assumptions_EG!$C$6)*(1+INDEX($H$47:$H$55,MATCH($D162,$G$47:$G$55,0))))</f>
        <v>0</v>
      </c>
      <c r="K162" s="11">
        <f>IF($E162="2018-19",H162,H162*(1+Assumptions_EG!$C$7)*(1+INDEX(Legacy_FC_VC!$I$47:$I$55,MATCH($D162,Assumptions_EG!$B$14:$B$22,0))))</f>
        <v>3.2032000000000003</v>
      </c>
      <c r="L162" s="11">
        <f>SUMIF(Legacy_FC_VC!$J$35:$J$43,D162,Legacy_FC_VC!$K$35:$K$43)</f>
        <v>0.2313655363440307</v>
      </c>
      <c r="M162" s="143">
        <f>IF(SUMPRODUCT(--(D162={"EG_COAL","EG_CCGT","EG_OCGT"}))&gt;0,J162,J162+K162*8760*L162)</f>
        <v>6492.1243535106651</v>
      </c>
      <c r="N162" s="11">
        <f>IF(SUMPRODUCT(--(D162={"EG_COAL","EG_CCGT","EG_OCGT"}))&gt;0,K162,0)</f>
        <v>0</v>
      </c>
      <c r="O162" s="513" t="str">
        <f t="shared" si="12"/>
        <v>SREG_BIOMASS</v>
      </c>
      <c r="P162" s="3"/>
      <c r="V162" s="209">
        <f>TN!C10</f>
        <v>986.99</v>
      </c>
      <c r="W162" s="209">
        <f t="shared" ref="W162:W182" si="14">F162-V162</f>
        <v>16.959999999999923</v>
      </c>
      <c r="X162" s="303">
        <f t="shared" si="11"/>
        <v>1.718355809076072E-2</v>
      </c>
      <c r="Z162" s="150"/>
      <c r="AA162" s="150"/>
    </row>
    <row r="163" spans="2:27" x14ac:dyDescent="0.35">
      <c r="B163" s="512" t="s">
        <v>1051</v>
      </c>
      <c r="C163" s="3" t="s">
        <v>788</v>
      </c>
      <c r="D163" s="3" t="s">
        <v>1636</v>
      </c>
      <c r="E163" s="3" t="str">
        <f>TN!B11</f>
        <v>2017-18</v>
      </c>
      <c r="F163" s="143">
        <f>SUMIFS(Capacity!$C$3:$C$263,Capacity!$A$3:$A$263,$C163,Capacity!$B$3:$B$263,$D163)</f>
        <v>2575.2199999999998</v>
      </c>
      <c r="G163" s="143">
        <f>TN!E11</f>
        <v>0</v>
      </c>
      <c r="H163" s="11">
        <f>TN!F11</f>
        <v>6.85</v>
      </c>
      <c r="I163" s="3"/>
      <c r="J163" s="143">
        <f>IF($E163="2018-19",G163,G163*(1+Assumptions_EG!$C$6)*(1+INDEX($H$47:$H$55,MATCH($D163,$G$47:$G$55,0))))</f>
        <v>0</v>
      </c>
      <c r="K163" s="11">
        <f>IF($E163="2018-19",H163,H163*(1+Assumptions_EG!$C$7)*(1+INDEX(Legacy_FC_VC!$I$47:$I$55,MATCH($D163,Assumptions_EG!$B$14:$B$22,0))))</f>
        <v>6.8390399999999998</v>
      </c>
      <c r="L163" s="11">
        <f>SUMIF(Legacy_FC_VC!$J$35:$J$43,D163,Legacy_FC_VC!$K$35:$K$43)</f>
        <v>0.1890889600524939</v>
      </c>
      <c r="M163" s="143">
        <f>IF(SUMPRODUCT(--(D163={"EG_COAL","EG_CCGT","EG_OCGT"}))&gt;0,J163,J163+K163*8760*L163)</f>
        <v>11328.317781490892</v>
      </c>
      <c r="N163" s="11">
        <f>IF(SUMPRODUCT(--(D163={"EG_COAL","EG_CCGT","EG_OCGT"}))&gt;0,K163,0)</f>
        <v>0</v>
      </c>
      <c r="O163" s="513" t="str">
        <f t="shared" si="12"/>
        <v>SREG_SOLARPV</v>
      </c>
      <c r="P163" s="3"/>
      <c r="V163" s="209">
        <f>TN!C11</f>
        <v>2724.55</v>
      </c>
      <c r="W163" s="209">
        <f t="shared" si="14"/>
        <v>-149.33000000000038</v>
      </c>
      <c r="X163" s="303">
        <f t="shared" si="11"/>
        <v>-5.4809051035951024E-2</v>
      </c>
      <c r="Z163" s="150"/>
      <c r="AA163" s="150"/>
    </row>
    <row r="164" spans="2:27" x14ac:dyDescent="0.35">
      <c r="B164" s="512" t="s">
        <v>1051</v>
      </c>
      <c r="C164" s="3" t="s">
        <v>788</v>
      </c>
      <c r="D164" s="3" t="s">
        <v>1606</v>
      </c>
      <c r="E164" s="3" t="str">
        <f>TN!B13</f>
        <v>2017-18</v>
      </c>
      <c r="F164" s="143">
        <f>SUMIFS(Capacity!$C$3:$C$263,Capacity!$A$3:$A$263,$C164,Capacity!$B$3:$B$263,$D164)</f>
        <v>8968.9050000000007</v>
      </c>
      <c r="G164" s="143">
        <f>TN!E13</f>
        <v>0</v>
      </c>
      <c r="H164" s="11">
        <f>TN!F13</f>
        <v>3.0793795331954792</v>
      </c>
      <c r="I164" s="3"/>
      <c r="J164" s="143">
        <f>IF($E164="2018-19",G164,G164*(1+Assumptions_EG!$C$6)*(1+INDEX($H$47:$H$55,MATCH($D164,$G$47:$G$55,0))))</f>
        <v>0</v>
      </c>
      <c r="K164" s="11">
        <f>IF($E164="2018-19",H164,H164*(1+Assumptions_EG!$C$7)*(1+INDEX(Legacy_FC_VC!$I$47:$I$55,MATCH($D164,Assumptions_EG!$B$14:$B$22,0))))</f>
        <v>3.0744525259423665</v>
      </c>
      <c r="L164" s="11">
        <f>SUMIF(Legacy_FC_VC!$J$35:$J$43,D164,Legacy_FC_VC!$K$35:$K$43)</f>
        <v>0.19182955699540097</v>
      </c>
      <c r="M164" s="143">
        <f>IF(SUMPRODUCT(--(D164={"EG_COAL","EG_CCGT","EG_OCGT"}))&gt;0,J164,J164+K164*8760*L164)</f>
        <v>5166.3927866410613</v>
      </c>
      <c r="N164" s="11">
        <f>IF(SUMPRODUCT(--(D164={"EG_COAL","EG_CCGT","EG_OCGT"}))&gt;0,K164,0)</f>
        <v>0</v>
      </c>
      <c r="O164" s="513" t="str">
        <f t="shared" si="12"/>
        <v>SREG_WIND</v>
      </c>
      <c r="P164" s="3"/>
      <c r="V164" s="209">
        <f>TN!C13</f>
        <v>8468.11</v>
      </c>
      <c r="W164" s="209">
        <f t="shared" si="14"/>
        <v>500.79500000000007</v>
      </c>
      <c r="X164" s="303">
        <f t="shared" si="11"/>
        <v>5.9138934189565326E-2</v>
      </c>
      <c r="Z164" s="150"/>
      <c r="AA164" s="150"/>
    </row>
    <row r="165" spans="2:27" s="304" customFormat="1" x14ac:dyDescent="0.35">
      <c r="B165" s="512" t="s">
        <v>1054</v>
      </c>
      <c r="C165" s="3" t="s">
        <v>764</v>
      </c>
      <c r="D165" s="3" t="s">
        <v>1612</v>
      </c>
      <c r="E165" s="3" t="str">
        <f>AS!C4</f>
        <v>2018-19</v>
      </c>
      <c r="F165" s="143">
        <f>SUMIFS(Capacity!$C$3:$C$263,Capacity!$A$3:$A$263,$C165,Capacity!$B$3:$B$263,$D165)</f>
        <v>478.41673317921885</v>
      </c>
      <c r="G165" s="143">
        <f>G138</f>
        <v>5851.397082200624</v>
      </c>
      <c r="H165" s="11">
        <f>H138</f>
        <v>2.2618272085135507</v>
      </c>
      <c r="I165" s="3"/>
      <c r="J165" s="143">
        <f>IF($E165="2018-19",G165,G165*(1+Assumptions_EG!$C$6)*(1+INDEX($H$47:$H$55,MATCH($D165,$G$47:$G$55,0))))</f>
        <v>5851.397082200624</v>
      </c>
      <c r="K165" s="11">
        <f>IF($E165="2018-19",H165,H165*(1+Assumptions_EG!$C$6)*(1+INDEX(Legacy_FC_VC!$I$47:$I$55,MATCH($D165,Assumptions_EG!$B$14:$B$22,0))))</f>
        <v>2.2618272085135507</v>
      </c>
      <c r="L165" s="11">
        <f>SUMIF(Legacy_FC_VC!$J$35:$J$43,D165,Legacy_FC_VC!$K$35:$K$43)</f>
        <v>0.85</v>
      </c>
      <c r="M165" s="143">
        <f>IF(SUMPRODUCT(--(D165={"EG_COAL","EG_CCGT","EG_OCGT"}))&gt;0,J165,J165+K165*8760*L165)</f>
        <v>5851.397082200624</v>
      </c>
      <c r="N165" s="11">
        <f>IF(SUMPRODUCT(--(D165={"EG_COAL","EG_CCGT","EG_OCGT"}))&gt;0,K165,0)</f>
        <v>2.2618272085135507</v>
      </c>
      <c r="O165" s="513" t="str">
        <f t="shared" si="12"/>
        <v>NEREG_COAL</v>
      </c>
      <c r="P165" s="3"/>
      <c r="V165" s="209">
        <f>AS!D4</f>
        <v>444.20273459999999</v>
      </c>
      <c r="W165" s="209">
        <f t="shared" si="14"/>
        <v>34.213998579218867</v>
      </c>
      <c r="X165" s="303">
        <f t="shared" si="11"/>
        <v>7.7023385752067061E-2</v>
      </c>
      <c r="Z165" s="150"/>
      <c r="AA165" s="150"/>
    </row>
    <row r="166" spans="2:27" s="304" customFormat="1" x14ac:dyDescent="0.35">
      <c r="B166" s="512" t="s">
        <v>1054</v>
      </c>
      <c r="C166" s="3" t="s">
        <v>764</v>
      </c>
      <c r="D166" s="3" t="s">
        <v>1613</v>
      </c>
      <c r="E166" s="3" t="str">
        <f>AS!C5</f>
        <v>2018-19</v>
      </c>
      <c r="F166" s="143">
        <f>SUMIFS(Capacity!$C$3:$C$263,Capacity!$A$3:$A$263,$C166,Capacity!$B$3:$B$263,$D166)</f>
        <v>788.27</v>
      </c>
      <c r="G166" s="143">
        <f>AS!H5</f>
        <v>2373.8226149627189</v>
      </c>
      <c r="H166" s="11">
        <f>AS!I5</f>
        <v>3.1806741615505532</v>
      </c>
      <c r="I166" s="3"/>
      <c r="J166" s="143">
        <f>IF($E166="2018-19",G166,G166*(1+Assumptions_EG!$C$6)*(1+INDEX($H$47:$H$55,MATCH($D166,$G$47:$G$55,0))))</f>
        <v>2373.8226149627189</v>
      </c>
      <c r="K166" s="11">
        <f>IF($E166="2018-19",H166,H166*(1+Assumptions_EG!$C$6)*(1+INDEX(Legacy_FC_VC!$I$47:$I$55,MATCH($D166,Assumptions_EG!$B$14:$B$22,0))))</f>
        <v>3.1806741615505532</v>
      </c>
      <c r="L166" s="11">
        <f>SUMIF(Legacy_FC_VC!$J$35:$J$43,D166,Legacy_FC_VC!$K$35:$K$43)</f>
        <v>0.85</v>
      </c>
      <c r="M166" s="143">
        <f>IF(SUMPRODUCT(--(D166={"EG_COAL","EG_CCGT","EG_OCGT"}))&gt;0,J166,J166+K166*8760*L166)</f>
        <v>2373.8226149627189</v>
      </c>
      <c r="N166" s="11">
        <f>IF(SUMPRODUCT(--(D166={"EG_COAL","EG_CCGT","EG_OCGT"}))&gt;0,K166,0)</f>
        <v>3.1806741615505532</v>
      </c>
      <c r="O166" s="513" t="str">
        <f t="shared" si="12"/>
        <v>NEREG_CCGT</v>
      </c>
      <c r="P166" s="3"/>
      <c r="V166" s="209">
        <f>AS!D5</f>
        <v>645.58320000000003</v>
      </c>
      <c r="W166" s="209">
        <f t="shared" si="14"/>
        <v>142.68679999999995</v>
      </c>
      <c r="X166" s="303">
        <f t="shared" si="11"/>
        <v>0.22102000175964917</v>
      </c>
      <c r="Z166" s="150"/>
      <c r="AA166" s="150"/>
    </row>
    <row r="167" spans="2:27" s="304" customFormat="1" x14ac:dyDescent="0.35">
      <c r="B167" s="512" t="s">
        <v>1054</v>
      </c>
      <c r="C167" s="3" t="s">
        <v>764</v>
      </c>
      <c r="D167" s="3" t="s">
        <v>1614</v>
      </c>
      <c r="E167" s="3" t="str">
        <f>AS!C6</f>
        <v>2018-19</v>
      </c>
      <c r="F167" s="143">
        <f>SUMIFS(Capacity!$C$3:$C$263,Capacity!$A$3:$A$263,$C167,Capacity!$B$3:$B$263,$D167)</f>
        <v>0</v>
      </c>
      <c r="G167" s="143">
        <f>AS!H6</f>
        <v>0</v>
      </c>
      <c r="H167" s="11">
        <f>AS!I6</f>
        <v>0</v>
      </c>
      <c r="I167" s="3"/>
      <c r="J167" s="143">
        <f>IF($E167="2018-19",G167,G167*(1+Assumptions_EG!$C$6)*(1+INDEX($H$47:$H$55,MATCH($D167,$G$47:$G$55,0))))</f>
        <v>0</v>
      </c>
      <c r="K167" s="11">
        <f>IF($E167="2018-19",H167,H167*(1+Assumptions_EG!$C$6)*(1+INDEX(Legacy_FC_VC!$I$47:$I$55,MATCH($D167,Assumptions_EG!$B$14:$B$22,0))))</f>
        <v>0</v>
      </c>
      <c r="L167" s="11">
        <f>SUMIF(Legacy_FC_VC!$J$35:$J$43,D167,Legacy_FC_VC!$K$35:$K$43)</f>
        <v>0.85</v>
      </c>
      <c r="M167" s="143">
        <f>IF(SUMPRODUCT(--(D167={"EG_COAL","EG_CCGT","EG_OCGT"}))&gt;0,J167,J167+K167*8760*L167)</f>
        <v>0</v>
      </c>
      <c r="N167" s="11">
        <f>IF(SUMPRODUCT(--(D167={"EG_COAL","EG_CCGT","EG_OCGT"}))&gt;0,K167,0)</f>
        <v>0</v>
      </c>
      <c r="O167" s="513" t="str">
        <f t="shared" si="12"/>
        <v>NEREG_OCGT</v>
      </c>
      <c r="P167" s="3"/>
      <c r="V167" s="209">
        <f>AS!D6</f>
        <v>0</v>
      </c>
      <c r="W167" s="209">
        <f t="shared" si="14"/>
        <v>0</v>
      </c>
      <c r="X167" s="303">
        <f t="shared" si="11"/>
        <v>0</v>
      </c>
      <c r="Z167" s="150"/>
      <c r="AA167" s="150"/>
    </row>
    <row r="168" spans="2:27" s="304" customFormat="1" x14ac:dyDescent="0.35">
      <c r="B168" s="512" t="s">
        <v>1054</v>
      </c>
      <c r="C168" s="3" t="s">
        <v>764</v>
      </c>
      <c r="D168" s="3" t="s">
        <v>1615</v>
      </c>
      <c r="E168" s="3" t="str">
        <f>AS!C7</f>
        <v>2018-19</v>
      </c>
      <c r="F168" s="143">
        <f>SUMIFS(Capacity!$C$3:$C$263,Capacity!$A$3:$A$263,$C168,Capacity!$B$3:$B$263,$D168)</f>
        <v>0</v>
      </c>
      <c r="G168" s="143">
        <f>AS!H7</f>
        <v>0</v>
      </c>
      <c r="H168" s="11">
        <f>AS!I7</f>
        <v>0</v>
      </c>
      <c r="I168" s="3"/>
      <c r="J168" s="143">
        <f>IF($E168="2018-19",G168,G168*(1+Assumptions_EG!$C$6)*(1+INDEX($H$47:$H$55,MATCH($D168,$G$47:$G$55,0))))</f>
        <v>0</v>
      </c>
      <c r="K168" s="11">
        <f>IF($E168="2018-19",H168,H168*(1+Assumptions_EG!$C$6)*(1+INDEX(Legacy_FC_VC!$I$47:$I$55,MATCH($D168,Assumptions_EG!$B$14:$B$22,0))))</f>
        <v>0</v>
      </c>
      <c r="L168" s="11">
        <f>SUMIF(Legacy_FC_VC!$J$35:$J$43,D168,Legacy_FC_VC!$K$35:$K$43)</f>
        <v>0.65716939790195539</v>
      </c>
      <c r="M168" s="143">
        <f>IF(SUMPRODUCT(--(D168={"EG_COAL","EG_CCGT","EG_OCGT"}))&gt;0,J168,J168+K168*8760*L168)</f>
        <v>0</v>
      </c>
      <c r="N168" s="11">
        <f>IF(SUMPRODUCT(--(D168={"EG_COAL","EG_CCGT","EG_OCGT"}))&gt;0,K168,0)</f>
        <v>0</v>
      </c>
      <c r="O168" s="513" t="str">
        <f t="shared" si="12"/>
        <v>NEREG_PHWR</v>
      </c>
      <c r="P168" s="3"/>
      <c r="V168" s="209">
        <f>AS!D7</f>
        <v>0</v>
      </c>
      <c r="W168" s="209">
        <f t="shared" si="14"/>
        <v>0</v>
      </c>
      <c r="X168" s="303">
        <f t="shared" si="11"/>
        <v>0</v>
      </c>
      <c r="Z168" s="150"/>
      <c r="AA168" s="150"/>
    </row>
    <row r="169" spans="2:27" s="304" customFormat="1" x14ac:dyDescent="0.35">
      <c r="B169" s="512" t="s">
        <v>1054</v>
      </c>
      <c r="C169" s="3" t="s">
        <v>764</v>
      </c>
      <c r="D169" s="3" t="s">
        <v>1604</v>
      </c>
      <c r="E169" s="3" t="str">
        <f>AS!C8</f>
        <v>2018-19</v>
      </c>
      <c r="F169" s="143">
        <f>SUMIFS(Capacity!$C$3:$C$263,Capacity!$A$3:$A$263,$C169,Capacity!$B$3:$B$263,$D169)</f>
        <v>506.80121212121219</v>
      </c>
      <c r="G169" s="143">
        <f>AS!H8</f>
        <v>9489.1171240127242</v>
      </c>
      <c r="H169" s="11">
        <f>AS!I8</f>
        <v>0</v>
      </c>
      <c r="I169" s="3"/>
      <c r="J169" s="143">
        <f>IF($E169="2018-19",G169,G169*(1+Assumptions_EG!$C$6)*(1+INDEX($H$47:$H$55,MATCH($D169,$G$47:$G$55,0))))</f>
        <v>9489.1171240127242</v>
      </c>
      <c r="K169" s="11">
        <f>IF($E169="2018-19",H169,H169*(1+Assumptions_EG!$C$6)*(1+INDEX(Legacy_FC_VC!$I$47:$I$55,MATCH($D169,Assumptions_EG!$B$14:$B$22,0))))</f>
        <v>0</v>
      </c>
      <c r="L169" s="11">
        <f>SUMIF(Legacy_FC_VC!$J$35:$J$43,D169,Legacy_FC_VC!$K$35:$K$43)</f>
        <v>0.32761940072174078</v>
      </c>
      <c r="M169" s="143">
        <f>IF(SUMPRODUCT(--(D169={"EG_COAL","EG_CCGT","EG_OCGT"}))&gt;0,J169,J169+K169*8760*L169)</f>
        <v>9489.1171240127242</v>
      </c>
      <c r="N169" s="11">
        <f>IF(SUMPRODUCT(--(D169={"EG_COAL","EG_CCGT","EG_OCGT"}))&gt;0,K169,0)</f>
        <v>0</v>
      </c>
      <c r="O169" s="513" t="str">
        <f t="shared" si="12"/>
        <v>NEREG_LH</v>
      </c>
      <c r="P169" s="3"/>
      <c r="V169" s="209">
        <f>AS!D8</f>
        <v>523.32582000000002</v>
      </c>
      <c r="W169" s="209">
        <f t="shared" si="14"/>
        <v>-16.524607878787833</v>
      </c>
      <c r="X169" s="303">
        <f t="shared" si="11"/>
        <v>-3.1576137173563945E-2</v>
      </c>
      <c r="Z169" s="150"/>
      <c r="AA169" s="150"/>
    </row>
    <row r="170" spans="2:27" s="304" customFormat="1" x14ac:dyDescent="0.35">
      <c r="B170" s="512" t="s">
        <v>1054</v>
      </c>
      <c r="C170" s="3" t="s">
        <v>764</v>
      </c>
      <c r="D170" s="3" t="s">
        <v>1603</v>
      </c>
      <c r="E170" s="3" t="str">
        <f>AS!C9</f>
        <v>2018-19</v>
      </c>
      <c r="F170" s="143">
        <f>SUMIFS(Capacity!$C$3:$C$263,Capacity!$A$3:$A$263,$C170,Capacity!$B$3:$B$263,$D170)</f>
        <v>34.11</v>
      </c>
      <c r="G170" s="143">
        <f>AS!H9</f>
        <v>7111.1111111111113</v>
      </c>
      <c r="H170" s="11">
        <f>AS!I9</f>
        <v>0</v>
      </c>
      <c r="I170" s="3"/>
      <c r="J170" s="143">
        <f>IF($E170="2018-19",G170,G170*(1+Assumptions_EG!$C$6)*(1+INDEX($H$47:$H$55,MATCH($D170,$G$47:$G$55,0))))</f>
        <v>7111.1111111111113</v>
      </c>
      <c r="K170" s="11">
        <f>IF($E170="2018-19",H170,H170*(1+Assumptions_EG!$C$6)*(1+INDEX(Legacy_FC_VC!$I$47:$I$55,MATCH($D170,Assumptions_EG!$B$14:$B$22,0))))</f>
        <v>0</v>
      </c>
      <c r="L170" s="11">
        <f>SUMIF(Legacy_FC_VC!$J$35:$J$43,D170,Legacy_FC_VC!$K$35:$K$43)</f>
        <v>0.20627943231757243</v>
      </c>
      <c r="M170" s="143">
        <f>IF(SUMPRODUCT(--(D170={"EG_COAL","EG_CCGT","EG_OCGT"}))&gt;0,J170,J170+K170*8760*L170)</f>
        <v>7111.1111111111113</v>
      </c>
      <c r="N170" s="11">
        <f>IF(SUMPRODUCT(--(D170={"EG_COAL","EG_CCGT","EG_OCGT"}))&gt;0,K170,0)</f>
        <v>0</v>
      </c>
      <c r="O170" s="513" t="str">
        <f t="shared" si="12"/>
        <v>NEREG_SH</v>
      </c>
      <c r="P170" s="3"/>
      <c r="V170" s="209">
        <f>AS!D9</f>
        <v>4.5</v>
      </c>
      <c r="W170" s="209">
        <f t="shared" si="14"/>
        <v>29.61</v>
      </c>
      <c r="X170" s="303">
        <f t="shared" si="11"/>
        <v>6.58</v>
      </c>
      <c r="Z170" s="150"/>
      <c r="AA170" s="150"/>
    </row>
    <row r="171" spans="2:27" s="304" customFormat="1" x14ac:dyDescent="0.35">
      <c r="B171" s="512" t="s">
        <v>1054</v>
      </c>
      <c r="C171" s="3" t="s">
        <v>764</v>
      </c>
      <c r="D171" s="3" t="s">
        <v>1605</v>
      </c>
      <c r="E171" s="3" t="str">
        <f>AS!C10</f>
        <v>2018-19</v>
      </c>
      <c r="F171" s="143">
        <f>SUMIFS(Capacity!$C$3:$C$263,Capacity!$A$3:$A$263,$C171,Capacity!$B$3:$B$263,$D171)</f>
        <v>0</v>
      </c>
      <c r="G171" s="143">
        <f>AS!H10</f>
        <v>0</v>
      </c>
      <c r="H171" s="11">
        <f>AS!I10</f>
        <v>0</v>
      </c>
      <c r="I171" s="3"/>
      <c r="J171" s="143">
        <f>IF($E171="2018-19",G171,G171*(1+Assumptions_EG!$C$6)*(1+INDEX($H$47:$H$55,MATCH($D171,$G$47:$G$55,0))))</f>
        <v>0</v>
      </c>
      <c r="K171" s="11">
        <f>IF($E171="2018-19",H171,H171*(1+Assumptions_EG!$C$6)*(1+INDEX(Legacy_FC_VC!$I$47:$I$55,MATCH($D171,Assumptions_EG!$B$14:$B$22,0))))</f>
        <v>0</v>
      </c>
      <c r="L171" s="11">
        <f>SUMIF(Legacy_FC_VC!$J$35:$J$43,D171,Legacy_FC_VC!$K$35:$K$43)</f>
        <v>0.2313655363440307</v>
      </c>
      <c r="M171" s="143">
        <f>IF(SUMPRODUCT(--(D171={"EG_COAL","EG_CCGT","EG_OCGT"}))&gt;0,J171,J171+K171*8760*L171)</f>
        <v>0</v>
      </c>
      <c r="N171" s="11">
        <f>IF(SUMPRODUCT(--(D171={"EG_COAL","EG_CCGT","EG_OCGT"}))&gt;0,K171,0)</f>
        <v>0</v>
      </c>
      <c r="O171" s="513" t="str">
        <f t="shared" si="12"/>
        <v>NEREG_BIOMASS</v>
      </c>
      <c r="P171" s="3"/>
      <c r="V171" s="209">
        <f>AS!D10</f>
        <v>0</v>
      </c>
      <c r="W171" s="209">
        <f t="shared" si="14"/>
        <v>0</v>
      </c>
      <c r="X171" s="303">
        <f t="shared" si="11"/>
        <v>0</v>
      </c>
      <c r="Z171" s="150"/>
      <c r="AA171" s="150"/>
    </row>
    <row r="172" spans="2:27" s="304" customFormat="1" x14ac:dyDescent="0.35">
      <c r="B172" s="512" t="s">
        <v>1054</v>
      </c>
      <c r="C172" s="3" t="s">
        <v>764</v>
      </c>
      <c r="D172" s="3" t="s">
        <v>1636</v>
      </c>
      <c r="E172" s="3" t="str">
        <f>AS!C11</f>
        <v>2018-19</v>
      </c>
      <c r="F172" s="143">
        <f>SUMIFS(Capacity!$C$3:$C$263,Capacity!$A$3:$A$263,$C172,Capacity!$B$3:$B$263,$D172)</f>
        <v>22.4</v>
      </c>
      <c r="G172" s="143">
        <f>AS!H11</f>
        <v>0</v>
      </c>
      <c r="H172" s="11">
        <f>AS!I11</f>
        <v>7.6770310932798402</v>
      </c>
      <c r="I172" s="3"/>
      <c r="J172" s="143">
        <f>IF($E172="2018-19",G172,G172*(1+Assumptions_EG!$C$6)*(1+INDEX($H$47:$H$55,MATCH($D172,$G$47:$G$55,0))))</f>
        <v>0</v>
      </c>
      <c r="K172" s="11">
        <f>IF($E172="2018-19",H172,H172*(1+Assumptions_EG!$C$6)*(1+INDEX(Legacy_FC_VC!$I$47:$I$55,MATCH($D172,Assumptions_EG!$B$14:$B$22,0))))</f>
        <v>7.6770310932798402</v>
      </c>
      <c r="L172" s="11">
        <f>SUMIF(Legacy_FC_VC!$J$35:$J$43,D172,Legacy_FC_VC!$K$35:$K$43)</f>
        <v>0.1890889600524939</v>
      </c>
      <c r="M172" s="143">
        <f>IF(SUMPRODUCT(--(D172={"EG_COAL","EG_CCGT","EG_OCGT"}))&gt;0,J172,J172+K172*8760*L172)</f>
        <v>12716.382393297959</v>
      </c>
      <c r="N172" s="11">
        <f>IF(SUMPRODUCT(--(D172={"EG_COAL","EG_CCGT","EG_OCGT"}))&gt;0,K172,0)</f>
        <v>0</v>
      </c>
      <c r="O172" s="513" t="str">
        <f t="shared" si="12"/>
        <v>NEREG_SOLARPV</v>
      </c>
      <c r="P172" s="3"/>
      <c r="V172" s="209">
        <f>AS!D11</f>
        <v>5</v>
      </c>
      <c r="W172" s="209">
        <f t="shared" si="14"/>
        <v>17.399999999999999</v>
      </c>
      <c r="X172" s="303">
        <f t="shared" si="11"/>
        <v>3.4799999999999995</v>
      </c>
      <c r="Z172" s="150"/>
      <c r="AA172" s="150"/>
    </row>
    <row r="173" spans="2:27" s="304" customFormat="1" x14ac:dyDescent="0.35">
      <c r="B173" s="512" t="s">
        <v>1054</v>
      </c>
      <c r="C173" s="3" t="s">
        <v>764</v>
      </c>
      <c r="D173" s="3" t="s">
        <v>1606</v>
      </c>
      <c r="E173" s="3" t="str">
        <f>AS!C13</f>
        <v>2018-19</v>
      </c>
      <c r="F173" s="143">
        <f>SUMIFS(Capacity!$C$3:$C$263,Capacity!$A$3:$A$263,$C173,Capacity!$B$3:$B$263,$D173)</f>
        <v>0</v>
      </c>
      <c r="G173" s="143">
        <f>AS!H13</f>
        <v>0</v>
      </c>
      <c r="H173" s="11">
        <f>AS!I13</f>
        <v>0</v>
      </c>
      <c r="I173" s="510"/>
      <c r="J173" s="143">
        <f>IF($E173="2018-19",G173,G173*(1+Assumptions_EG!$C$6)*(1+INDEX($H$47:$H$55,MATCH($D173,$G$47:$G$55,0))))</f>
        <v>0</v>
      </c>
      <c r="K173" s="11">
        <f>IF($E173="2018-19",H173,H173*(1+Assumptions_EG!$C$6)*(1+INDEX(Legacy_FC_VC!$I$47:$I$55,MATCH($D173,Assumptions_EG!$B$14:$B$22,0))))</f>
        <v>0</v>
      </c>
      <c r="L173" s="11">
        <f>SUMIF(Legacy_FC_VC!$J$35:$J$43,D173,Legacy_FC_VC!$K$35:$K$43)</f>
        <v>0.19182955699540097</v>
      </c>
      <c r="M173" s="143">
        <f>IF(SUMPRODUCT(--(D173={"EG_COAL","EG_CCGT","EG_OCGT"}))&gt;0,J173,J173+K173*8760*L173)</f>
        <v>0</v>
      </c>
      <c r="N173" s="11">
        <f>IF(SUMPRODUCT(--(D173={"EG_COAL","EG_CCGT","EG_OCGT"}))&gt;0,K173,0)</f>
        <v>0</v>
      </c>
      <c r="O173" s="513" t="str">
        <f t="shared" si="12"/>
        <v>NEREG_WIND</v>
      </c>
      <c r="P173" s="3"/>
      <c r="V173" s="209">
        <f>AS!D13</f>
        <v>0</v>
      </c>
      <c r="W173" s="209">
        <f t="shared" si="14"/>
        <v>0</v>
      </c>
      <c r="X173" s="303">
        <f t="shared" si="11"/>
        <v>0</v>
      </c>
      <c r="Z173" s="150"/>
      <c r="AA173" s="150"/>
    </row>
    <row r="174" spans="2:27" x14ac:dyDescent="0.35">
      <c r="B174" s="512" t="s">
        <v>1046</v>
      </c>
      <c r="C174" s="511" t="s">
        <v>779</v>
      </c>
      <c r="D174" s="3" t="s">
        <v>1612</v>
      </c>
      <c r="E174" s="3" t="s">
        <v>739</v>
      </c>
      <c r="F174" s="143">
        <f>SUMIFS(Capacity!$C$3:$C$263,Capacity!$A$3:$A$263,$C174,Capacity!$B$3:$B$263,$D174)</f>
        <v>188.06627317444458</v>
      </c>
      <c r="G174" s="143">
        <f>HP!F4</f>
        <v>8383.1991161462956</v>
      </c>
      <c r="H174" s="11">
        <f>HP!G4</f>
        <v>1.9995695399872515</v>
      </c>
      <c r="I174" s="510"/>
      <c r="J174" s="143">
        <f>IF($E174="2018-19",G174,G174*(1+Assumptions_EG!$C$6)*(1+INDEX($H$47:$H$55,MATCH($D174,$G$47:$G$55,0))))</f>
        <v>8383.1991161462956</v>
      </c>
      <c r="K174" s="11">
        <f>IF($E174="2018-19",H174,H174*(1+Assumptions_EG!$C$6)*(1+INDEX(Legacy_FC_VC!$I$47:$I$55,MATCH($D174,Assumptions_EG!$B$14:$B$22,0))))</f>
        <v>1.9995695399872515</v>
      </c>
      <c r="L174" s="11">
        <f>SUMIF(Legacy_FC_VC!$J$35:$J$43,D174,Legacy_FC_VC!$K$35:$K$43)</f>
        <v>0.85</v>
      </c>
      <c r="M174" s="143">
        <f>IF(SUMPRODUCT(--(D174={"EG_COAL","EG_CCGT","EG_OCGT"}))&gt;0,J174,J174+K174*8760*L174)</f>
        <v>8383.1991161462956</v>
      </c>
      <c r="N174" s="11">
        <f>IF(SUMPRODUCT(--(D174={"EG_COAL","EG_CCGT","EG_OCGT"}))&gt;0,K174,0)</f>
        <v>1.9995695399872515</v>
      </c>
      <c r="O174" s="513" t="str">
        <f t="shared" si="12"/>
        <v>NREG_COAL</v>
      </c>
      <c r="P174" s="3"/>
      <c r="V174" s="209">
        <f>HP!D4</f>
        <v>156.58700000000002</v>
      </c>
      <c r="W174" s="209">
        <f t="shared" si="14"/>
        <v>31.479273174444558</v>
      </c>
      <c r="X174" s="303">
        <f t="shared" si="11"/>
        <v>0.20103375870566875</v>
      </c>
      <c r="Z174" s="150"/>
      <c r="AA174" s="150"/>
    </row>
    <row r="175" spans="2:27" s="304" customFormat="1" x14ac:dyDescent="0.35">
      <c r="B175" s="512" t="s">
        <v>1046</v>
      </c>
      <c r="C175" s="511" t="s">
        <v>779</v>
      </c>
      <c r="D175" s="3" t="s">
        <v>1613</v>
      </c>
      <c r="E175" s="3" t="s">
        <v>739</v>
      </c>
      <c r="F175" s="143">
        <f>SUMIFS(Capacity!$C$3:$C$263,Capacity!$A$3:$A$263,$C175,Capacity!$B$3:$B$263,$D175)</f>
        <v>62.01</v>
      </c>
      <c r="G175" s="143">
        <f>HP!F5</f>
        <v>4619.7423009671784</v>
      </c>
      <c r="H175" s="11">
        <f>HP!G5</f>
        <v>3.1630993429184833</v>
      </c>
      <c r="I175" s="510"/>
      <c r="J175" s="143">
        <f>IF($E175="2018-19",G175,G175*(1+Assumptions_EG!$C$6)*(1+INDEX($H$47:$H$55,MATCH($D175,$G$47:$G$55,0))))</f>
        <v>4619.7423009671784</v>
      </c>
      <c r="K175" s="11">
        <f>IF($E175="2018-19",H175,H175*(1+Assumptions_EG!$C$6)*(1+INDEX(Legacy_FC_VC!$I$47:$I$55,MATCH($D175,Assumptions_EG!$B$14:$B$22,0))))</f>
        <v>3.1630993429184833</v>
      </c>
      <c r="L175" s="11">
        <f>SUMIF(Legacy_FC_VC!$J$35:$J$43,D175,Legacy_FC_VC!$K$35:$K$43)</f>
        <v>0.85</v>
      </c>
      <c r="M175" s="143">
        <f>IF(SUMPRODUCT(--(D175={"EG_COAL","EG_CCGT","EG_OCGT"}))&gt;0,J175,J175+K175*8760*L175)</f>
        <v>4619.7423009671784</v>
      </c>
      <c r="N175" s="11">
        <f>IF(SUMPRODUCT(--(D175={"EG_COAL","EG_CCGT","EG_OCGT"}))&gt;0,K175,0)</f>
        <v>3.1630993429184833</v>
      </c>
      <c r="O175" s="513" t="str">
        <f t="shared" si="12"/>
        <v>NREG_CCGT</v>
      </c>
      <c r="P175" s="3"/>
      <c r="V175" s="209">
        <f>HP!D5</f>
        <v>61.994799999999998</v>
      </c>
      <c r="W175" s="209">
        <f t="shared" si="14"/>
        <v>1.5200000000000102E-2</v>
      </c>
      <c r="X175" s="303">
        <f t="shared" si="11"/>
        <v>2.4518185396194686E-4</v>
      </c>
      <c r="Z175" s="150"/>
      <c r="AA175" s="150"/>
    </row>
    <row r="176" spans="2:27" s="304" customFormat="1" x14ac:dyDescent="0.35">
      <c r="B176" s="512" t="s">
        <v>1046</v>
      </c>
      <c r="C176" s="511" t="s">
        <v>779</v>
      </c>
      <c r="D176" s="3" t="s">
        <v>1614</v>
      </c>
      <c r="E176" s="3" t="s">
        <v>739</v>
      </c>
      <c r="F176" s="143">
        <f>SUMIFS(Capacity!$C$3:$C$263,Capacity!$A$3:$A$263,$C176,Capacity!$B$3:$B$263,$D176)</f>
        <v>0</v>
      </c>
      <c r="G176" s="143">
        <f>HP!F6</f>
        <v>0</v>
      </c>
      <c r="H176" s="11">
        <f>HP!G6</f>
        <v>0</v>
      </c>
      <c r="I176" s="510"/>
      <c r="J176" s="143">
        <f>IF($E176="2018-19",G176,G176*(1+Assumptions_EG!$C$6)*(1+INDEX($H$47:$H$55,MATCH($D176,$G$47:$G$55,0))))</f>
        <v>0</v>
      </c>
      <c r="K176" s="11">
        <f>IF($E176="2018-19",H176,H176*(1+Assumptions_EG!$C$6)*(1+INDEX(Legacy_FC_VC!$I$47:$I$55,MATCH($D176,Assumptions_EG!$B$14:$B$22,0))))</f>
        <v>0</v>
      </c>
      <c r="L176" s="11">
        <f>SUMIF(Legacy_FC_VC!$J$35:$J$43,D176,Legacy_FC_VC!$K$35:$K$43)</f>
        <v>0.85</v>
      </c>
      <c r="M176" s="143">
        <f>IF(SUMPRODUCT(--(D176={"EG_COAL","EG_CCGT","EG_OCGT"}))&gt;0,J176,J176+K176*8760*L176)</f>
        <v>0</v>
      </c>
      <c r="N176" s="11">
        <f>IF(SUMPRODUCT(--(D176={"EG_COAL","EG_CCGT","EG_OCGT"}))&gt;0,K176,0)</f>
        <v>0</v>
      </c>
      <c r="O176" s="513" t="str">
        <f t="shared" si="12"/>
        <v>NREG_OCGT</v>
      </c>
      <c r="P176" s="3"/>
      <c r="V176" s="209">
        <f>HP!D6</f>
        <v>0</v>
      </c>
      <c r="W176" s="209">
        <f t="shared" si="14"/>
        <v>0</v>
      </c>
      <c r="X176" s="303">
        <f t="shared" si="11"/>
        <v>0</v>
      </c>
      <c r="Z176" s="150"/>
      <c r="AA176" s="150"/>
    </row>
    <row r="177" spans="2:27" s="304" customFormat="1" x14ac:dyDescent="0.35">
      <c r="B177" s="512" t="s">
        <v>1046</v>
      </c>
      <c r="C177" s="511" t="s">
        <v>779</v>
      </c>
      <c r="D177" s="3" t="s">
        <v>1615</v>
      </c>
      <c r="E177" s="3" t="s">
        <v>739</v>
      </c>
      <c r="F177" s="143">
        <f>SUMIFS(Capacity!$C$3:$C$263,Capacity!$A$3:$A$263,$C177,Capacity!$B$3:$B$263,$D177)</f>
        <v>33.911553312412323</v>
      </c>
      <c r="G177" s="143">
        <f>HP!F7</f>
        <v>0</v>
      </c>
      <c r="H177" s="11">
        <f>HP!G7</f>
        <v>3.1663881345310205</v>
      </c>
      <c r="I177" s="510"/>
      <c r="J177" s="143">
        <f>IF($E177="2018-19",G177,G177*(1+Assumptions_EG!$C$6)*(1+INDEX($H$47:$H$55,MATCH($D177,$G$47:$G$55,0))))</f>
        <v>0</v>
      </c>
      <c r="K177" s="11">
        <f>IF($E177="2018-19",H177,H177*(1+Assumptions_EG!$C$6)*(1+INDEX(Legacy_FC_VC!$I$47:$I$55,MATCH($D177,Assumptions_EG!$B$14:$B$22,0))))</f>
        <v>3.1663881345310205</v>
      </c>
      <c r="L177" s="11">
        <f>SUMIF(Legacy_FC_VC!$J$35:$J$43,D177,Legacy_FC_VC!$K$35:$K$43)</f>
        <v>0.65716939790195539</v>
      </c>
      <c r="M177" s="143">
        <f>IF(SUMPRODUCT(--(D177={"EG_COAL","EG_CCGT","EG_OCGT"}))&gt;0,J177,J177+K177*8760*L177)</f>
        <v>18228.275642908346</v>
      </c>
      <c r="N177" s="11">
        <f>IF(SUMPRODUCT(--(D177={"EG_COAL","EG_CCGT","EG_OCGT"}))&gt;0,K177,0)</f>
        <v>0</v>
      </c>
      <c r="O177" s="513" t="str">
        <f t="shared" si="12"/>
        <v>NREG_PHWR</v>
      </c>
      <c r="P177" s="3"/>
      <c r="V177" s="209">
        <f>HP!D7</f>
        <v>100.93600000000001</v>
      </c>
      <c r="W177" s="209">
        <f t="shared" si="14"/>
        <v>-67.024446687587684</v>
      </c>
      <c r="X177" s="303">
        <f t="shared" si="11"/>
        <v>-0.66402915399448836</v>
      </c>
      <c r="Z177" s="150"/>
      <c r="AA177" s="150"/>
    </row>
    <row r="178" spans="2:27" s="304" customFormat="1" x14ac:dyDescent="0.35">
      <c r="B178" s="512" t="s">
        <v>1046</v>
      </c>
      <c r="C178" s="511" t="s">
        <v>779</v>
      </c>
      <c r="D178" s="3" t="s">
        <v>1604</v>
      </c>
      <c r="E178" s="3" t="s">
        <v>739</v>
      </c>
      <c r="F178" s="143">
        <f>SUMIFS(Capacity!$C$3:$C$263,Capacity!$A$3:$A$263,$C178,Capacity!$B$3:$B$263,$D178)</f>
        <v>3025.8563206446829</v>
      </c>
      <c r="G178" s="143">
        <f>HP!F8</f>
        <v>6405.2325901462182</v>
      </c>
      <c r="H178" s="11">
        <f>HP!G8</f>
        <v>1.0988143759238529</v>
      </c>
      <c r="I178" s="510"/>
      <c r="J178" s="143">
        <f>IF($E178="2018-19",G178,G178*(1+Assumptions_EG!$C$6)*(1+INDEX($H$47:$H$55,MATCH($D178,$G$47:$G$55,0))))</f>
        <v>6405.2325901462182</v>
      </c>
      <c r="K178" s="11">
        <f>IF($E178="2018-19",H178,H178*(1+Assumptions_EG!$C$6)*(1+INDEX(Legacy_FC_VC!$I$47:$I$55,MATCH($D178,Assumptions_EG!$B$14:$B$22,0))))</f>
        <v>1.0988143759238529</v>
      </c>
      <c r="L178" s="11">
        <f>SUMIF(Legacy_FC_VC!$J$35:$J$43,D178,Legacy_FC_VC!$K$35:$K$43)</f>
        <v>0.32761940072174078</v>
      </c>
      <c r="M178" s="143">
        <f>IF(SUMPRODUCT(--(D178={"EG_COAL","EG_CCGT","EG_OCGT"}))&gt;0,J178,J178+K178*8760*L178)</f>
        <v>9558.7704584849689</v>
      </c>
      <c r="N178" s="11">
        <f>IF(SUMPRODUCT(--(D178={"EG_COAL","EG_CCGT","EG_OCGT"}))&gt;0,K178,0)</f>
        <v>0</v>
      </c>
      <c r="O178" s="513" t="str">
        <f t="shared" si="12"/>
        <v>NREG_LH</v>
      </c>
      <c r="P178" s="3"/>
      <c r="V178" s="209">
        <f>HP!D8</f>
        <v>1469.642182</v>
      </c>
      <c r="W178" s="209">
        <f t="shared" si="14"/>
        <v>1556.2141386446829</v>
      </c>
      <c r="X178" s="303">
        <f t="shared" si="11"/>
        <v>1.058906826236349</v>
      </c>
      <c r="Z178" s="150"/>
      <c r="AA178" s="150"/>
    </row>
    <row r="179" spans="2:27" s="304" customFormat="1" x14ac:dyDescent="0.35">
      <c r="B179" s="512" t="s">
        <v>1046</v>
      </c>
      <c r="C179" s="511" t="s">
        <v>779</v>
      </c>
      <c r="D179" s="3" t="s">
        <v>1603</v>
      </c>
      <c r="E179" s="3" t="s">
        <v>739</v>
      </c>
      <c r="F179" s="143">
        <f>SUMIFS(Capacity!$C$3:$C$263,Capacity!$A$3:$A$263,$C179,Capacity!$B$3:$B$263,$D179)</f>
        <v>860.61</v>
      </c>
      <c r="G179" s="143">
        <f>HP!F9</f>
        <v>0</v>
      </c>
      <c r="H179" s="11">
        <f>HP!G9</f>
        <v>2.6960326721120187</v>
      </c>
      <c r="I179" s="510"/>
      <c r="J179" s="143">
        <f>IF($E179="2018-19",G179,G179*(1+Assumptions_EG!$C$6)*(1+INDEX($H$47:$H$55,MATCH($D179,$G$47:$G$55,0))))</f>
        <v>0</v>
      </c>
      <c r="K179" s="11">
        <f>IF($E179="2018-19",H179,H179*(1+Assumptions_EG!$C$6)*(1+INDEX(Legacy_FC_VC!$I$47:$I$55,MATCH($D179,Assumptions_EG!$B$14:$B$22,0))))</f>
        <v>2.6960326721120187</v>
      </c>
      <c r="L179" s="11">
        <f>SUMIF(Legacy_FC_VC!$J$35:$J$43,D179,Legacy_FC_VC!$K$35:$K$43)</f>
        <v>0.20627943231757243</v>
      </c>
      <c r="M179" s="143">
        <f>IF(SUMPRODUCT(--(D179={"EG_COAL","EG_CCGT","EG_OCGT"}))&gt;0,J179,J179+K179*8760*L179)</f>
        <v>4871.7521406289607</v>
      </c>
      <c r="N179" s="11">
        <f>IF(SUMPRODUCT(--(D179={"EG_COAL","EG_CCGT","EG_OCGT"}))&gt;0,K179,0)</f>
        <v>0</v>
      </c>
      <c r="O179" s="513" t="str">
        <f t="shared" si="12"/>
        <v>NREG_SH</v>
      </c>
      <c r="P179" s="3"/>
      <c r="V179" s="209">
        <f>HP!D9</f>
        <v>0</v>
      </c>
      <c r="W179" s="209">
        <f t="shared" si="14"/>
        <v>860.61</v>
      </c>
      <c r="X179" s="303">
        <f t="shared" si="11"/>
        <v>0</v>
      </c>
      <c r="Z179" s="150"/>
      <c r="AA179" s="150"/>
    </row>
    <row r="180" spans="2:27" s="304" customFormat="1" x14ac:dyDescent="0.35">
      <c r="B180" s="512" t="s">
        <v>1046</v>
      </c>
      <c r="C180" s="511" t="s">
        <v>779</v>
      </c>
      <c r="D180" s="3" t="s">
        <v>1605</v>
      </c>
      <c r="E180" s="3" t="s">
        <v>739</v>
      </c>
      <c r="F180" s="143">
        <f>SUMIFS(Capacity!$C$3:$C$263,Capacity!$A$3:$A$263,$C180,Capacity!$B$3:$B$263,$D180)</f>
        <v>7.2</v>
      </c>
      <c r="G180" s="143">
        <f>HP!F10</f>
        <v>0</v>
      </c>
      <c r="H180" s="11">
        <f>HP!G10</f>
        <v>7.9005299633102313</v>
      </c>
      <c r="I180" s="510"/>
      <c r="J180" s="143">
        <f>IF($E180="2018-19",G180,G180*(1+Assumptions_EG!$C$6)*(1+INDEX($H$47:$H$55,MATCH($D180,$G$47:$G$55,0))))</f>
        <v>0</v>
      </c>
      <c r="K180" s="11">
        <f>IF($E180="2018-19",H180,H180*(1+Assumptions_EG!$C$6)*(1+INDEX(Legacy_FC_VC!$I$47:$I$55,MATCH($D180,Assumptions_EG!$B$14:$B$22,0))))</f>
        <v>7.9005299633102313</v>
      </c>
      <c r="L180" s="11">
        <f>SUMIF(Legacy_FC_VC!$J$35:$J$43,D180,Legacy_FC_VC!$K$35:$K$43)</f>
        <v>0.2313655363440307</v>
      </c>
      <c r="M180" s="143">
        <f>IF(SUMPRODUCT(--(D180={"EG_COAL","EG_CCGT","EG_OCGT"}))&gt;0,J180,J180+K180*8760*L180)</f>
        <v>16012.494686703007</v>
      </c>
      <c r="N180" s="11">
        <f>IF(SUMPRODUCT(--(D180={"EG_COAL","EG_CCGT","EG_OCGT"}))&gt;0,K180,0)</f>
        <v>0</v>
      </c>
      <c r="O180" s="513" t="str">
        <f t="shared" si="12"/>
        <v>NREG_BIOMASS</v>
      </c>
      <c r="P180" s="3"/>
      <c r="V180" s="209">
        <f>HP!D10</f>
        <v>7.2</v>
      </c>
      <c r="W180" s="209">
        <f t="shared" si="14"/>
        <v>0</v>
      </c>
      <c r="X180" s="303">
        <f t="shared" si="11"/>
        <v>0</v>
      </c>
      <c r="Z180" s="150"/>
      <c r="AA180" s="150"/>
    </row>
    <row r="181" spans="2:27" s="304" customFormat="1" x14ac:dyDescent="0.35">
      <c r="B181" s="512" t="s">
        <v>1046</v>
      </c>
      <c r="C181" s="511" t="s">
        <v>779</v>
      </c>
      <c r="D181" s="3" t="s">
        <v>1636</v>
      </c>
      <c r="E181" s="3" t="s">
        <v>739</v>
      </c>
      <c r="F181" s="143">
        <f>SUMIFS(Capacity!$C$3:$C$263,Capacity!$A$3:$A$263,$C181,Capacity!$B$3:$B$263,$D181)</f>
        <v>22.68</v>
      </c>
      <c r="G181" s="143">
        <f>HP!F11</f>
        <v>0</v>
      </c>
      <c r="H181" s="11">
        <f>HP!G11</f>
        <v>6.0760961214165263</v>
      </c>
      <c r="I181" s="510"/>
      <c r="J181" s="143">
        <f>IF($E181="2018-19",G181,G181*(1+Assumptions_EG!$C$6)*(1+INDEX($H$47:$H$55,MATCH($D181,$G$47:$G$55,0))))</f>
        <v>0</v>
      </c>
      <c r="K181" s="11">
        <f>IF($E181="2018-19",H181,H181*(1+Assumptions_EG!$C$6)*(1+INDEX(Legacy_FC_VC!$I$47:$I$55,MATCH($D181,Assumptions_EG!$B$14:$B$22,0))))</f>
        <v>6.0760961214165263</v>
      </c>
      <c r="L181" s="11">
        <f>SUMIF(Legacy_FC_VC!$J$35:$J$43,D181,Legacy_FC_VC!$K$35:$K$43)</f>
        <v>0.1890889600524939</v>
      </c>
      <c r="M181" s="143">
        <f>IF(SUMPRODUCT(--(D181={"EG_COAL","EG_CCGT","EG_OCGT"}))&gt;0,J181,J181+K181*8760*L181)</f>
        <v>10064.56282377215</v>
      </c>
      <c r="N181" s="11">
        <f>IF(SUMPRODUCT(--(D181={"EG_COAL","EG_CCGT","EG_OCGT"}))&gt;0,K181,0)</f>
        <v>0</v>
      </c>
      <c r="O181" s="513" t="str">
        <f t="shared" si="12"/>
        <v>NREG_SOLARPV</v>
      </c>
      <c r="P181" s="3"/>
      <c r="V181" s="209">
        <f>HP!D11</f>
        <v>0</v>
      </c>
      <c r="W181" s="209">
        <f t="shared" si="14"/>
        <v>22.68</v>
      </c>
      <c r="X181" s="303">
        <f t="shared" si="11"/>
        <v>0</v>
      </c>
      <c r="Z181" s="150"/>
      <c r="AA181" s="150"/>
    </row>
    <row r="182" spans="2:27" s="304" customFormat="1" x14ac:dyDescent="0.35">
      <c r="B182" s="512" t="s">
        <v>1046</v>
      </c>
      <c r="C182" s="511" t="s">
        <v>779</v>
      </c>
      <c r="D182" s="3" t="s">
        <v>1606</v>
      </c>
      <c r="E182" s="3" t="s">
        <v>739</v>
      </c>
      <c r="F182" s="143">
        <f>SUMIFS(Capacity!$C$3:$C$263,Capacity!$A$3:$A$263,$C182,Capacity!$B$3:$B$263,$D182)</f>
        <v>0</v>
      </c>
      <c r="G182" s="143">
        <f>HP!F13</f>
        <v>0</v>
      </c>
      <c r="H182" s="11">
        <f>HP!G13</f>
        <v>0</v>
      </c>
      <c r="I182" s="510"/>
      <c r="J182" s="143">
        <f>IF($E182="2018-19",G182,G182*(1+Assumptions_EG!$C$6)*(1+INDEX($H$47:$H$55,MATCH($D182,$G$47:$G$55,0))))</f>
        <v>0</v>
      </c>
      <c r="K182" s="11">
        <f>IF($E182="2018-19",H182,H182*(1+Assumptions_EG!$C$6)*(1+INDEX(Legacy_FC_VC!$I$47:$I$55,MATCH($D182,Assumptions_EG!$B$14:$B$22,0))))</f>
        <v>0</v>
      </c>
      <c r="L182" s="11">
        <f>SUMIF(Legacy_FC_VC!$J$35:$J$43,D182,Legacy_FC_VC!$K$35:$K$43)</f>
        <v>0.19182955699540097</v>
      </c>
      <c r="M182" s="143">
        <f>IF(SUMPRODUCT(--(D182={"EG_COAL","EG_CCGT","EG_OCGT"}))&gt;0,J182,J182+K182*8760*L182)</f>
        <v>0</v>
      </c>
      <c r="N182" s="11">
        <f>IF(SUMPRODUCT(--(D182={"EG_COAL","EG_CCGT","EG_OCGT"}))&gt;0,K182,0)</f>
        <v>0</v>
      </c>
      <c r="O182" s="513" t="str">
        <f t="shared" si="12"/>
        <v>NREG_WIND</v>
      </c>
      <c r="P182" s="3"/>
      <c r="V182" s="209">
        <f>HP!D13</f>
        <v>0</v>
      </c>
      <c r="W182" s="209">
        <f t="shared" si="14"/>
        <v>0</v>
      </c>
      <c r="X182" s="303">
        <f>IFERROR(W182/V182,0)</f>
        <v>0</v>
      </c>
      <c r="Z182" s="150"/>
      <c r="AA182" s="150"/>
    </row>
    <row r="183" spans="2:27" x14ac:dyDescent="0.35">
      <c r="B183" s="512" t="s">
        <v>628</v>
      </c>
      <c r="C183" s="511" t="s">
        <v>768</v>
      </c>
      <c r="D183" s="3" t="s">
        <v>1612</v>
      </c>
      <c r="E183" s="3" t="s">
        <v>739</v>
      </c>
      <c r="F183" s="143">
        <f>SUMIFS(Capacity!$C$3:$C$263,Capacity!$A$3:$A$263,$C183,Capacity!$B$3:$B$263,$D183)</f>
        <v>13679.065164298636</v>
      </c>
      <c r="G183" s="143">
        <f t="shared" ref="G183:H191" si="15">AVERAGE(SUMIFS(G$66:G$182,$C$66:$C$182,"MP",$D$66:$D$182,$D183),SUMIFS(G$66:G$182,$C$66:$C$182,"MH",$D$66:$D$182,$D183))</f>
        <v>7683.8316538653944</v>
      </c>
      <c r="H183" s="11">
        <f t="shared" si="15"/>
        <v>2.0511885408901898</v>
      </c>
      <c r="I183" s="510" t="s">
        <v>769</v>
      </c>
      <c r="J183" s="143">
        <f>IF($E183="2018-19",G183,G183*(1+Assumptions_EG!$C$6)*(1+INDEX($H$47:$H$55,MATCH($D183,$G$47:$G$55,0))))</f>
        <v>7683.8316538653944</v>
      </c>
      <c r="K183" s="11">
        <f>IF($E183="2018-19",H183,H183*(1+Assumptions_EG!$C$6)*(1+INDEX(Legacy_FC_VC!$I$47:$I$55,MATCH($D183,Assumptions_EG!$B$14:$B$22,0))))</f>
        <v>2.0511885408901898</v>
      </c>
      <c r="L183" s="11">
        <f>SUMIF(Legacy_FC_VC!$J$35:$J$43,D183,Legacy_FC_VC!$K$35:$K$43)</f>
        <v>0.85</v>
      </c>
      <c r="M183" s="143">
        <f>IF(SUMPRODUCT(--(D183={"EG_COAL","EG_CCGT","EG_OCGT"}))&gt;0,J183,J183+K183*8760*L183)</f>
        <v>7683.8316538653944</v>
      </c>
      <c r="N183" s="11">
        <f>IF(SUMPRODUCT(--(D183={"EG_COAL","EG_CCGT","EG_OCGT"}))&gt;0,K183,0)</f>
        <v>2.0511885408901898</v>
      </c>
      <c r="O183" s="513" t="str">
        <f t="shared" si="12"/>
        <v>WREG_COAL</v>
      </c>
      <c r="P183" s="3"/>
      <c r="Z183" s="150"/>
      <c r="AA183" s="150"/>
    </row>
    <row r="184" spans="2:27" s="304" customFormat="1" x14ac:dyDescent="0.35">
      <c r="B184" s="512" t="s">
        <v>628</v>
      </c>
      <c r="C184" s="511" t="s">
        <v>768</v>
      </c>
      <c r="D184" s="3" t="s">
        <v>1613</v>
      </c>
      <c r="E184" s="3" t="s">
        <v>739</v>
      </c>
      <c r="F184" s="143">
        <f>SUMIFS(Capacity!$C$3:$C$263,Capacity!$A$3:$A$263,$C184,Capacity!$B$3:$B$263,$D184)</f>
        <v>0</v>
      </c>
      <c r="G184" s="143">
        <f t="shared" si="15"/>
        <v>5640.6206442502835</v>
      </c>
      <c r="H184" s="11">
        <f t="shared" si="15"/>
        <v>2.2733102650357058</v>
      </c>
      <c r="I184" s="510" t="s">
        <v>769</v>
      </c>
      <c r="J184" s="143">
        <f>IF($E184="2018-19",G184,G184*(1+Assumptions_EG!$C$6)*(1+INDEX($H$47:$H$55,MATCH($D184,$G$47:$G$55,0))))</f>
        <v>5640.6206442502835</v>
      </c>
      <c r="K184" s="11">
        <f>IF($E184="2018-19",H184,H184*(1+Assumptions_EG!$C$6)*(1+INDEX(Legacy_FC_VC!$I$47:$I$55,MATCH($D184,Assumptions_EG!$B$14:$B$22,0))))</f>
        <v>2.2733102650357058</v>
      </c>
      <c r="L184" s="11">
        <f>SUMIF(Legacy_FC_VC!$J$35:$J$43,D184,Legacy_FC_VC!$K$35:$K$43)</f>
        <v>0.85</v>
      </c>
      <c r="M184" s="143">
        <f>IF(SUMPRODUCT(--(D184={"EG_COAL","EG_CCGT","EG_OCGT"}))&gt;0,J184,J184+K184*8760*L184)</f>
        <v>5640.6206442502835</v>
      </c>
      <c r="N184" s="11">
        <f>IF(SUMPRODUCT(--(D184={"EG_COAL","EG_CCGT","EG_OCGT"}))&gt;0,K184,0)</f>
        <v>2.2733102650357058</v>
      </c>
      <c r="O184" s="513" t="str">
        <f t="shared" si="12"/>
        <v>WREG_CCGT</v>
      </c>
      <c r="P184" s="3"/>
      <c r="Z184" s="150"/>
      <c r="AA184" s="150"/>
    </row>
    <row r="185" spans="2:27" s="304" customFormat="1" x14ac:dyDescent="0.35">
      <c r="B185" s="512" t="s">
        <v>628</v>
      </c>
      <c r="C185" s="511" t="s">
        <v>768</v>
      </c>
      <c r="D185" s="3" t="s">
        <v>1614</v>
      </c>
      <c r="E185" s="3" t="s">
        <v>739</v>
      </c>
      <c r="F185" s="143">
        <f>SUMIFS(Capacity!$C$3:$C$263,Capacity!$A$3:$A$263,$C185,Capacity!$B$3:$B$263,$D185)</f>
        <v>0</v>
      </c>
      <c r="G185" s="143">
        <f t="shared" si="15"/>
        <v>0</v>
      </c>
      <c r="H185" s="11">
        <f t="shared" si="15"/>
        <v>0</v>
      </c>
      <c r="I185" s="510" t="s">
        <v>769</v>
      </c>
      <c r="J185" s="143">
        <f>IF($E185="2018-19",G185,G185*(1+Assumptions_EG!$C$6)*(1+INDEX($H$47:$H$55,MATCH($D185,$G$47:$G$55,0))))</f>
        <v>0</v>
      </c>
      <c r="K185" s="11">
        <f>IF($E185="2018-19",H185,H185*(1+Assumptions_EG!$C$6)*(1+INDEX(Legacy_FC_VC!$I$47:$I$55,MATCH($D185,Assumptions_EG!$B$14:$B$22,0))))</f>
        <v>0</v>
      </c>
      <c r="L185" s="11">
        <f>SUMIF(Legacy_FC_VC!$J$35:$J$43,D185,Legacy_FC_VC!$K$35:$K$43)</f>
        <v>0.85</v>
      </c>
      <c r="M185" s="143">
        <f>IF(SUMPRODUCT(--(D185={"EG_COAL","EG_CCGT","EG_OCGT"}))&gt;0,J185,J185+K185*8760*L185)</f>
        <v>0</v>
      </c>
      <c r="N185" s="11">
        <f>IF(SUMPRODUCT(--(D185={"EG_COAL","EG_CCGT","EG_OCGT"}))&gt;0,K185,0)</f>
        <v>0</v>
      </c>
      <c r="O185" s="513" t="str">
        <f t="shared" si="12"/>
        <v>WREG_OCGT</v>
      </c>
      <c r="P185" s="3"/>
      <c r="Z185" s="150"/>
      <c r="AA185" s="150"/>
    </row>
    <row r="186" spans="2:27" s="304" customFormat="1" x14ac:dyDescent="0.35">
      <c r="B186" s="512" t="s">
        <v>628</v>
      </c>
      <c r="C186" s="511" t="s">
        <v>768</v>
      </c>
      <c r="D186" s="3" t="s">
        <v>1615</v>
      </c>
      <c r="E186" s="3" t="s">
        <v>739</v>
      </c>
      <c r="F186" s="143">
        <f>SUMIFS(Capacity!$C$3:$C$263,Capacity!$A$3:$A$263,$C186,Capacity!$B$3:$B$263,$D186)</f>
        <v>54.789081885856078</v>
      </c>
      <c r="G186" s="143">
        <f t="shared" si="15"/>
        <v>0</v>
      </c>
      <c r="H186" s="11">
        <f t="shared" si="15"/>
        <v>2.5998668699407617</v>
      </c>
      <c r="I186" s="510" t="s">
        <v>769</v>
      </c>
      <c r="J186" s="143">
        <f>IF($E186="2018-19",G186,G186*(1+Assumptions_EG!$C$6)*(1+INDEX($H$47:$H$55,MATCH($D186,$G$47:$G$55,0))))</f>
        <v>0</v>
      </c>
      <c r="K186" s="11">
        <f>IF($E186="2018-19",H186,H186*(1+Assumptions_EG!$C$6)*(1+INDEX(Legacy_FC_VC!$I$47:$I$55,MATCH($D186,Assumptions_EG!$B$14:$B$22,0))))</f>
        <v>2.5998668699407617</v>
      </c>
      <c r="L186" s="11">
        <f>SUMIF(Legacy_FC_VC!$J$35:$J$43,D186,Legacy_FC_VC!$K$35:$K$43)</f>
        <v>0.65716939790195539</v>
      </c>
      <c r="M186" s="143">
        <f>IF(SUMPRODUCT(--(D186={"EG_COAL","EG_CCGT","EG_OCGT"}))&gt;0,J186,J186+K186*8760*L186)</f>
        <v>14966.923802967294</v>
      </c>
      <c r="N186" s="11">
        <f>IF(SUMPRODUCT(--(D186={"EG_COAL","EG_CCGT","EG_OCGT"}))&gt;0,K186,0)</f>
        <v>0</v>
      </c>
      <c r="O186" s="513" t="str">
        <f t="shared" si="12"/>
        <v>WREG_PHWR</v>
      </c>
      <c r="P186" s="3"/>
      <c r="Z186" s="150"/>
      <c r="AA186" s="150"/>
    </row>
    <row r="187" spans="2:27" s="304" customFormat="1" x14ac:dyDescent="0.35">
      <c r="B187" s="512" t="s">
        <v>628</v>
      </c>
      <c r="C187" s="511" t="s">
        <v>768</v>
      </c>
      <c r="D187" s="3" t="s">
        <v>1604</v>
      </c>
      <c r="E187" s="3" t="s">
        <v>739</v>
      </c>
      <c r="F187" s="143">
        <f>SUMIFS(Capacity!$C$3:$C$263,Capacity!$A$3:$A$263,$C187,Capacity!$B$3:$B$263,$D187)</f>
        <v>220</v>
      </c>
      <c r="G187" s="143">
        <f t="shared" si="15"/>
        <v>2587.8975758924053</v>
      </c>
      <c r="H187" s="11">
        <f t="shared" si="15"/>
        <v>0.71274913892720737</v>
      </c>
      <c r="I187" s="510" t="s">
        <v>769</v>
      </c>
      <c r="J187" s="143">
        <f>IF($E187="2018-19",G187,G187*(1+Assumptions_EG!$C$6)*(1+INDEX($H$47:$H$55,MATCH($D187,$G$47:$G$55,0))))</f>
        <v>2587.8975758924053</v>
      </c>
      <c r="K187" s="11">
        <f>IF($E187="2018-19",H187,H187*(1+Assumptions_EG!$C$6)*(1+INDEX(Legacy_FC_VC!$I$47:$I$55,MATCH($D187,Assumptions_EG!$B$14:$B$22,0))))</f>
        <v>0.71274913892720737</v>
      </c>
      <c r="L187" s="11">
        <f>SUMIF(Legacy_FC_VC!$J$35:$J$43,D187,Legacy_FC_VC!$K$35:$K$43)</f>
        <v>0.32761940072174078</v>
      </c>
      <c r="M187" s="143">
        <f>IF(SUMPRODUCT(--(D187={"EG_COAL","EG_CCGT","EG_OCGT"}))&gt;0,J187,J187+K187*8760*L187)</f>
        <v>4633.4490807523571</v>
      </c>
      <c r="N187" s="11">
        <f>IF(SUMPRODUCT(--(D187={"EG_COAL","EG_CCGT","EG_OCGT"}))&gt;0,K187,0)</f>
        <v>0</v>
      </c>
      <c r="O187" s="513" t="str">
        <f t="shared" si="12"/>
        <v>WREG_LH</v>
      </c>
      <c r="P187" s="3"/>
      <c r="Z187" s="150"/>
      <c r="AA187" s="150"/>
    </row>
    <row r="188" spans="2:27" s="304" customFormat="1" x14ac:dyDescent="0.35">
      <c r="B188" s="512" t="s">
        <v>628</v>
      </c>
      <c r="C188" s="511" t="s">
        <v>768</v>
      </c>
      <c r="D188" s="3" t="s">
        <v>1603</v>
      </c>
      <c r="E188" s="3" t="s">
        <v>739</v>
      </c>
      <c r="F188" s="143">
        <f>SUMIFS(Capacity!$C$3:$C$263,Capacity!$A$3:$A$263,$C188,Capacity!$B$3:$B$263,$D188)</f>
        <v>76</v>
      </c>
      <c r="G188" s="143">
        <f t="shared" si="15"/>
        <v>421.5</v>
      </c>
      <c r="H188" s="11">
        <f t="shared" si="15"/>
        <v>1.905</v>
      </c>
      <c r="I188" s="510" t="s">
        <v>769</v>
      </c>
      <c r="J188" s="143">
        <f>IF($E188="2018-19",G188,G188*(1+Assumptions_EG!$C$6)*(1+INDEX($H$47:$H$55,MATCH($D188,$G$47:$G$55,0))))</f>
        <v>421.5</v>
      </c>
      <c r="K188" s="11">
        <f>IF($E188="2018-19",H188,H188*(1+Assumptions_EG!$C$6)*(1+INDEX(Legacy_FC_VC!$I$47:$I$55,MATCH($D188,Assumptions_EG!$B$14:$B$22,0))))</f>
        <v>1.905</v>
      </c>
      <c r="L188" s="11">
        <f>SUMIF(Legacy_FC_VC!$J$35:$J$43,D188,Legacy_FC_VC!$K$35:$K$43)</f>
        <v>0.20627943231757243</v>
      </c>
      <c r="M188" s="143">
        <f>IF(SUMPRODUCT(--(D188={"EG_COAL","EG_CCGT","EG_OCGT"}))&gt;0,J188,J188+K188*8760*L188)</f>
        <v>3863.8499106291852</v>
      </c>
      <c r="N188" s="11">
        <f>IF(SUMPRODUCT(--(D188={"EG_COAL","EG_CCGT","EG_OCGT"}))&gt;0,K188,0)</f>
        <v>0</v>
      </c>
      <c r="O188" s="513" t="str">
        <f t="shared" si="12"/>
        <v>WREG_SH</v>
      </c>
      <c r="P188" s="3"/>
      <c r="Z188" s="150"/>
      <c r="AA188" s="150"/>
    </row>
    <row r="189" spans="2:27" s="304" customFormat="1" x14ac:dyDescent="0.35">
      <c r="B189" s="512" t="s">
        <v>628</v>
      </c>
      <c r="C189" s="511" t="s">
        <v>768</v>
      </c>
      <c r="D189" s="3" t="s">
        <v>1605</v>
      </c>
      <c r="E189" s="3" t="s">
        <v>739</v>
      </c>
      <c r="F189" s="143">
        <f>SUMIFS(Capacity!$C$3:$C$263,Capacity!$A$3:$A$263,$C189,Capacity!$B$3:$B$263,$D189)</f>
        <v>230.5</v>
      </c>
      <c r="G189" s="143">
        <f t="shared" si="15"/>
        <v>0</v>
      </c>
      <c r="H189" s="11">
        <f t="shared" si="15"/>
        <v>5.76</v>
      </c>
      <c r="I189" s="510" t="s">
        <v>769</v>
      </c>
      <c r="J189" s="143">
        <f>IF($E189="2018-19",G189,G189*(1+Assumptions_EG!$C$6)*(1+INDEX($H$47:$H$55,MATCH($D189,$G$47:$G$55,0))))</f>
        <v>0</v>
      </c>
      <c r="K189" s="11">
        <f>IF($E189="2018-19",H189,H189*(1+Assumptions_EG!$C$6)*(1+INDEX(Legacy_FC_VC!$I$47:$I$55,MATCH($D189,Assumptions_EG!$B$14:$B$22,0))))</f>
        <v>5.76</v>
      </c>
      <c r="L189" s="11">
        <f>SUMIF(Legacy_FC_VC!$J$35:$J$43,D189,Legacy_FC_VC!$K$35:$K$43)</f>
        <v>0.2313655363440307</v>
      </c>
      <c r="M189" s="143">
        <f>IF(SUMPRODUCT(--(D189={"EG_COAL","EG_CCGT","EG_OCGT"}))&gt;0,J189,J189+K189*8760*L189)</f>
        <v>11674.149686632563</v>
      </c>
      <c r="N189" s="11">
        <f>IF(SUMPRODUCT(--(D189={"EG_COAL","EG_CCGT","EG_OCGT"}))&gt;0,K189,0)</f>
        <v>0</v>
      </c>
      <c r="O189" s="513" t="str">
        <f t="shared" si="12"/>
        <v>WREG_BIOMASS</v>
      </c>
      <c r="P189" s="3"/>
      <c r="Z189" s="150"/>
      <c r="AA189" s="150"/>
    </row>
    <row r="190" spans="2:27" s="304" customFormat="1" x14ac:dyDescent="0.35">
      <c r="B190" s="512" t="s">
        <v>628</v>
      </c>
      <c r="C190" s="511" t="s">
        <v>768</v>
      </c>
      <c r="D190" s="3" t="s">
        <v>1636</v>
      </c>
      <c r="E190" s="3" t="s">
        <v>739</v>
      </c>
      <c r="F190" s="143">
        <f>SUMIFS(Capacity!$C$3:$C$263,Capacity!$A$3:$A$263,$C190,Capacity!$B$3:$B$263,$D190)</f>
        <v>231.35000000000002</v>
      </c>
      <c r="G190" s="143">
        <f t="shared" si="15"/>
        <v>0</v>
      </c>
      <c r="H190" s="11">
        <f t="shared" si="15"/>
        <v>5.16</v>
      </c>
      <c r="I190" s="510" t="s">
        <v>769</v>
      </c>
      <c r="J190" s="143">
        <f>IF($E190="2018-19",G190,G190*(1+Assumptions_EG!$C$6)*(1+INDEX($H$47:$H$55,MATCH($D190,$G$47:$G$55,0))))</f>
        <v>0</v>
      </c>
      <c r="K190" s="11">
        <f>IF($E190="2018-19",H190,H190*(1+Assumptions_EG!$C$6)*(1+INDEX(Legacy_FC_VC!$I$47:$I$55,MATCH($D190,Assumptions_EG!$B$14:$B$22,0))))</f>
        <v>5.16</v>
      </c>
      <c r="L190" s="11">
        <f>SUMIF(Legacy_FC_VC!$J$35:$J$43,D190,Legacy_FC_VC!$K$35:$K$43)</f>
        <v>0.1890889600524939</v>
      </c>
      <c r="M190" s="143">
        <f>IF(SUMPRODUCT(--(D190={"EG_COAL","EG_CCGT","EG_OCGT"}))&gt;0,J190,J190+K190*8760*L190)</f>
        <v>8547.1235367088084</v>
      </c>
      <c r="N190" s="11">
        <f>IF(SUMPRODUCT(--(D190={"EG_COAL","EG_CCGT","EG_OCGT"}))&gt;0,K190,0)</f>
        <v>0</v>
      </c>
      <c r="O190" s="513" t="str">
        <f t="shared" si="12"/>
        <v>WREG_SOLARPV</v>
      </c>
      <c r="P190" s="3"/>
      <c r="Z190" s="150"/>
      <c r="AA190" s="150"/>
    </row>
    <row r="191" spans="2:27" s="304" customFormat="1" x14ac:dyDescent="0.35">
      <c r="B191" s="512" t="s">
        <v>628</v>
      </c>
      <c r="C191" s="511" t="s">
        <v>768</v>
      </c>
      <c r="D191" s="3" t="s">
        <v>1606</v>
      </c>
      <c r="E191" s="3" t="s">
        <v>739</v>
      </c>
      <c r="F191" s="143">
        <f>SUMIFS(Capacity!$C$3:$C$263,Capacity!$A$3:$A$263,$C191,Capacity!$B$3:$B$263,$D191)</f>
        <v>0</v>
      </c>
      <c r="G191" s="143">
        <f t="shared" si="15"/>
        <v>0</v>
      </c>
      <c r="H191" s="11">
        <f t="shared" si="15"/>
        <v>5.2419538689338108</v>
      </c>
      <c r="I191" s="510" t="s">
        <v>769</v>
      </c>
      <c r="J191" s="143">
        <f>IF($E191="2018-19",G191,G191*(1+Assumptions_EG!$C$6)*(1+INDEX($H$47:$H$55,MATCH($D191,$G$47:$G$55,0))))</f>
        <v>0</v>
      </c>
      <c r="K191" s="11">
        <f>IF($E191="2018-19",H191,H191*(1+Assumptions_EG!$C$6)*(1+INDEX(Legacy_FC_VC!$I$47:$I$55,MATCH($D191,Assumptions_EG!$B$14:$B$22,0))))</f>
        <v>5.2419538689338108</v>
      </c>
      <c r="L191" s="11">
        <f>SUMIF(Legacy_FC_VC!$J$35:$J$43,D191,Legacy_FC_VC!$K$35:$K$43)</f>
        <v>0.19182955699540097</v>
      </c>
      <c r="M191" s="143">
        <f>IF(SUMPRODUCT(--(D191={"EG_COAL","EG_CCGT","EG_OCGT"}))&gt;0,J191,J191+K191*8760*L191)</f>
        <v>8808.7203909788132</v>
      </c>
      <c r="N191" s="11">
        <f>IF(SUMPRODUCT(--(D191={"EG_COAL","EG_CCGT","EG_OCGT"}))&gt;0,K191,0)</f>
        <v>0</v>
      </c>
      <c r="O191" s="513" t="str">
        <f t="shared" si="12"/>
        <v>WREG_WIND</v>
      </c>
      <c r="P191" s="3"/>
      <c r="Z191" s="150"/>
      <c r="AA191" s="150"/>
    </row>
    <row r="192" spans="2:27" x14ac:dyDescent="0.35">
      <c r="B192" s="512" t="s">
        <v>1046</v>
      </c>
      <c r="C192" s="511" t="s">
        <v>771</v>
      </c>
      <c r="D192" s="3" t="s">
        <v>1612</v>
      </c>
      <c r="E192" s="3" t="s">
        <v>750</v>
      </c>
      <c r="F192" s="143">
        <f>SUMIFS(Capacity!$C$3:$C$263,Capacity!$A$3:$A$263,$C192,Capacity!$B$3:$B$263,$D192)</f>
        <v>4221.6879099389189</v>
      </c>
      <c r="G192" s="143">
        <f t="shared" ref="G192:H211" si="16">SUMIFS(G$66:G$182,$C$66:$C$182,$I192,$D$66:$D$182,$D192)</f>
        <v>7859.8285752748052</v>
      </c>
      <c r="H192" s="11">
        <f t="shared" si="16"/>
        <v>2.5250933596720855</v>
      </c>
      <c r="I192" s="510" t="s">
        <v>753</v>
      </c>
      <c r="J192" s="143">
        <f>IF($E192="2018-19",G192,G192*(1+Assumptions_EG!$C$6)*(1+INDEX($H$47:$H$55,MATCH($D192,$G$47:$G$55,0))))</f>
        <v>8172.5301172698073</v>
      </c>
      <c r="K192" s="11">
        <f>IF($E192="2018-19",H192,H192*(1+Assumptions_EG!$C$7)*(1+INDEX(Legacy_FC_VC!$I$47:$I$55,MATCH($D192,Assumptions_EG!$B$14:$B$22,0))))</f>
        <v>2.7912810004931692</v>
      </c>
      <c r="L192" s="11">
        <f>SUMIF(Legacy_FC_VC!$J$35:$J$43,D192,Legacy_FC_VC!$K$35:$K$43)</f>
        <v>0.85</v>
      </c>
      <c r="M192" s="143">
        <f>IF(SUMPRODUCT(--(D192={"EG_COAL","EG_CCGT","EG_OCGT"}))&gt;0,J192,J192+K192*8760*L192)</f>
        <v>8172.5301172698073</v>
      </c>
      <c r="N192" s="11">
        <f>IF(SUMPRODUCT(--(D192={"EG_COAL","EG_CCGT","EG_OCGT"}))&gt;0,K192,0)</f>
        <v>2.7912810004931692</v>
      </c>
      <c r="O192" s="513" t="str">
        <f t="shared" si="12"/>
        <v>NREG_COAL</v>
      </c>
      <c r="P192" s="3"/>
      <c r="Z192" s="150"/>
      <c r="AA192" s="150"/>
    </row>
    <row r="193" spans="2:27" s="304" customFormat="1" x14ac:dyDescent="0.35">
      <c r="B193" s="512" t="s">
        <v>1046</v>
      </c>
      <c r="C193" s="511" t="s">
        <v>771</v>
      </c>
      <c r="D193" s="3" t="s">
        <v>1613</v>
      </c>
      <c r="E193" s="3" t="s">
        <v>750</v>
      </c>
      <c r="F193" s="143">
        <f>SUMIFS(Capacity!$C$3:$C$263,Capacity!$A$3:$A$263,$C193,Capacity!$B$3:$B$263,$D193)</f>
        <v>2115.41</v>
      </c>
      <c r="G193" s="143">
        <f t="shared" si="16"/>
        <v>1106.1808853606958</v>
      </c>
      <c r="H193" s="11">
        <f t="shared" si="16"/>
        <v>2.9357384441939116</v>
      </c>
      <c r="I193" s="510" t="s">
        <v>753</v>
      </c>
      <c r="J193" s="143">
        <f>IF($E193="2018-19",G193,G193*(1+Assumptions_EG!$C$6)*(1+INDEX($H$47:$H$55,MATCH($D193,$G$47:$G$55,0))))</f>
        <v>1150.1900472991408</v>
      </c>
      <c r="K193" s="11">
        <f>IF($E193="2018-19",H193,H193*(1+Assumptions_EG!$C$7)*(1+INDEX(Legacy_FC_VC!$I$47:$I$55,MATCH($D193,Assumptions_EG!$B$14:$B$22,0))))</f>
        <v>3.140925619658538</v>
      </c>
      <c r="L193" s="11">
        <f>SUMIF(Legacy_FC_VC!$J$35:$J$43,D193,Legacy_FC_VC!$K$35:$K$43)</f>
        <v>0.85</v>
      </c>
      <c r="M193" s="143">
        <f>IF(SUMPRODUCT(--(D193={"EG_COAL","EG_CCGT","EG_OCGT"}))&gt;0,J193,J193+K193*8760*L193)</f>
        <v>1150.1900472991408</v>
      </c>
      <c r="N193" s="11">
        <f>IF(SUMPRODUCT(--(D193={"EG_COAL","EG_CCGT","EG_OCGT"}))&gt;0,K193,0)</f>
        <v>3.140925619658538</v>
      </c>
      <c r="O193" s="513" t="str">
        <f t="shared" si="12"/>
        <v>NREG_CCGT</v>
      </c>
      <c r="P193" s="3"/>
      <c r="Z193" s="150"/>
      <c r="AA193" s="150"/>
    </row>
    <row r="194" spans="2:27" s="304" customFormat="1" x14ac:dyDescent="0.35">
      <c r="B194" s="512" t="s">
        <v>1046</v>
      </c>
      <c r="C194" s="511" t="s">
        <v>771</v>
      </c>
      <c r="D194" s="3" t="s">
        <v>1614</v>
      </c>
      <c r="E194" s="3" t="s">
        <v>750</v>
      </c>
      <c r="F194" s="143">
        <f>SUMIFS(Capacity!$C$3:$C$263,Capacity!$A$3:$A$263,$C194,Capacity!$B$3:$B$263,$D194)</f>
        <v>0</v>
      </c>
      <c r="G194" s="143">
        <f t="shared" si="16"/>
        <v>0</v>
      </c>
      <c r="H194" s="11">
        <f t="shared" si="16"/>
        <v>0</v>
      </c>
      <c r="I194" s="510" t="s">
        <v>753</v>
      </c>
      <c r="J194" s="143">
        <f>IF($E194="2018-19",G194,G194*(1+Assumptions_EG!$C$6)*(1+INDEX($H$47:$H$55,MATCH($D194,$G$47:$G$55,0))))</f>
        <v>0</v>
      </c>
      <c r="K194" s="11">
        <f>IF($E194="2018-19",H194,H194*(1+Assumptions_EG!$C$7)*(1+INDEX(Legacy_FC_VC!$I$47:$I$55,MATCH($D194,Assumptions_EG!$B$14:$B$22,0))))</f>
        <v>0</v>
      </c>
      <c r="L194" s="11">
        <f>SUMIF(Legacy_FC_VC!$J$35:$J$43,D194,Legacy_FC_VC!$K$35:$K$43)</f>
        <v>0.85</v>
      </c>
      <c r="M194" s="143">
        <f>IF(SUMPRODUCT(--(D194={"EG_COAL","EG_CCGT","EG_OCGT"}))&gt;0,J194,J194+K194*8760*L194)</f>
        <v>0</v>
      </c>
      <c r="N194" s="11">
        <f>IF(SUMPRODUCT(--(D194={"EG_COAL","EG_CCGT","EG_OCGT"}))&gt;0,K194,0)</f>
        <v>0</v>
      </c>
      <c r="O194" s="513" t="str">
        <f t="shared" ref="O194:O257" si="17">B194&amp;D194</f>
        <v>NREG_OCGT</v>
      </c>
      <c r="P194" s="3"/>
      <c r="Z194" s="150"/>
      <c r="AA194" s="150"/>
    </row>
    <row r="195" spans="2:27" s="304" customFormat="1" x14ac:dyDescent="0.35">
      <c r="B195" s="512" t="s">
        <v>1046</v>
      </c>
      <c r="C195" s="511" t="s">
        <v>771</v>
      </c>
      <c r="D195" s="3" t="s">
        <v>1615</v>
      </c>
      <c r="E195" s="3" t="s">
        <v>750</v>
      </c>
      <c r="F195" s="143">
        <f>SUMIFS(Capacity!$C$3:$C$263,Capacity!$A$3:$A$263,$C195,Capacity!$B$3:$B$263,$D195)</f>
        <v>120.45336881227493</v>
      </c>
      <c r="G195" s="143">
        <f t="shared" si="16"/>
        <v>0</v>
      </c>
      <c r="H195" s="11">
        <f t="shared" si="16"/>
        <v>3.1850938010716217</v>
      </c>
      <c r="I195" s="510" t="s">
        <v>753</v>
      </c>
      <c r="J195" s="143">
        <f>IF($E195="2018-19",G195,G195*(1+Assumptions_EG!$C$6)*(1+INDEX($H$47:$H$55,MATCH($D195,$G$47:$G$55,0))))</f>
        <v>0</v>
      </c>
      <c r="K195" s="11">
        <f>IF($E195="2018-19",H195,H195*(1+Assumptions_EG!$C$7)*(1+INDEX(Legacy_FC_VC!$I$47:$I$55,MATCH($D195,Assumptions_EG!$B$14:$B$22,0))))</f>
        <v>3.3124975531144867</v>
      </c>
      <c r="L195" s="11">
        <f>SUMIF(Legacy_FC_VC!$J$35:$J$43,D195,Legacy_FC_VC!$K$35:$K$43)</f>
        <v>0.65716939790195539</v>
      </c>
      <c r="M195" s="143">
        <f>IF(SUMPRODUCT(--(D195={"EG_COAL","EG_CCGT","EG_OCGT"}))&gt;0,J195,J195+K195*8760*L195)</f>
        <v>19069.398917379862</v>
      </c>
      <c r="N195" s="11">
        <f>IF(SUMPRODUCT(--(D195={"EG_COAL","EG_CCGT","EG_OCGT"}))&gt;0,K195,0)</f>
        <v>0</v>
      </c>
      <c r="O195" s="513" t="str">
        <f t="shared" si="17"/>
        <v>NREG_PHWR</v>
      </c>
      <c r="P195" s="3"/>
      <c r="Z195" s="150"/>
      <c r="AA195" s="150"/>
    </row>
    <row r="196" spans="2:27" s="304" customFormat="1" x14ac:dyDescent="0.35">
      <c r="B196" s="512" t="s">
        <v>1046</v>
      </c>
      <c r="C196" s="511" t="s">
        <v>771</v>
      </c>
      <c r="D196" s="3" t="s">
        <v>1604</v>
      </c>
      <c r="E196" s="3" t="s">
        <v>750</v>
      </c>
      <c r="F196" s="143">
        <f>SUMIFS(Capacity!$C$3:$C$263,Capacity!$A$3:$A$263,$C196,Capacity!$B$3:$B$263,$D196)</f>
        <v>751.75450334479672</v>
      </c>
      <c r="G196" s="143">
        <f t="shared" si="16"/>
        <v>6157.4168521951506</v>
      </c>
      <c r="H196" s="11">
        <f t="shared" si="16"/>
        <v>1.6460835613245164</v>
      </c>
      <c r="I196" s="510" t="s">
        <v>753</v>
      </c>
      <c r="J196" s="143">
        <f>IF($E196="2018-19",G196,G196*(1+Assumptions_EG!$C$6)*(1+INDEX($H$47:$H$55,MATCH($D196,$G$47:$G$55,0))))</f>
        <v>6402.3883202045681</v>
      </c>
      <c r="K196" s="11">
        <f>IF($E196="2018-19",H196,H196*(1+Assumptions_EG!$C$7)*(1+INDEX(Legacy_FC_VC!$I$47:$I$55,MATCH($D196,Assumptions_EG!$B$14:$B$22,0))))</f>
        <v>1.7119269037774971</v>
      </c>
      <c r="L196" s="11">
        <f>SUMIF(Legacy_FC_VC!$J$35:$J$43,D196,Legacy_FC_VC!$K$35:$K$43)</f>
        <v>0.32761940072174078</v>
      </c>
      <c r="M196" s="143">
        <f>IF(SUMPRODUCT(--(D196={"EG_COAL","EG_CCGT","EG_OCGT"}))&gt;0,J196,J196+K196*8760*L196)</f>
        <v>11315.526004948846</v>
      </c>
      <c r="N196" s="11">
        <f>IF(SUMPRODUCT(--(D196={"EG_COAL","EG_CCGT","EG_OCGT"}))&gt;0,K196,0)</f>
        <v>0</v>
      </c>
      <c r="O196" s="513" t="str">
        <f t="shared" si="17"/>
        <v>NREG_LH</v>
      </c>
      <c r="P196" s="3"/>
      <c r="Z196" s="150"/>
      <c r="AA196" s="150"/>
    </row>
    <row r="197" spans="2:27" s="304" customFormat="1" x14ac:dyDescent="0.35">
      <c r="B197" s="512" t="s">
        <v>1046</v>
      </c>
      <c r="C197" s="511" t="s">
        <v>771</v>
      </c>
      <c r="D197" s="3" t="s">
        <v>1603</v>
      </c>
      <c r="E197" s="3" t="s">
        <v>750</v>
      </c>
      <c r="F197" s="143">
        <f>SUMIFS(Capacity!$C$3:$C$263,Capacity!$A$3:$A$263,$C197,Capacity!$B$3:$B$263,$D197)</f>
        <v>0</v>
      </c>
      <c r="G197" s="143">
        <f t="shared" si="16"/>
        <v>2690.9871244635192</v>
      </c>
      <c r="H197" s="11">
        <f t="shared" si="16"/>
        <v>0</v>
      </c>
      <c r="I197" s="510" t="s">
        <v>753</v>
      </c>
      <c r="J197" s="143">
        <f>IF($E197="2018-19",G197,G197*(1+Assumptions_EG!$C$6)*(1+INDEX($H$47:$H$55,MATCH($D197,$G$47:$G$55,0))))</f>
        <v>2798.047452211064</v>
      </c>
      <c r="K197" s="11">
        <f>IF($E197="2018-19",H197,H197*(1+Assumptions_EG!$C$7)*(1+INDEX(Legacy_FC_VC!$I$47:$I$55,MATCH($D197,Assumptions_EG!$B$14:$B$22,0))))</f>
        <v>0</v>
      </c>
      <c r="L197" s="11">
        <f>SUMIF(Legacy_FC_VC!$J$35:$J$43,D197,Legacy_FC_VC!$K$35:$K$43)</f>
        <v>0.20627943231757243</v>
      </c>
      <c r="M197" s="143">
        <f>IF(SUMPRODUCT(--(D197={"EG_COAL","EG_CCGT","EG_OCGT"}))&gt;0,J197,J197+K197*8760*L197)</f>
        <v>2798.047452211064</v>
      </c>
      <c r="N197" s="11">
        <f>IF(SUMPRODUCT(--(D197={"EG_COAL","EG_CCGT","EG_OCGT"}))&gt;0,K197,0)</f>
        <v>0</v>
      </c>
      <c r="O197" s="513" t="str">
        <f t="shared" si="17"/>
        <v>NREG_SH</v>
      </c>
      <c r="P197" s="3"/>
      <c r="Z197" s="150"/>
      <c r="AA197" s="150"/>
    </row>
    <row r="198" spans="2:27" s="304" customFormat="1" x14ac:dyDescent="0.35">
      <c r="B198" s="512" t="s">
        <v>1046</v>
      </c>
      <c r="C198" s="511" t="s">
        <v>771</v>
      </c>
      <c r="D198" s="3" t="s">
        <v>1605</v>
      </c>
      <c r="E198" s="3" t="s">
        <v>750</v>
      </c>
      <c r="F198" s="143">
        <f>SUMIFS(Capacity!$C$3:$C$263,Capacity!$A$3:$A$263,$C198,Capacity!$B$3:$B$263,$D198)</f>
        <v>52</v>
      </c>
      <c r="G198" s="143">
        <f t="shared" si="16"/>
        <v>0</v>
      </c>
      <c r="H198" s="11">
        <f t="shared" si="16"/>
        <v>5.18</v>
      </c>
      <c r="I198" s="510" t="s">
        <v>753</v>
      </c>
      <c r="J198" s="143">
        <f>IF($E198="2018-19",G198,G198*(1+Assumptions_EG!$C$6)*(1+INDEX($H$47:$H$55,MATCH($D198,$G$47:$G$55,0))))</f>
        <v>0</v>
      </c>
      <c r="K198" s="11">
        <f>IF($E198="2018-19",H198,H198*(1+Assumptions_EG!$C$7)*(1+INDEX(Legacy_FC_VC!$I$47:$I$55,MATCH($D198,Assumptions_EG!$B$14:$B$22,0))))</f>
        <v>5.3872</v>
      </c>
      <c r="L198" s="11">
        <f>SUMIF(Legacy_FC_VC!$J$35:$J$43,D198,Legacy_FC_VC!$K$35:$K$43)</f>
        <v>0.2313655363440307</v>
      </c>
      <c r="M198" s="143">
        <f>IF(SUMPRODUCT(--(D198={"EG_COAL","EG_CCGT","EG_OCGT"}))&gt;0,J198,J198+K198*8760*L198)</f>
        <v>10918.572776358846</v>
      </c>
      <c r="N198" s="11">
        <f>IF(SUMPRODUCT(--(D198={"EG_COAL","EG_CCGT","EG_OCGT"}))&gt;0,K198,0)</f>
        <v>0</v>
      </c>
      <c r="O198" s="513" t="str">
        <f t="shared" si="17"/>
        <v>NREG_BIOMASS</v>
      </c>
      <c r="P198" s="3"/>
      <c r="Z198" s="150"/>
      <c r="AA198" s="150"/>
    </row>
    <row r="199" spans="2:27" s="304" customFormat="1" x14ac:dyDescent="0.35">
      <c r="B199" s="512" t="s">
        <v>1046</v>
      </c>
      <c r="C199" s="511" t="s">
        <v>771</v>
      </c>
      <c r="D199" s="3" t="s">
        <v>1636</v>
      </c>
      <c r="E199" s="3" t="s">
        <v>750</v>
      </c>
      <c r="F199" s="143">
        <f>SUMIFS(Capacity!$C$3:$C$263,Capacity!$A$3:$A$263,$C199,Capacity!$B$3:$B$263,$D199)</f>
        <v>126.89000000000001</v>
      </c>
      <c r="G199" s="143">
        <f t="shared" si="16"/>
        <v>0</v>
      </c>
      <c r="H199" s="11">
        <f t="shared" si="16"/>
        <v>6.46</v>
      </c>
      <c r="I199" s="510" t="s">
        <v>753</v>
      </c>
      <c r="J199" s="143">
        <f>IF($E199="2018-19",G199,G199*(1+Assumptions_EG!$C$6)*(1+INDEX($H$47:$H$55,MATCH($D199,$G$47:$G$55,0))))</f>
        <v>0</v>
      </c>
      <c r="K199" s="11">
        <f>IF($E199="2018-19",H199,H199*(1+Assumptions_EG!$C$7)*(1+INDEX(Legacy_FC_VC!$I$47:$I$55,MATCH($D199,Assumptions_EG!$B$14:$B$22,0))))</f>
        <v>6.4496639999999994</v>
      </c>
      <c r="L199" s="11">
        <f>SUMIF(Legacy_FC_VC!$J$35:$J$43,D199,Legacy_FC_VC!$K$35:$K$43)</f>
        <v>0.1890889600524939</v>
      </c>
      <c r="M199" s="143">
        <f>IF(SUMPRODUCT(--(D199={"EG_COAL","EG_CCGT","EG_OCGT"}))&gt;0,J199,J199+K199*8760*L199)</f>
        <v>10683.347864004549</v>
      </c>
      <c r="N199" s="11">
        <f>IF(SUMPRODUCT(--(D199={"EG_COAL","EG_CCGT","EG_OCGT"}))&gt;0,K199,0)</f>
        <v>0</v>
      </c>
      <c r="O199" s="513" t="str">
        <f t="shared" si="17"/>
        <v>NREG_SOLARPV</v>
      </c>
      <c r="P199" s="3"/>
      <c r="Z199" s="150"/>
      <c r="AA199" s="150"/>
    </row>
    <row r="200" spans="2:27" s="304" customFormat="1" x14ac:dyDescent="0.35">
      <c r="B200" s="512" t="s">
        <v>1046</v>
      </c>
      <c r="C200" s="511" t="s">
        <v>771</v>
      </c>
      <c r="D200" s="3" t="s">
        <v>1606</v>
      </c>
      <c r="E200" s="3" t="s">
        <v>750</v>
      </c>
      <c r="F200" s="143">
        <f>SUMIFS(Capacity!$C$3:$C$263,Capacity!$A$3:$A$263,$C200,Capacity!$B$3:$B$263,$D200)</f>
        <v>0</v>
      </c>
      <c r="G200" s="143">
        <f t="shared" si="16"/>
        <v>0</v>
      </c>
      <c r="H200" s="11">
        <f t="shared" si="16"/>
        <v>0</v>
      </c>
      <c r="I200" s="510" t="s">
        <v>753</v>
      </c>
      <c r="J200" s="143">
        <f>IF($E200="2018-19",G200,G200*(1+Assumptions_EG!$C$6)*(1+INDEX($H$47:$H$55,MATCH($D200,$G$47:$G$55,0))))</f>
        <v>0</v>
      </c>
      <c r="K200" s="11">
        <f>IF($E200="2018-19",H200,H200*(1+Assumptions_EG!$C$7)*(1+INDEX(Legacy_FC_VC!$I$47:$I$55,MATCH($D200,Assumptions_EG!$B$14:$B$22,0))))</f>
        <v>0</v>
      </c>
      <c r="L200" s="11">
        <f>SUMIF(Legacy_FC_VC!$J$35:$J$43,D200,Legacy_FC_VC!$K$35:$K$43)</f>
        <v>0.19182955699540097</v>
      </c>
      <c r="M200" s="143">
        <f>IF(SUMPRODUCT(--(D200={"EG_COAL","EG_CCGT","EG_OCGT"}))&gt;0,J200,J200+K200*8760*L200)</f>
        <v>0</v>
      </c>
      <c r="N200" s="11">
        <f>IF(SUMPRODUCT(--(D200={"EG_COAL","EG_CCGT","EG_OCGT"}))&gt;0,K200,0)</f>
        <v>0</v>
      </c>
      <c r="O200" s="513" t="str">
        <f t="shared" si="17"/>
        <v>NREG_WIND</v>
      </c>
      <c r="P200" s="3"/>
      <c r="Z200" s="150"/>
      <c r="AA200" s="150"/>
    </row>
    <row r="201" spans="2:27" x14ac:dyDescent="0.35">
      <c r="B201" s="512" t="s">
        <v>628</v>
      </c>
      <c r="C201" s="511" t="s">
        <v>773</v>
      </c>
      <c r="D201" s="3" t="s">
        <v>1612</v>
      </c>
      <c r="E201" s="3" t="s">
        <v>739</v>
      </c>
      <c r="F201" s="143">
        <f>SUMIFS(Capacity!$C$3:$C$263,Capacity!$A$3:$A$263,$C201,Capacity!$B$3:$B$263,$D201)</f>
        <v>485.13507244702879</v>
      </c>
      <c r="G201" s="143">
        <f t="shared" si="16"/>
        <v>8540.3078639695304</v>
      </c>
      <c r="H201" s="11">
        <f t="shared" si="16"/>
        <v>2.1836520025927513</v>
      </c>
      <c r="I201" s="510" t="s">
        <v>749</v>
      </c>
      <c r="J201" s="143">
        <f>IF($E201="2018-19",G201,G201*(1+Assumptions_EG!$C$6)*(1+INDEX($H$47:$H$55,MATCH($D201,$G$47:$G$55,0))))</f>
        <v>8540.3078639695304</v>
      </c>
      <c r="K201" s="11">
        <f>IF($E201="2018-19",H201,H201*(1+Assumptions_EG!$C$6)*(1+INDEX(Legacy_FC_VC!$I$47:$I$55,MATCH($D201,Assumptions_EG!$B$14:$B$22,0))))</f>
        <v>2.1836520025927513</v>
      </c>
      <c r="L201" s="11">
        <f>SUMIF(Legacy_FC_VC!$J$35:$J$43,D201,Legacy_FC_VC!$K$35:$K$43)</f>
        <v>0.85</v>
      </c>
      <c r="M201" s="143">
        <f>IF(SUMPRODUCT(--(D201={"EG_COAL","EG_CCGT","EG_OCGT"}))&gt;0,J201,J201+K201*8760*L201)</f>
        <v>8540.3078639695304</v>
      </c>
      <c r="N201" s="11">
        <f>IF(SUMPRODUCT(--(D201={"EG_COAL","EG_CCGT","EG_OCGT"}))&gt;0,K201,0)</f>
        <v>2.1836520025927513</v>
      </c>
      <c r="O201" s="513" t="str">
        <f t="shared" si="17"/>
        <v>WREG_COAL</v>
      </c>
      <c r="P201" s="3"/>
      <c r="Z201" s="150"/>
      <c r="AA201" s="150"/>
    </row>
    <row r="202" spans="2:27" s="304" customFormat="1" x14ac:dyDescent="0.35">
      <c r="B202" s="512" t="s">
        <v>628</v>
      </c>
      <c r="C202" s="511" t="s">
        <v>773</v>
      </c>
      <c r="D202" s="3" t="s">
        <v>1613</v>
      </c>
      <c r="E202" s="3" t="s">
        <v>739</v>
      </c>
      <c r="F202" s="143">
        <f>SUMIFS(Capacity!$C$3:$C$263,Capacity!$A$3:$A$263,$C202,Capacity!$B$3:$B$263,$D202)</f>
        <v>67.67</v>
      </c>
      <c r="G202" s="143">
        <f t="shared" si="16"/>
        <v>4400.3074363604892</v>
      </c>
      <c r="H202" s="11">
        <f t="shared" si="16"/>
        <v>2.0994609969974816</v>
      </c>
      <c r="I202" s="510" t="s">
        <v>749</v>
      </c>
      <c r="J202" s="143">
        <f>IF($E202="2018-19",G202,G202*(1+Assumptions_EG!$C$6)*(1+INDEX($H$47:$H$55,MATCH($D202,$G$47:$G$55,0))))</f>
        <v>4400.3074363604892</v>
      </c>
      <c r="K202" s="11">
        <f>IF($E202="2018-19",H202,H202*(1+Assumptions_EG!$C$6)*(1+INDEX(Legacy_FC_VC!$I$47:$I$55,MATCH($D202,Assumptions_EG!$B$14:$B$22,0))))</f>
        <v>2.0994609969974816</v>
      </c>
      <c r="L202" s="11">
        <f>SUMIF(Legacy_FC_VC!$J$35:$J$43,D202,Legacy_FC_VC!$K$35:$K$43)</f>
        <v>0.85</v>
      </c>
      <c r="M202" s="143">
        <f>IF(SUMPRODUCT(--(D202={"EG_COAL","EG_CCGT","EG_OCGT"}))&gt;0,J202,J202+K202*8760*L202)</f>
        <v>4400.3074363604892</v>
      </c>
      <c r="N202" s="11">
        <f>IF(SUMPRODUCT(--(D202={"EG_COAL","EG_CCGT","EG_OCGT"}))&gt;0,K202,0)</f>
        <v>2.0994609969974816</v>
      </c>
      <c r="O202" s="513" t="str">
        <f t="shared" si="17"/>
        <v>WREG_CCGT</v>
      </c>
      <c r="P202" s="3"/>
      <c r="Z202" s="150"/>
      <c r="AA202" s="150"/>
    </row>
    <row r="203" spans="2:27" s="304" customFormat="1" x14ac:dyDescent="0.35">
      <c r="B203" s="512" t="s">
        <v>628</v>
      </c>
      <c r="C203" s="511" t="s">
        <v>773</v>
      </c>
      <c r="D203" s="3" t="s">
        <v>1614</v>
      </c>
      <c r="E203" s="3" t="s">
        <v>739</v>
      </c>
      <c r="F203" s="143">
        <f>SUMIFS(Capacity!$C$3:$C$263,Capacity!$A$3:$A$263,$C203,Capacity!$B$3:$B$263,$D203)</f>
        <v>0</v>
      </c>
      <c r="G203" s="143">
        <f t="shared" si="16"/>
        <v>0</v>
      </c>
      <c r="H203" s="11">
        <f t="shared" si="16"/>
        <v>0</v>
      </c>
      <c r="I203" s="510" t="s">
        <v>749</v>
      </c>
      <c r="J203" s="143">
        <f>IF($E203="2018-19",G203,G203*(1+Assumptions_EG!$C$6)*(1+INDEX($H$47:$H$55,MATCH($D203,$G$47:$G$55,0))))</f>
        <v>0</v>
      </c>
      <c r="K203" s="11">
        <f>IF($E203="2018-19",H203,H203*(1+Assumptions_EG!$C$6)*(1+INDEX(Legacy_FC_VC!$I$47:$I$55,MATCH($D203,Assumptions_EG!$B$14:$B$22,0))))</f>
        <v>0</v>
      </c>
      <c r="L203" s="11">
        <f>SUMIF(Legacy_FC_VC!$J$35:$J$43,D203,Legacy_FC_VC!$K$35:$K$43)</f>
        <v>0.85</v>
      </c>
      <c r="M203" s="143">
        <f>IF(SUMPRODUCT(--(D203={"EG_COAL","EG_CCGT","EG_OCGT"}))&gt;0,J203,J203+K203*8760*L203)</f>
        <v>0</v>
      </c>
      <c r="N203" s="11">
        <f>IF(SUMPRODUCT(--(D203={"EG_COAL","EG_CCGT","EG_OCGT"}))&gt;0,K203,0)</f>
        <v>0</v>
      </c>
      <c r="O203" s="513" t="str">
        <f t="shared" si="17"/>
        <v>WREG_OCGT</v>
      </c>
      <c r="P203" s="3"/>
      <c r="Z203" s="150"/>
      <c r="AA203" s="150"/>
    </row>
    <row r="204" spans="2:27" s="304" customFormat="1" x14ac:dyDescent="0.35">
      <c r="B204" s="512" t="s">
        <v>628</v>
      </c>
      <c r="C204" s="511" t="s">
        <v>773</v>
      </c>
      <c r="D204" s="3" t="s">
        <v>1615</v>
      </c>
      <c r="E204" s="3" t="s">
        <v>739</v>
      </c>
      <c r="F204" s="143">
        <f>SUMIFS(Capacity!$C$3:$C$263,Capacity!$A$3:$A$263,$C204,Capacity!$B$3:$B$263,$D204)</f>
        <v>29.677419354838708</v>
      </c>
      <c r="G204" s="143">
        <f t="shared" si="16"/>
        <v>0</v>
      </c>
      <c r="H204" s="11">
        <f t="shared" si="16"/>
        <v>2.5611623113100954</v>
      </c>
      <c r="I204" s="510" t="s">
        <v>749</v>
      </c>
      <c r="J204" s="143">
        <f>IF($E204="2018-19",G204,G204*(1+Assumptions_EG!$C$6)*(1+INDEX($H$47:$H$55,MATCH($D204,$G$47:$G$55,0))))</f>
        <v>0</v>
      </c>
      <c r="K204" s="11">
        <f>IF($E204="2018-19",H204,H204*(1+Assumptions_EG!$C$6)*(1+INDEX(Legacy_FC_VC!$I$47:$I$55,MATCH($D204,Assumptions_EG!$B$14:$B$22,0))))</f>
        <v>2.5611623113100954</v>
      </c>
      <c r="L204" s="11">
        <f>SUMIF(Legacy_FC_VC!$J$35:$J$43,D204,Legacy_FC_VC!$K$35:$K$43)</f>
        <v>0.65716939790195539</v>
      </c>
      <c r="M204" s="143">
        <f>IF(SUMPRODUCT(--(D204={"EG_COAL","EG_CCGT","EG_OCGT"}))&gt;0,J204,J204+K204*8760*L204)</f>
        <v>14744.109247902841</v>
      </c>
      <c r="N204" s="11">
        <f>IF(SUMPRODUCT(--(D204={"EG_COAL","EG_CCGT","EG_OCGT"}))&gt;0,K204,0)</f>
        <v>0</v>
      </c>
      <c r="O204" s="513" t="str">
        <f t="shared" si="17"/>
        <v>WREG_PHWR</v>
      </c>
      <c r="P204" s="3"/>
      <c r="Z204" s="150"/>
      <c r="AA204" s="150"/>
    </row>
    <row r="205" spans="2:27" s="304" customFormat="1" x14ac:dyDescent="0.35">
      <c r="B205" s="512" t="s">
        <v>628</v>
      </c>
      <c r="C205" s="511" t="s">
        <v>773</v>
      </c>
      <c r="D205" s="3" t="s">
        <v>1604</v>
      </c>
      <c r="E205" s="3" t="s">
        <v>739</v>
      </c>
      <c r="F205" s="143">
        <f>SUMIFS(Capacity!$C$3:$C$263,Capacity!$A$3:$A$263,$C205,Capacity!$B$3:$B$263,$D205)</f>
        <v>0</v>
      </c>
      <c r="G205" s="143">
        <f t="shared" si="16"/>
        <v>980.07097232079491</v>
      </c>
      <c r="H205" s="11">
        <f t="shared" si="16"/>
        <v>0.8552393197092778</v>
      </c>
      <c r="I205" s="510" t="s">
        <v>749</v>
      </c>
      <c r="J205" s="143">
        <f>IF($E205="2018-19",G205,G205*(1+Assumptions_EG!$C$6)*(1+INDEX($H$47:$H$55,MATCH($D205,$G$47:$G$55,0))))</f>
        <v>980.07097232079491</v>
      </c>
      <c r="K205" s="11">
        <f>IF($E205="2018-19",H205,H205*(1+Assumptions_EG!$C$6)*(1+INDEX(Legacy_FC_VC!$I$47:$I$55,MATCH($D205,Assumptions_EG!$B$14:$B$22,0))))</f>
        <v>0.8552393197092778</v>
      </c>
      <c r="L205" s="11">
        <f>SUMIF(Legacy_FC_VC!$J$35:$J$43,D205,Legacy_FC_VC!$K$35:$K$43)</f>
        <v>0.32761940072174078</v>
      </c>
      <c r="M205" s="143">
        <f>IF(SUMPRODUCT(--(D205={"EG_COAL","EG_CCGT","EG_OCGT"}))&gt;0,J205,J205+K205*8760*L205)</f>
        <v>3434.5615944769634</v>
      </c>
      <c r="N205" s="11">
        <f>IF(SUMPRODUCT(--(D205={"EG_COAL","EG_CCGT","EG_OCGT"}))&gt;0,K205,0)</f>
        <v>0</v>
      </c>
      <c r="O205" s="513" t="str">
        <f t="shared" si="17"/>
        <v>WREG_LH</v>
      </c>
      <c r="P205" s="3"/>
      <c r="Z205" s="150"/>
      <c r="AA205" s="150"/>
    </row>
    <row r="206" spans="2:27" s="304" customFormat="1" x14ac:dyDescent="0.35">
      <c r="B206" s="512" t="s">
        <v>628</v>
      </c>
      <c r="C206" s="511" t="s">
        <v>773</v>
      </c>
      <c r="D206" s="3" t="s">
        <v>1603</v>
      </c>
      <c r="E206" s="3" t="s">
        <v>739</v>
      </c>
      <c r="F206" s="143">
        <f>SUMIFS(Capacity!$C$3:$C$263,Capacity!$A$3:$A$263,$C206,Capacity!$B$3:$B$263,$D206)</f>
        <v>0.05</v>
      </c>
      <c r="G206" s="143">
        <f t="shared" si="16"/>
        <v>843</v>
      </c>
      <c r="H206" s="11">
        <f t="shared" si="16"/>
        <v>0</v>
      </c>
      <c r="I206" s="510" t="s">
        <v>749</v>
      </c>
      <c r="J206" s="143">
        <f>IF($E206="2018-19",G206,G206*(1+Assumptions_EG!$C$6)*(1+INDEX($H$47:$H$55,MATCH($D206,$G$47:$G$55,0))))</f>
        <v>843</v>
      </c>
      <c r="K206" s="11">
        <f>IF($E206="2018-19",H206,H206*(1+Assumptions_EG!$C$6)*(1+INDEX(Legacy_FC_VC!$I$47:$I$55,MATCH($D206,Assumptions_EG!$B$14:$B$22,0))))</f>
        <v>0</v>
      </c>
      <c r="L206" s="11">
        <f>SUMIF(Legacy_FC_VC!$J$35:$J$43,D206,Legacy_FC_VC!$K$35:$K$43)</f>
        <v>0.20627943231757243</v>
      </c>
      <c r="M206" s="143">
        <f>IF(SUMPRODUCT(--(D206={"EG_COAL","EG_CCGT","EG_OCGT"}))&gt;0,J206,J206+K206*8760*L206)</f>
        <v>843</v>
      </c>
      <c r="N206" s="11">
        <f>IF(SUMPRODUCT(--(D206={"EG_COAL","EG_CCGT","EG_OCGT"}))&gt;0,K206,0)</f>
        <v>0</v>
      </c>
      <c r="O206" s="513" t="str">
        <f t="shared" si="17"/>
        <v>WREG_SH</v>
      </c>
      <c r="P206" s="3"/>
      <c r="Z206" s="150"/>
      <c r="AA206" s="150"/>
    </row>
    <row r="207" spans="2:27" s="304" customFormat="1" x14ac:dyDescent="0.35">
      <c r="B207" s="512" t="s">
        <v>628</v>
      </c>
      <c r="C207" s="511" t="s">
        <v>773</v>
      </c>
      <c r="D207" s="3" t="s">
        <v>1605</v>
      </c>
      <c r="E207" s="3" t="s">
        <v>739</v>
      </c>
      <c r="F207" s="143">
        <f>SUMIFS(Capacity!$C$3:$C$263,Capacity!$A$3:$A$263,$C207,Capacity!$B$3:$B$263,$D207)</f>
        <v>0</v>
      </c>
      <c r="G207" s="143">
        <f t="shared" si="16"/>
        <v>0</v>
      </c>
      <c r="H207" s="11">
        <f t="shared" si="16"/>
        <v>5.76</v>
      </c>
      <c r="I207" s="510" t="s">
        <v>749</v>
      </c>
      <c r="J207" s="143">
        <f>IF($E207="2018-19",G207,G207*(1+Assumptions_EG!$C$6)*(1+INDEX($H$47:$H$55,MATCH($D207,$G$47:$G$55,0))))</f>
        <v>0</v>
      </c>
      <c r="K207" s="11">
        <f>IF($E207="2018-19",H207,H207*(1+Assumptions_EG!$C$6)*(1+INDEX(Legacy_FC_VC!$I$47:$I$55,MATCH($D207,Assumptions_EG!$B$14:$B$22,0))))</f>
        <v>5.76</v>
      </c>
      <c r="L207" s="11">
        <f>SUMIF(Legacy_FC_VC!$J$35:$J$43,D207,Legacy_FC_VC!$K$35:$K$43)</f>
        <v>0.2313655363440307</v>
      </c>
      <c r="M207" s="143">
        <f>IF(SUMPRODUCT(--(D207={"EG_COAL","EG_CCGT","EG_OCGT"}))&gt;0,J207,J207+K207*8760*L207)</f>
        <v>11674.149686632563</v>
      </c>
      <c r="N207" s="11">
        <f>IF(SUMPRODUCT(--(D207={"EG_COAL","EG_CCGT","EG_OCGT"}))&gt;0,K207,0)</f>
        <v>0</v>
      </c>
      <c r="O207" s="513" t="str">
        <f t="shared" si="17"/>
        <v>WREG_BIOMASS</v>
      </c>
      <c r="P207" s="3"/>
      <c r="Z207" s="150"/>
      <c r="AA207" s="150"/>
    </row>
    <row r="208" spans="2:27" s="304" customFormat="1" x14ac:dyDescent="0.35">
      <c r="B208" s="512" t="s">
        <v>628</v>
      </c>
      <c r="C208" s="511" t="s">
        <v>773</v>
      </c>
      <c r="D208" s="3" t="s">
        <v>1636</v>
      </c>
      <c r="E208" s="3" t="s">
        <v>739</v>
      </c>
      <c r="F208" s="143">
        <f>SUMIFS(Capacity!$C$3:$C$263,Capacity!$A$3:$A$263,$C208,Capacity!$B$3:$B$263,$D208)</f>
        <v>3.92</v>
      </c>
      <c r="G208" s="143">
        <f t="shared" si="16"/>
        <v>0</v>
      </c>
      <c r="H208" s="11">
        <f t="shared" si="16"/>
        <v>4.37</v>
      </c>
      <c r="I208" s="510" t="s">
        <v>749</v>
      </c>
      <c r="J208" s="143">
        <f>IF($E208="2018-19",G208,G208*(1+Assumptions_EG!$C$6)*(1+INDEX($H$47:$H$55,MATCH($D208,$G$47:$G$55,0))))</f>
        <v>0</v>
      </c>
      <c r="K208" s="11">
        <f>IF($E208="2018-19",H208,H208*(1+Assumptions_EG!$C$6)*(1+INDEX(Legacy_FC_VC!$I$47:$I$55,MATCH($D208,Assumptions_EG!$B$14:$B$22,0))))</f>
        <v>4.37</v>
      </c>
      <c r="L208" s="11">
        <f>SUMIF(Legacy_FC_VC!$J$35:$J$43,D208,Legacy_FC_VC!$K$35:$K$43)</f>
        <v>0.1890889600524939</v>
      </c>
      <c r="M208" s="143">
        <f>IF(SUMPRODUCT(--(D208={"EG_COAL","EG_CCGT","EG_OCGT"}))&gt;0,J208,J208+K208*8760*L208)</f>
        <v>7238.5522975615304</v>
      </c>
      <c r="N208" s="11">
        <f>IF(SUMPRODUCT(--(D208={"EG_COAL","EG_CCGT","EG_OCGT"}))&gt;0,K208,0)</f>
        <v>0</v>
      </c>
      <c r="O208" s="513" t="str">
        <f t="shared" si="17"/>
        <v>WREG_SOLARPV</v>
      </c>
      <c r="P208" s="3"/>
      <c r="Z208" s="150"/>
      <c r="AA208" s="150"/>
    </row>
    <row r="209" spans="2:27" s="304" customFormat="1" x14ac:dyDescent="0.35">
      <c r="B209" s="512" t="s">
        <v>628</v>
      </c>
      <c r="C209" s="511" t="s">
        <v>773</v>
      </c>
      <c r="D209" s="3" t="s">
        <v>1606</v>
      </c>
      <c r="E209" s="3" t="s">
        <v>739</v>
      </c>
      <c r="F209" s="143">
        <f>SUMIFS(Capacity!$C$3:$C$263,Capacity!$A$3:$A$263,$C209,Capacity!$B$3:$B$263,$D209)</f>
        <v>0</v>
      </c>
      <c r="G209" s="143">
        <f t="shared" si="16"/>
        <v>0</v>
      </c>
      <c r="H209" s="11">
        <f t="shared" si="16"/>
        <v>5.1039077378676208</v>
      </c>
      <c r="I209" s="510" t="s">
        <v>749</v>
      </c>
      <c r="J209" s="143">
        <f>IF($E209="2018-19",G209,G209*(1+Assumptions_EG!$C$6)*(1+INDEX($H$47:$H$55,MATCH($D209,$G$47:$G$55,0))))</f>
        <v>0</v>
      </c>
      <c r="K209" s="11">
        <f>IF($E209="2018-19",H209,H209*(1+Assumptions_EG!$C$6)*(1+INDEX(Legacy_FC_VC!$I$47:$I$55,MATCH($D209,Assumptions_EG!$B$14:$B$22,0))))</f>
        <v>5.1039077378676208</v>
      </c>
      <c r="L209" s="11">
        <f>SUMIF(Legacy_FC_VC!$J$35:$J$43,D209,Legacy_FC_VC!$K$35:$K$43)</f>
        <v>0.19182955699540097</v>
      </c>
      <c r="M209" s="143">
        <f>IF(SUMPRODUCT(--(D209={"EG_COAL","EG_CCGT","EG_OCGT"}))&gt;0,J209,J209+K209*8760*L209)</f>
        <v>8576.7439562327727</v>
      </c>
      <c r="N209" s="11">
        <f>IF(SUMPRODUCT(--(D209={"EG_COAL","EG_CCGT","EG_OCGT"}))&gt;0,K209,0)</f>
        <v>0</v>
      </c>
      <c r="O209" s="513" t="str">
        <f t="shared" si="17"/>
        <v>WREG_WIND</v>
      </c>
      <c r="P209" s="3"/>
      <c r="Z209" s="150"/>
      <c r="AA209" s="150"/>
    </row>
    <row r="210" spans="2:27" x14ac:dyDescent="0.35">
      <c r="B210" s="512" t="s">
        <v>1046</v>
      </c>
      <c r="C210" s="511" t="s">
        <v>776</v>
      </c>
      <c r="D210" s="3" t="s">
        <v>1612</v>
      </c>
      <c r="E210" s="3" t="s">
        <v>750</v>
      </c>
      <c r="F210" s="143">
        <f>SUMIFS(Capacity!$C$3:$C$263,Capacity!$A$3:$A$263,$C210,Capacity!$B$3:$B$263,$D210)</f>
        <v>8301.4749971849287</v>
      </c>
      <c r="G210" s="143">
        <f t="shared" si="16"/>
        <v>10207.195004801035</v>
      </c>
      <c r="H210" s="11">
        <f t="shared" si="16"/>
        <v>2.0419708046774936</v>
      </c>
      <c r="I210" s="510" t="s">
        <v>799</v>
      </c>
      <c r="J210" s="143">
        <f>IF($E210="2018-19",G210,G210*(1+Assumptions_EG!$C$6)*(1+INDEX($H$47:$H$55,MATCH($D210,$G$47:$G$55,0))))</f>
        <v>10613.286001172844</v>
      </c>
      <c r="K210" s="11">
        <f>IF($E210="2018-19",H210,H210*(1+Assumptions_EG!$C$7)*(1+INDEX(Legacy_FC_VC!$I$47:$I$55,MATCH($D210,Assumptions_EG!$B$14:$B$22,0))))</f>
        <v>2.2572291392022881</v>
      </c>
      <c r="L210" s="11">
        <f>SUMIF(Legacy_FC_VC!$J$35:$J$43,D210,Legacy_FC_VC!$K$35:$K$43)</f>
        <v>0.85</v>
      </c>
      <c r="M210" s="143">
        <f>IF(SUMPRODUCT(--(D210={"EG_COAL","EG_CCGT","EG_OCGT"}))&gt;0,J210,J210+K210*8760*L210)</f>
        <v>10613.286001172844</v>
      </c>
      <c r="N210" s="11">
        <f>IF(SUMPRODUCT(--(D210={"EG_COAL","EG_CCGT","EG_OCGT"}))&gt;0,K210,0)</f>
        <v>2.2572291392022881</v>
      </c>
      <c r="O210" s="513" t="str">
        <f t="shared" si="17"/>
        <v>NREG_COAL</v>
      </c>
      <c r="P210" s="3"/>
      <c r="Z210" s="150"/>
      <c r="AA210" s="150"/>
    </row>
    <row r="211" spans="2:27" s="304" customFormat="1" x14ac:dyDescent="0.35">
      <c r="B211" s="512" t="s">
        <v>1046</v>
      </c>
      <c r="C211" s="511" t="s">
        <v>776</v>
      </c>
      <c r="D211" s="3" t="s">
        <v>1613</v>
      </c>
      <c r="E211" s="3" t="s">
        <v>750</v>
      </c>
      <c r="F211" s="143">
        <f>SUMIFS(Capacity!$C$3:$C$263,Capacity!$A$3:$A$263,$C211,Capacity!$B$3:$B$263,$D211)</f>
        <v>685.61</v>
      </c>
      <c r="G211" s="143">
        <f t="shared" si="16"/>
        <v>5589.0144862358839</v>
      </c>
      <c r="H211" s="11">
        <f t="shared" si="16"/>
        <v>2.7257417405517854</v>
      </c>
      <c r="I211" s="510" t="s">
        <v>799</v>
      </c>
      <c r="J211" s="143">
        <f>IF($E211="2018-19",G211,G211*(1+Assumptions_EG!$C$6)*(1+INDEX($H$47:$H$55,MATCH($D211,$G$47:$G$55,0))))</f>
        <v>5811.3721917940184</v>
      </c>
      <c r="K211" s="11">
        <f>IF($E211="2018-19",H211,H211*(1+Assumptions_EG!$C$7)*(1+INDEX(Legacy_FC_VC!$I$47:$I$55,MATCH($D211,Assumptions_EG!$B$14:$B$22,0))))</f>
        <v>2.9162516444214481</v>
      </c>
      <c r="L211" s="11">
        <f>SUMIF(Legacy_FC_VC!$J$35:$J$43,D211,Legacy_FC_VC!$K$35:$K$43)</f>
        <v>0.85</v>
      </c>
      <c r="M211" s="143">
        <f>IF(SUMPRODUCT(--(D211={"EG_COAL","EG_CCGT","EG_OCGT"}))&gt;0,J211,J211+K211*8760*L211)</f>
        <v>5811.3721917940184</v>
      </c>
      <c r="N211" s="11">
        <f>IF(SUMPRODUCT(--(D211={"EG_COAL","EG_CCGT","EG_OCGT"}))&gt;0,K211,0)</f>
        <v>2.9162516444214481</v>
      </c>
      <c r="O211" s="513" t="str">
        <f t="shared" si="17"/>
        <v>NREG_CCGT</v>
      </c>
      <c r="P211" s="3"/>
      <c r="Z211" s="150"/>
      <c r="AA211" s="150"/>
    </row>
    <row r="212" spans="2:27" s="304" customFormat="1" x14ac:dyDescent="0.35">
      <c r="B212" s="512" t="s">
        <v>1046</v>
      </c>
      <c r="C212" s="511" t="s">
        <v>776</v>
      </c>
      <c r="D212" s="3" t="s">
        <v>1614</v>
      </c>
      <c r="E212" s="3" t="s">
        <v>750</v>
      </c>
      <c r="F212" s="143">
        <f>SUMIFS(Capacity!$C$3:$C$263,Capacity!$A$3:$A$263,$C212,Capacity!$B$3:$B$263,$D212)</f>
        <v>0</v>
      </c>
      <c r="G212" s="143">
        <f t="shared" ref="G212:H236" si="18">SUMIFS(G$66:G$182,$C$66:$C$182,$I212,$D$66:$D$182,$D212)</f>
        <v>0</v>
      </c>
      <c r="H212" s="11">
        <f t="shared" si="18"/>
        <v>0</v>
      </c>
      <c r="I212" s="510" t="s">
        <v>799</v>
      </c>
      <c r="J212" s="143">
        <f>IF($E212="2018-19",G212,G212*(1+Assumptions_EG!$C$6)*(1+INDEX($H$47:$H$55,MATCH($D212,$G$47:$G$55,0))))</f>
        <v>0</v>
      </c>
      <c r="K212" s="11">
        <f>IF($E212="2018-19",H212,H212*(1+Assumptions_EG!$C$7)*(1+INDEX(Legacy_FC_VC!$I$47:$I$55,MATCH($D212,Assumptions_EG!$B$14:$B$22,0))))</f>
        <v>0</v>
      </c>
      <c r="L212" s="11">
        <f>SUMIF(Legacy_FC_VC!$J$35:$J$43,D212,Legacy_FC_VC!$K$35:$K$43)</f>
        <v>0.85</v>
      </c>
      <c r="M212" s="143">
        <f>IF(SUMPRODUCT(--(D212={"EG_COAL","EG_CCGT","EG_OCGT"}))&gt;0,J212,J212+K212*8760*L212)</f>
        <v>0</v>
      </c>
      <c r="N212" s="11">
        <f>IF(SUMPRODUCT(--(D212={"EG_COAL","EG_CCGT","EG_OCGT"}))&gt;0,K212,0)</f>
        <v>0</v>
      </c>
      <c r="O212" s="513" t="str">
        <f t="shared" si="17"/>
        <v>NREG_OCGT</v>
      </c>
      <c r="P212" s="3"/>
      <c r="Z212" s="150"/>
      <c r="AA212" s="150"/>
    </row>
    <row r="213" spans="2:27" s="304" customFormat="1" x14ac:dyDescent="0.35">
      <c r="B213" s="512" t="s">
        <v>1046</v>
      </c>
      <c r="C213" s="511" t="s">
        <v>776</v>
      </c>
      <c r="D213" s="3" t="s">
        <v>1615</v>
      </c>
      <c r="E213" s="3" t="s">
        <v>750</v>
      </c>
      <c r="F213" s="143">
        <f>SUMIFS(Capacity!$C$3:$C$263,Capacity!$A$3:$A$263,$C213,Capacity!$B$3:$B$263,$D213)</f>
        <v>118.23945393281176</v>
      </c>
      <c r="G213" s="143">
        <f t="shared" si="18"/>
        <v>0</v>
      </c>
      <c r="H213" s="11">
        <f t="shared" si="18"/>
        <v>2.915447792696384</v>
      </c>
      <c r="I213" s="510" t="s">
        <v>799</v>
      </c>
      <c r="J213" s="143">
        <f>IF($E213="2018-19",G213,G213*(1+Assumptions_EG!$C$6)*(1+INDEX($H$47:$H$55,MATCH($D213,$G$47:$G$55,0))))</f>
        <v>0</v>
      </c>
      <c r="K213" s="11">
        <f>IF($E213="2018-19",H213,H213*(1+Assumptions_EG!$C$7)*(1+INDEX(Legacy_FC_VC!$I$47:$I$55,MATCH($D213,Assumptions_EG!$B$14:$B$22,0))))</f>
        <v>3.0320657044042396</v>
      </c>
      <c r="L213" s="11">
        <f>SUMIF(Legacy_FC_VC!$J$35:$J$43,D213,Legacy_FC_VC!$K$35:$K$43)</f>
        <v>0.65716939790195539</v>
      </c>
      <c r="M213" s="143">
        <f>IF(SUMPRODUCT(--(D213={"EG_COAL","EG_CCGT","EG_OCGT"}))&gt;0,J213,J213+K213*8760*L213)</f>
        <v>17455.007749855522</v>
      </c>
      <c r="N213" s="11">
        <f>IF(SUMPRODUCT(--(D213={"EG_COAL","EG_CCGT","EG_OCGT"}))&gt;0,K213,0)</f>
        <v>0</v>
      </c>
      <c r="O213" s="513" t="str">
        <f t="shared" si="17"/>
        <v>NREG_PHWR</v>
      </c>
      <c r="P213" s="3"/>
      <c r="Z213" s="150"/>
      <c r="AA213" s="150"/>
    </row>
    <row r="214" spans="2:27" s="304" customFormat="1" x14ac:dyDescent="0.35">
      <c r="B214" s="512" t="s">
        <v>1046</v>
      </c>
      <c r="C214" s="511" t="s">
        <v>776</v>
      </c>
      <c r="D214" s="3" t="s">
        <v>1604</v>
      </c>
      <c r="E214" s="3" t="s">
        <v>750</v>
      </c>
      <c r="F214" s="143">
        <f>SUMIFS(Capacity!$C$3:$C$263,Capacity!$A$3:$A$263,$C214,Capacity!$B$3:$B$263,$D214)</f>
        <v>2044.4761591470074</v>
      </c>
      <c r="G214" s="143">
        <f t="shared" si="18"/>
        <v>8148.7775070741172</v>
      </c>
      <c r="H214" s="11">
        <f t="shared" si="18"/>
        <v>1.8562635063200805</v>
      </c>
      <c r="I214" s="510" t="s">
        <v>799</v>
      </c>
      <c r="J214" s="143">
        <f>IF($E214="2018-19",G214,G214*(1+Assumptions_EG!$C$6)*(1+INDEX($H$47:$H$55,MATCH($D214,$G$47:$G$55,0))))</f>
        <v>8472.974818431785</v>
      </c>
      <c r="K214" s="11">
        <f>IF($E214="2018-19",H214,H214*(1+Assumptions_EG!$C$7)*(1+INDEX(Legacy_FC_VC!$I$47:$I$55,MATCH($D214,Assumptions_EG!$B$14:$B$22,0))))</f>
        <v>1.9305140465728838</v>
      </c>
      <c r="L214" s="11">
        <f>SUMIF(Legacy_FC_VC!$J$35:$J$43,D214,Legacy_FC_VC!$K$35:$K$43)</f>
        <v>0.32761940072174078</v>
      </c>
      <c r="M214" s="143">
        <f>IF(SUMPRODUCT(--(D214={"EG_COAL","EG_CCGT","EG_OCGT"}))&gt;0,J214,J214+K214*8760*L214)</f>
        <v>14013.445788434237</v>
      </c>
      <c r="N214" s="11">
        <f>IF(SUMPRODUCT(--(D214={"EG_COAL","EG_CCGT","EG_OCGT"}))&gt;0,K214,0)</f>
        <v>0</v>
      </c>
      <c r="O214" s="513" t="str">
        <f t="shared" si="17"/>
        <v>NREG_LH</v>
      </c>
      <c r="P214" s="3"/>
      <c r="Z214" s="150"/>
      <c r="AA214" s="150"/>
    </row>
    <row r="215" spans="2:27" s="304" customFormat="1" x14ac:dyDescent="0.35">
      <c r="B215" s="512" t="s">
        <v>1046</v>
      </c>
      <c r="C215" s="511" t="s">
        <v>776</v>
      </c>
      <c r="D215" s="3" t="s">
        <v>1603</v>
      </c>
      <c r="E215" s="3" t="s">
        <v>750</v>
      </c>
      <c r="F215" s="143">
        <f>SUMIFS(Capacity!$C$3:$C$263,Capacity!$A$3:$A$263,$C215,Capacity!$B$3:$B$263,$D215)</f>
        <v>73.5</v>
      </c>
      <c r="G215" s="143">
        <f t="shared" si="18"/>
        <v>0</v>
      </c>
      <c r="H215" s="11">
        <f t="shared" si="18"/>
        <v>2.42</v>
      </c>
      <c r="I215" s="510" t="s">
        <v>799</v>
      </c>
      <c r="J215" s="143">
        <f>IF($E215="2018-19",G215,G215*(1+Assumptions_EG!$C$6)*(1+INDEX($H$47:$H$55,MATCH($D215,$G$47:$G$55,0))))</f>
        <v>0</v>
      </c>
      <c r="K215" s="11">
        <f>IF($E215="2018-19",H215,H215*(1+Assumptions_EG!$C$7)*(1+INDEX(Legacy_FC_VC!$I$47:$I$55,MATCH($D215,Assumptions_EG!$B$14:$B$22,0))))</f>
        <v>2.5167999999999999</v>
      </c>
      <c r="L215" s="11">
        <f>SUMIF(Legacy_FC_VC!$J$35:$J$43,D215,Legacy_FC_VC!$K$35:$K$43)</f>
        <v>0.20627943231757243</v>
      </c>
      <c r="M215" s="143">
        <f>IF(SUMPRODUCT(--(D215={"EG_COAL","EG_CCGT","EG_OCGT"}))&gt;0,J215,J215+K215*8760*L215)</f>
        <v>4547.8772992501481</v>
      </c>
      <c r="N215" s="11">
        <f>IF(SUMPRODUCT(--(D215={"EG_COAL","EG_CCGT","EG_OCGT"}))&gt;0,K215,0)</f>
        <v>0</v>
      </c>
      <c r="O215" s="513" t="str">
        <f t="shared" si="17"/>
        <v>NREG_SH</v>
      </c>
      <c r="P215" s="3"/>
      <c r="Z215" s="150"/>
      <c r="AA215" s="150"/>
    </row>
    <row r="216" spans="2:27" s="304" customFormat="1" x14ac:dyDescent="0.35">
      <c r="B216" s="512" t="s">
        <v>1046</v>
      </c>
      <c r="C216" s="511" t="s">
        <v>776</v>
      </c>
      <c r="D216" s="3" t="s">
        <v>1605</v>
      </c>
      <c r="E216" s="3" t="s">
        <v>750</v>
      </c>
      <c r="F216" s="143">
        <f>SUMIFS(Capacity!$C$3:$C$263,Capacity!$A$3:$A$263,$C216,Capacity!$B$3:$B$263,$D216)</f>
        <v>205.66000000000003</v>
      </c>
      <c r="G216" s="143">
        <f t="shared" si="18"/>
        <v>0</v>
      </c>
      <c r="H216" s="11">
        <f t="shared" si="18"/>
        <v>7.1047233362808022</v>
      </c>
      <c r="I216" s="510" t="s">
        <v>799</v>
      </c>
      <c r="J216" s="143">
        <f>IF($E216="2018-19",G216,G216*(1+Assumptions_EG!$C$6)*(1+INDEX($H$47:$H$55,MATCH($D216,$G$47:$G$55,0))))</f>
        <v>0</v>
      </c>
      <c r="K216" s="11">
        <f>IF($E216="2018-19",H216,H216*(1+Assumptions_EG!$C$7)*(1+INDEX(Legacy_FC_VC!$I$47:$I$55,MATCH($D216,Assumptions_EG!$B$14:$B$22,0))))</f>
        <v>7.3889122697320344</v>
      </c>
      <c r="L216" s="11">
        <f>SUMIF(Legacy_FC_VC!$J$35:$J$43,D216,Legacy_FC_VC!$K$35:$K$43)</f>
        <v>0.2313655363440307</v>
      </c>
      <c r="M216" s="143">
        <f>IF(SUMPRODUCT(--(D216={"EG_COAL","EG_CCGT","EG_OCGT"}))&gt;0,J216,J216+K216*8760*L216)</f>
        <v>14975.567336501343</v>
      </c>
      <c r="N216" s="11">
        <f>IF(SUMPRODUCT(--(D216={"EG_COAL","EG_CCGT","EG_OCGT"}))&gt;0,K216,0)</f>
        <v>0</v>
      </c>
      <c r="O216" s="513" t="str">
        <f t="shared" si="17"/>
        <v>NREG_BIOMASS</v>
      </c>
      <c r="P216" s="3"/>
      <c r="Z216" s="150"/>
      <c r="AA216" s="150"/>
    </row>
    <row r="217" spans="2:27" s="304" customFormat="1" x14ac:dyDescent="0.35">
      <c r="B217" s="512" t="s">
        <v>1046</v>
      </c>
      <c r="C217" s="511" t="s">
        <v>776</v>
      </c>
      <c r="D217" s="3" t="s">
        <v>1636</v>
      </c>
      <c r="E217" s="3" t="s">
        <v>750</v>
      </c>
      <c r="F217" s="143">
        <f>SUMIFS(Capacity!$C$3:$C$263,Capacity!$A$3:$A$263,$C217,Capacity!$B$3:$B$263,$D217)</f>
        <v>224.52</v>
      </c>
      <c r="G217" s="143">
        <f t="shared" si="18"/>
        <v>0</v>
      </c>
      <c r="H217" s="11">
        <f t="shared" si="18"/>
        <v>5.7130472906992971</v>
      </c>
      <c r="I217" s="510" t="s">
        <v>799</v>
      </c>
      <c r="J217" s="143">
        <f>IF($E217="2018-19",G217,G217*(1+Assumptions_EG!$C$6)*(1+INDEX($H$47:$H$55,MATCH($D217,$G$47:$G$55,0))))</f>
        <v>0</v>
      </c>
      <c r="K217" s="11">
        <f>IF($E217="2018-19",H217,H217*(1+Assumptions_EG!$C$7)*(1+INDEX(Legacy_FC_VC!$I$47:$I$55,MATCH($D217,Assumptions_EG!$B$14:$B$22,0))))</f>
        <v>5.7039064150341785</v>
      </c>
      <c r="L217" s="11">
        <f>SUMIF(Legacy_FC_VC!$J$35:$J$43,D217,Legacy_FC_VC!$K$35:$K$43)</f>
        <v>0.1890889600524939</v>
      </c>
      <c r="M217" s="143">
        <f>IF(SUMPRODUCT(--(D217={"EG_COAL","EG_CCGT","EG_OCGT"}))&gt;0,J217,J217+K217*8760*L217)</f>
        <v>9448.060614558719</v>
      </c>
      <c r="N217" s="11">
        <f>IF(SUMPRODUCT(--(D217={"EG_COAL","EG_CCGT","EG_OCGT"}))&gt;0,K217,0)</f>
        <v>0</v>
      </c>
      <c r="O217" s="513" t="str">
        <f t="shared" si="17"/>
        <v>NREG_SOLARPV</v>
      </c>
      <c r="P217" s="3"/>
      <c r="Z217" s="150"/>
      <c r="AA217" s="150"/>
    </row>
    <row r="218" spans="2:27" s="304" customFormat="1" x14ac:dyDescent="0.35">
      <c r="B218" s="512" t="s">
        <v>1046</v>
      </c>
      <c r="C218" s="511" t="s">
        <v>776</v>
      </c>
      <c r="D218" s="3" t="s">
        <v>1606</v>
      </c>
      <c r="E218" s="3" t="s">
        <v>750</v>
      </c>
      <c r="F218" s="143">
        <f>SUMIFS(Capacity!$C$3:$C$263,Capacity!$A$3:$A$263,$C218,Capacity!$B$3:$B$263,$D218)</f>
        <v>0</v>
      </c>
      <c r="G218" s="143">
        <f t="shared" si="18"/>
        <v>0</v>
      </c>
      <c r="H218" s="11">
        <f t="shared" si="18"/>
        <v>0</v>
      </c>
      <c r="I218" s="510" t="s">
        <v>799</v>
      </c>
      <c r="J218" s="143">
        <f>IF($E218="2018-19",G218,G218*(1+Assumptions_EG!$C$6)*(1+INDEX($H$47:$H$55,MATCH($D218,$G$47:$G$55,0))))</f>
        <v>0</v>
      </c>
      <c r="K218" s="11">
        <f>IF($E218="2018-19",H218,H218*(1+Assumptions_EG!$C$7)*(1+INDEX(Legacy_FC_VC!$I$47:$I$55,MATCH($D218,Assumptions_EG!$B$14:$B$22,0))))</f>
        <v>0</v>
      </c>
      <c r="L218" s="11">
        <f>SUMIF(Legacy_FC_VC!$J$35:$J$43,D218,Legacy_FC_VC!$K$35:$K$43)</f>
        <v>0.19182955699540097</v>
      </c>
      <c r="M218" s="143">
        <f>IF(SUMPRODUCT(--(D218={"EG_COAL","EG_CCGT","EG_OCGT"}))&gt;0,J218,J218+K218*8760*L218)</f>
        <v>0</v>
      </c>
      <c r="N218" s="11">
        <f>IF(SUMPRODUCT(--(D218={"EG_COAL","EG_CCGT","EG_OCGT"}))&gt;0,K218,0)</f>
        <v>0</v>
      </c>
      <c r="O218" s="513" t="str">
        <f t="shared" si="17"/>
        <v>NREG_WIND</v>
      </c>
      <c r="P218" s="3"/>
      <c r="Z218" s="150"/>
      <c r="AA218" s="150"/>
    </row>
    <row r="219" spans="2:27" x14ac:dyDescent="0.35">
      <c r="B219" s="512" t="s">
        <v>1046</v>
      </c>
      <c r="C219" s="511" t="s">
        <v>780</v>
      </c>
      <c r="D219" s="3" t="s">
        <v>1612</v>
      </c>
      <c r="E219" s="3" t="s">
        <v>750</v>
      </c>
      <c r="F219" s="143">
        <f>SUMIFS(Capacity!$C$3:$C$263,Capacity!$A$3:$A$263,$C219,Capacity!$B$3:$B$263,$D219)</f>
        <v>519.2741552497655</v>
      </c>
      <c r="G219" s="143">
        <f t="shared" si="18"/>
        <v>10207.195004801035</v>
      </c>
      <c r="H219" s="11">
        <f t="shared" si="18"/>
        <v>2.0419708046774936</v>
      </c>
      <c r="I219" s="510" t="s">
        <v>799</v>
      </c>
      <c r="J219" s="143">
        <f>IF($E219="2018-19",G219,G219*(1+Assumptions_EG!$C$6)*(1+INDEX($H$47:$H$55,MATCH($D219,$G$47:$G$55,0))))</f>
        <v>10613.286001172844</v>
      </c>
      <c r="K219" s="11">
        <f>IF($E219="2018-19",H219,H219*(1+Assumptions_EG!$C$7)*(1+INDEX(Legacy_FC_VC!$I$47:$I$55,MATCH($D219,Assumptions_EG!$B$14:$B$22,0))))</f>
        <v>2.2572291392022881</v>
      </c>
      <c r="L219" s="11">
        <f>SUMIF(Legacy_FC_VC!$J$35:$J$43,D219,Legacy_FC_VC!$K$35:$K$43)</f>
        <v>0.85</v>
      </c>
      <c r="M219" s="143">
        <f>IF(SUMPRODUCT(--(D219={"EG_COAL","EG_CCGT","EG_OCGT"}))&gt;0,J219,J219+K219*8760*L219)</f>
        <v>10613.286001172844</v>
      </c>
      <c r="N219" s="11">
        <f>IF(SUMPRODUCT(--(D219={"EG_COAL","EG_CCGT","EG_OCGT"}))&gt;0,K219,0)</f>
        <v>2.2572291392022881</v>
      </c>
      <c r="O219" s="513" t="str">
        <f t="shared" si="17"/>
        <v>NREG_COAL</v>
      </c>
      <c r="P219" s="3"/>
      <c r="Z219" s="150"/>
      <c r="AA219" s="150"/>
    </row>
    <row r="220" spans="2:27" s="304" customFormat="1" x14ac:dyDescent="0.35">
      <c r="B220" s="512" t="s">
        <v>1046</v>
      </c>
      <c r="C220" s="511" t="s">
        <v>780</v>
      </c>
      <c r="D220" s="3" t="s">
        <v>1613</v>
      </c>
      <c r="E220" s="3" t="s">
        <v>750</v>
      </c>
      <c r="F220" s="143">
        <f>SUMIFS(Capacity!$C$3:$C$263,Capacity!$A$3:$A$263,$C220,Capacity!$B$3:$B$263,$D220)</f>
        <v>304.07</v>
      </c>
      <c r="G220" s="143">
        <f t="shared" si="18"/>
        <v>5589.0144862358839</v>
      </c>
      <c r="H220" s="11">
        <f t="shared" si="18"/>
        <v>2.7257417405517854</v>
      </c>
      <c r="I220" s="510" t="s">
        <v>799</v>
      </c>
      <c r="J220" s="143">
        <f>IF($E220="2018-19",G220,G220*(1+Assumptions_EG!$C$6)*(1+INDEX($H$47:$H$55,MATCH($D220,$G$47:$G$55,0))))</f>
        <v>5811.3721917940184</v>
      </c>
      <c r="K220" s="11">
        <f>IF($E220="2018-19",H220,H220*(1+Assumptions_EG!$C$7)*(1+INDEX(Legacy_FC_VC!$I$47:$I$55,MATCH($D220,Assumptions_EG!$B$14:$B$22,0))))</f>
        <v>2.9162516444214481</v>
      </c>
      <c r="L220" s="11">
        <f>SUMIF(Legacy_FC_VC!$J$35:$J$43,D220,Legacy_FC_VC!$K$35:$K$43)</f>
        <v>0.85</v>
      </c>
      <c r="M220" s="143">
        <f>IF(SUMPRODUCT(--(D220={"EG_COAL","EG_CCGT","EG_OCGT"}))&gt;0,J220,J220+K220*8760*L220)</f>
        <v>5811.3721917940184</v>
      </c>
      <c r="N220" s="11">
        <f>IF(SUMPRODUCT(--(D220={"EG_COAL","EG_CCGT","EG_OCGT"}))&gt;0,K220,0)</f>
        <v>2.9162516444214481</v>
      </c>
      <c r="O220" s="513" t="str">
        <f t="shared" si="17"/>
        <v>NREG_CCGT</v>
      </c>
      <c r="P220" s="3"/>
      <c r="Z220" s="150"/>
      <c r="AA220" s="150"/>
    </row>
    <row r="221" spans="2:27" s="304" customFormat="1" x14ac:dyDescent="0.35">
      <c r="B221" s="512" t="s">
        <v>1046</v>
      </c>
      <c r="C221" s="511" t="s">
        <v>780</v>
      </c>
      <c r="D221" s="3" t="s">
        <v>1614</v>
      </c>
      <c r="E221" s="3" t="s">
        <v>750</v>
      </c>
      <c r="F221" s="143">
        <f>SUMIFS(Capacity!$C$3:$C$263,Capacity!$A$3:$A$263,$C221,Capacity!$B$3:$B$263,$D221)</f>
        <v>0</v>
      </c>
      <c r="G221" s="143">
        <f t="shared" si="18"/>
        <v>0</v>
      </c>
      <c r="H221" s="11">
        <f t="shared" si="18"/>
        <v>0</v>
      </c>
      <c r="I221" s="510" t="s">
        <v>799</v>
      </c>
      <c r="J221" s="143">
        <f>IF($E221="2018-19",G221,G221*(1+Assumptions_EG!$C$6)*(1+INDEX($H$47:$H$55,MATCH($D221,$G$47:$G$55,0))))</f>
        <v>0</v>
      </c>
      <c r="K221" s="11">
        <f>IF($E221="2018-19",H221,H221*(1+Assumptions_EG!$C$7)*(1+INDEX(Legacy_FC_VC!$I$47:$I$55,MATCH($D221,Assumptions_EG!$B$14:$B$22,0))))</f>
        <v>0</v>
      </c>
      <c r="L221" s="11">
        <f>SUMIF(Legacy_FC_VC!$J$35:$J$43,D221,Legacy_FC_VC!$K$35:$K$43)</f>
        <v>0.85</v>
      </c>
      <c r="M221" s="143">
        <f>IF(SUMPRODUCT(--(D221={"EG_COAL","EG_CCGT","EG_OCGT"}))&gt;0,J221,J221+K221*8760*L221)</f>
        <v>0</v>
      </c>
      <c r="N221" s="11">
        <f>IF(SUMPRODUCT(--(D221={"EG_COAL","EG_CCGT","EG_OCGT"}))&gt;0,K221,0)</f>
        <v>0</v>
      </c>
      <c r="O221" s="513" t="str">
        <f t="shared" si="17"/>
        <v>NREG_OCGT</v>
      </c>
      <c r="P221" s="3"/>
      <c r="Z221" s="150"/>
      <c r="AA221" s="150"/>
    </row>
    <row r="222" spans="2:27" s="304" customFormat="1" x14ac:dyDescent="0.35">
      <c r="B222" s="512" t="s">
        <v>1046</v>
      </c>
      <c r="C222" s="511" t="s">
        <v>780</v>
      </c>
      <c r="D222" s="3" t="s">
        <v>1615</v>
      </c>
      <c r="E222" s="3" t="s">
        <v>750</v>
      </c>
      <c r="F222" s="143">
        <f>SUMIFS(Capacity!$C$3:$C$263,Capacity!$A$3:$A$263,$C222,Capacity!$B$3:$B$263,$D222)</f>
        <v>79.630652648628327</v>
      </c>
      <c r="G222" s="143">
        <f t="shared" si="18"/>
        <v>0</v>
      </c>
      <c r="H222" s="11">
        <f t="shared" si="18"/>
        <v>2.915447792696384</v>
      </c>
      <c r="I222" s="510" t="s">
        <v>799</v>
      </c>
      <c r="J222" s="143">
        <f>IF($E222="2018-19",G222,G222*(1+Assumptions_EG!$C$6)*(1+INDEX($H$47:$H$55,MATCH($D222,$G$47:$G$55,0))))</f>
        <v>0</v>
      </c>
      <c r="K222" s="11">
        <f>IF($E222="2018-19",H222,H222*(1+Assumptions_EG!$C$7)*(1+INDEX(Legacy_FC_VC!$I$47:$I$55,MATCH($D222,Assumptions_EG!$B$14:$B$22,0))))</f>
        <v>3.0320657044042396</v>
      </c>
      <c r="L222" s="11">
        <f>SUMIF(Legacy_FC_VC!$J$35:$J$43,D222,Legacy_FC_VC!$K$35:$K$43)</f>
        <v>0.65716939790195539</v>
      </c>
      <c r="M222" s="143">
        <f>IF(SUMPRODUCT(--(D222={"EG_COAL","EG_CCGT","EG_OCGT"}))&gt;0,J222,J222+K222*8760*L222)</f>
        <v>17455.007749855522</v>
      </c>
      <c r="N222" s="11">
        <f>IF(SUMPRODUCT(--(D222={"EG_COAL","EG_CCGT","EG_OCGT"}))&gt;0,K222,0)</f>
        <v>0</v>
      </c>
      <c r="O222" s="513" t="str">
        <f t="shared" si="17"/>
        <v>NREG_PHWR</v>
      </c>
      <c r="P222" s="3"/>
      <c r="Z222" s="150"/>
      <c r="AA222" s="150"/>
    </row>
    <row r="223" spans="2:27" s="304" customFormat="1" x14ac:dyDescent="0.35">
      <c r="B223" s="512" t="s">
        <v>1046</v>
      </c>
      <c r="C223" s="511" t="s">
        <v>780</v>
      </c>
      <c r="D223" s="3" t="s">
        <v>1604</v>
      </c>
      <c r="E223" s="3" t="s">
        <v>750</v>
      </c>
      <c r="F223" s="143">
        <f>SUMIFS(Capacity!$C$3:$C$263,Capacity!$A$3:$A$263,$C223,Capacity!$B$3:$B$263,$D223)</f>
        <v>2413.9232270204488</v>
      </c>
      <c r="G223" s="143">
        <f t="shared" si="18"/>
        <v>8148.7775070741172</v>
      </c>
      <c r="H223" s="11">
        <f t="shared" si="18"/>
        <v>1.8562635063200805</v>
      </c>
      <c r="I223" s="510" t="s">
        <v>799</v>
      </c>
      <c r="J223" s="143">
        <f>IF($E223="2018-19",G223,G223*(1+Assumptions_EG!$C$6)*(1+INDEX($H$47:$H$55,MATCH($D223,$G$47:$G$55,0))))</f>
        <v>8472.974818431785</v>
      </c>
      <c r="K223" s="11">
        <f>IF($E223="2018-19",H223,H223*(1+Assumptions_EG!$C$7)*(1+INDEX(Legacy_FC_VC!$I$47:$I$55,MATCH($D223,Assumptions_EG!$B$14:$B$22,0))))</f>
        <v>1.9305140465728838</v>
      </c>
      <c r="L223" s="11">
        <f>SUMIF(Legacy_FC_VC!$J$35:$J$43,D223,Legacy_FC_VC!$K$35:$K$43)</f>
        <v>0.32761940072174078</v>
      </c>
      <c r="M223" s="143">
        <f>IF(SUMPRODUCT(--(D223={"EG_COAL","EG_CCGT","EG_OCGT"}))&gt;0,J223,J223+K223*8760*L223)</f>
        <v>14013.445788434237</v>
      </c>
      <c r="N223" s="11">
        <f>IF(SUMPRODUCT(--(D223={"EG_COAL","EG_CCGT","EG_OCGT"}))&gt;0,K223,0)</f>
        <v>0</v>
      </c>
      <c r="O223" s="513" t="str">
        <f t="shared" si="17"/>
        <v>NREG_LH</v>
      </c>
      <c r="P223" s="3"/>
      <c r="Z223" s="150"/>
      <c r="AA223" s="150"/>
    </row>
    <row r="224" spans="2:27" s="304" customFormat="1" x14ac:dyDescent="0.35">
      <c r="B224" s="512" t="s">
        <v>1046</v>
      </c>
      <c r="C224" s="511" t="s">
        <v>780</v>
      </c>
      <c r="D224" s="3" t="s">
        <v>1603</v>
      </c>
      <c r="E224" s="3" t="s">
        <v>750</v>
      </c>
      <c r="F224" s="143">
        <f>SUMIFS(Capacity!$C$3:$C$263,Capacity!$A$3:$A$263,$C224,Capacity!$B$3:$B$263,$D224)</f>
        <v>179.03</v>
      </c>
      <c r="G224" s="143">
        <f t="shared" si="18"/>
        <v>0</v>
      </c>
      <c r="H224" s="11">
        <f t="shared" si="18"/>
        <v>2.42</v>
      </c>
      <c r="I224" s="510" t="s">
        <v>799</v>
      </c>
      <c r="J224" s="143">
        <f>IF($E224="2018-19",G224,G224*(1+Assumptions_EG!$C$6)*(1+INDEX($H$47:$H$55,MATCH($D224,$G$47:$G$55,0))))</f>
        <v>0</v>
      </c>
      <c r="K224" s="11">
        <f>IF($E224="2018-19",H224,H224*(1+Assumptions_EG!$C$7)*(1+INDEX(Legacy_FC_VC!$I$47:$I$55,MATCH($D224,Assumptions_EG!$B$14:$B$22,0))))</f>
        <v>2.5167999999999999</v>
      </c>
      <c r="L224" s="11">
        <f>SUMIF(Legacy_FC_VC!$J$35:$J$43,D224,Legacy_FC_VC!$K$35:$K$43)</f>
        <v>0.20627943231757243</v>
      </c>
      <c r="M224" s="143">
        <f>IF(SUMPRODUCT(--(D224={"EG_COAL","EG_CCGT","EG_OCGT"}))&gt;0,J224,J224+K224*8760*L224)</f>
        <v>4547.8772992501481</v>
      </c>
      <c r="N224" s="11">
        <f>IF(SUMPRODUCT(--(D224={"EG_COAL","EG_CCGT","EG_OCGT"}))&gt;0,K224,0)</f>
        <v>0</v>
      </c>
      <c r="O224" s="513" t="str">
        <f t="shared" si="17"/>
        <v>NREG_SH</v>
      </c>
      <c r="P224" s="3"/>
      <c r="Z224" s="150"/>
      <c r="AA224" s="150"/>
    </row>
    <row r="225" spans="2:27" s="304" customFormat="1" x14ac:dyDescent="0.35">
      <c r="B225" s="512" t="s">
        <v>1046</v>
      </c>
      <c r="C225" s="511" t="s">
        <v>780</v>
      </c>
      <c r="D225" s="3" t="s">
        <v>1605</v>
      </c>
      <c r="E225" s="3" t="s">
        <v>750</v>
      </c>
      <c r="F225" s="143">
        <f>SUMIFS(Capacity!$C$3:$C$263,Capacity!$A$3:$A$263,$C225,Capacity!$B$3:$B$263,$D225)</f>
        <v>0</v>
      </c>
      <c r="G225" s="143">
        <f t="shared" si="18"/>
        <v>0</v>
      </c>
      <c r="H225" s="11">
        <f t="shared" si="18"/>
        <v>7.1047233362808022</v>
      </c>
      <c r="I225" s="510" t="s">
        <v>799</v>
      </c>
      <c r="J225" s="143">
        <f>IF($E225="2018-19",G225,G225*(1+Assumptions_EG!$C$6)*(1+INDEX($H$47:$H$55,MATCH($D225,$G$47:$G$55,0))))</f>
        <v>0</v>
      </c>
      <c r="K225" s="11">
        <f>IF($E225="2018-19",H225,H225*(1+Assumptions_EG!$C$7)*(1+INDEX(Legacy_FC_VC!$I$47:$I$55,MATCH($D225,Assumptions_EG!$B$14:$B$22,0))))</f>
        <v>7.3889122697320344</v>
      </c>
      <c r="L225" s="11">
        <f>SUMIF(Legacy_FC_VC!$J$35:$J$43,D225,Legacy_FC_VC!$K$35:$K$43)</f>
        <v>0.2313655363440307</v>
      </c>
      <c r="M225" s="143">
        <f>IF(SUMPRODUCT(--(D225={"EG_COAL","EG_CCGT","EG_OCGT"}))&gt;0,J225,J225+K225*8760*L225)</f>
        <v>14975.567336501343</v>
      </c>
      <c r="N225" s="11">
        <f>IF(SUMPRODUCT(--(D225={"EG_COAL","EG_CCGT","EG_OCGT"}))&gt;0,K225,0)</f>
        <v>0</v>
      </c>
      <c r="O225" s="513" t="str">
        <f t="shared" si="17"/>
        <v>NREG_BIOMASS</v>
      </c>
      <c r="P225" s="3"/>
      <c r="Z225" s="150"/>
      <c r="AA225" s="150"/>
    </row>
    <row r="226" spans="2:27" s="304" customFormat="1" x14ac:dyDescent="0.35">
      <c r="B226" s="512" t="s">
        <v>1046</v>
      </c>
      <c r="C226" s="511" t="s">
        <v>780</v>
      </c>
      <c r="D226" s="3" t="s">
        <v>1636</v>
      </c>
      <c r="E226" s="3" t="s">
        <v>750</v>
      </c>
      <c r="F226" s="143">
        <f>SUMIFS(Capacity!$C$3:$C$263,Capacity!$A$3:$A$263,$C226,Capacity!$B$3:$B$263,$D226)</f>
        <v>14.83</v>
      </c>
      <c r="G226" s="143">
        <f t="shared" si="18"/>
        <v>0</v>
      </c>
      <c r="H226" s="11">
        <f t="shared" si="18"/>
        <v>5.7130472906992971</v>
      </c>
      <c r="I226" s="510" t="s">
        <v>799</v>
      </c>
      <c r="J226" s="143">
        <f>IF($E226="2018-19",G226,G226*(1+Assumptions_EG!$C$6)*(1+INDEX($H$47:$H$55,MATCH($D226,$G$47:$G$55,0))))</f>
        <v>0</v>
      </c>
      <c r="K226" s="11">
        <f>IF($E226="2018-19",H226,H226*(1+Assumptions_EG!$C$7)*(1+INDEX(Legacy_FC_VC!$I$47:$I$55,MATCH($D226,Assumptions_EG!$B$14:$B$22,0))))</f>
        <v>5.7039064150341785</v>
      </c>
      <c r="L226" s="11">
        <f>SUMIF(Legacy_FC_VC!$J$35:$J$43,D226,Legacy_FC_VC!$K$35:$K$43)</f>
        <v>0.1890889600524939</v>
      </c>
      <c r="M226" s="143">
        <f>IF(SUMPRODUCT(--(D226={"EG_COAL","EG_CCGT","EG_OCGT"}))&gt;0,J226,J226+K226*8760*L226)</f>
        <v>9448.060614558719</v>
      </c>
      <c r="N226" s="11">
        <f>IF(SUMPRODUCT(--(D226={"EG_COAL","EG_CCGT","EG_OCGT"}))&gt;0,K226,0)</f>
        <v>0</v>
      </c>
      <c r="O226" s="513" t="str">
        <f t="shared" si="17"/>
        <v>NREG_SOLARPV</v>
      </c>
      <c r="P226" s="3"/>
      <c r="Z226" s="150"/>
      <c r="AA226" s="150"/>
    </row>
    <row r="227" spans="2:27" s="304" customFormat="1" x14ac:dyDescent="0.35">
      <c r="B227" s="512" t="s">
        <v>1046</v>
      </c>
      <c r="C227" s="511" t="s">
        <v>780</v>
      </c>
      <c r="D227" s="3" t="s">
        <v>1606</v>
      </c>
      <c r="E227" s="3" t="s">
        <v>750</v>
      </c>
      <c r="F227" s="143">
        <f>SUMIFS(Capacity!$C$3:$C$263,Capacity!$A$3:$A$263,$C227,Capacity!$B$3:$B$263,$D227)</f>
        <v>0</v>
      </c>
      <c r="G227" s="143">
        <f t="shared" si="18"/>
        <v>0</v>
      </c>
      <c r="H227" s="11">
        <f t="shared" si="18"/>
        <v>0</v>
      </c>
      <c r="I227" s="510" t="s">
        <v>799</v>
      </c>
      <c r="J227" s="143">
        <f>IF($E227="2018-19",G227,G227*(1+Assumptions_EG!$C$6)*(1+INDEX($H$47:$H$55,MATCH($D227,$G$47:$G$55,0))))</f>
        <v>0</v>
      </c>
      <c r="K227" s="11">
        <f>IF($E227="2018-19",H227,H227*(1+Assumptions_EG!$C$7)*(1+INDEX(Legacy_FC_VC!$I$47:$I$55,MATCH($D227,Assumptions_EG!$B$14:$B$22,0))))</f>
        <v>0</v>
      </c>
      <c r="L227" s="11">
        <f>SUMIF(Legacy_FC_VC!$J$35:$J$43,D227,Legacy_FC_VC!$K$35:$K$43)</f>
        <v>0.19182955699540097</v>
      </c>
      <c r="M227" s="143">
        <f>IF(SUMPRODUCT(--(D227={"EG_COAL","EG_CCGT","EG_OCGT"}))&gt;0,J227,J227+K227*8760*L227)</f>
        <v>0</v>
      </c>
      <c r="N227" s="11">
        <f>IF(SUMPRODUCT(--(D227={"EG_COAL","EG_CCGT","EG_OCGT"}))&gt;0,K227,0)</f>
        <v>0</v>
      </c>
      <c r="O227" s="513" t="str">
        <f t="shared" si="17"/>
        <v>NREG_WIND</v>
      </c>
      <c r="P227" s="3"/>
      <c r="Z227" s="150"/>
      <c r="AA227" s="150"/>
    </row>
    <row r="228" spans="2:27" x14ac:dyDescent="0.35">
      <c r="B228" s="512" t="s">
        <v>644</v>
      </c>
      <c r="C228" s="511" t="s">
        <v>782</v>
      </c>
      <c r="D228" s="3" t="s">
        <v>1612</v>
      </c>
      <c r="E228" s="3" t="s">
        <v>750</v>
      </c>
      <c r="F228" s="143">
        <f>SUMIFS(Capacity!$C$3:$C$263,Capacity!$A$3:$A$263,$C228,Capacity!$B$3:$B$263,$D228)</f>
        <v>1609.7894776778207</v>
      </c>
      <c r="G228" s="143">
        <f t="shared" si="18"/>
        <v>9098.5503977141507</v>
      </c>
      <c r="H228" s="11">
        <f t="shared" si="18"/>
        <v>2.1809249723986195</v>
      </c>
      <c r="I228" s="510" t="s">
        <v>260</v>
      </c>
      <c r="J228" s="143">
        <f>IF($E228="2018-19",G228,G228*(1+Assumptions_EG!$C$6)*(1+INDEX($H$47:$H$55,MATCH($D228,$G$47:$G$55,0))))</f>
        <v>9460.5342135233877</v>
      </c>
      <c r="K228" s="11">
        <f>IF($E228="2018-19",H228,H228*(1+Assumptions_EG!$C$7)*(1+INDEX(Legacy_FC_VC!$I$47:$I$55,MATCH($D228,Assumptions_EG!$B$14:$B$22,0))))</f>
        <v>2.4108314314952306</v>
      </c>
      <c r="L228" s="11">
        <f>SUMIF(Legacy_FC_VC!$J$35:$J$43,D228,Legacy_FC_VC!$K$35:$K$43)</f>
        <v>0.85</v>
      </c>
      <c r="M228" s="143">
        <f>IF(SUMPRODUCT(--(D228={"EG_COAL","EG_CCGT","EG_OCGT"}))&gt;0,J228,J228+K228*8760*L228)</f>
        <v>9460.5342135233877</v>
      </c>
      <c r="N228" s="11">
        <f>IF(SUMPRODUCT(--(D228={"EG_COAL","EG_CCGT","EG_OCGT"}))&gt;0,K228,0)</f>
        <v>2.4108314314952306</v>
      </c>
      <c r="O228" s="513" t="str">
        <f t="shared" si="17"/>
        <v>EREG_COAL</v>
      </c>
      <c r="P228" s="3"/>
      <c r="Z228" s="150"/>
      <c r="AA228" s="150"/>
    </row>
    <row r="229" spans="2:27" s="304" customFormat="1" x14ac:dyDescent="0.35">
      <c r="B229" s="512" t="s">
        <v>644</v>
      </c>
      <c r="C229" s="511" t="s">
        <v>782</v>
      </c>
      <c r="D229" s="3" t="s">
        <v>1613</v>
      </c>
      <c r="E229" s="3" t="s">
        <v>750</v>
      </c>
      <c r="F229" s="143">
        <f>SUMIFS(Capacity!$C$3:$C$263,Capacity!$A$3:$A$263,$C229,Capacity!$B$3:$B$263,$D229)</f>
        <v>0</v>
      </c>
      <c r="G229" s="143">
        <f t="shared" si="18"/>
        <v>2373.8226149627189</v>
      </c>
      <c r="H229" s="11">
        <f t="shared" si="18"/>
        <v>3.1806741615505532</v>
      </c>
      <c r="I229" s="510" t="s">
        <v>260</v>
      </c>
      <c r="J229" s="143">
        <f>IF($E229="2018-19",G229,G229*(1+Assumptions_EG!$C$6)*(1+INDEX($H$47:$H$55,MATCH($D229,$G$47:$G$55,0))))</f>
        <v>2468.2646228274384</v>
      </c>
      <c r="K229" s="11">
        <f>IF($E229="2018-19",H229,H229*(1+Assumptions_EG!$C$7)*(1+INDEX(Legacy_FC_VC!$I$47:$I$55,MATCH($D229,Assumptions_EG!$B$14:$B$22,0))))</f>
        <v>3.4029805964349711</v>
      </c>
      <c r="L229" s="11">
        <f>SUMIF(Legacy_FC_VC!$J$35:$J$43,D229,Legacy_FC_VC!$K$35:$K$43)</f>
        <v>0.85</v>
      </c>
      <c r="M229" s="143">
        <f>IF(SUMPRODUCT(--(D229={"EG_COAL","EG_CCGT","EG_OCGT"}))&gt;0,J229,J229+K229*8760*L229)</f>
        <v>2468.2646228274384</v>
      </c>
      <c r="N229" s="11">
        <f>IF(SUMPRODUCT(--(D229={"EG_COAL","EG_CCGT","EG_OCGT"}))&gt;0,K229,0)</f>
        <v>3.4029805964349711</v>
      </c>
      <c r="O229" s="513" t="str">
        <f t="shared" si="17"/>
        <v>EREG_CCGT</v>
      </c>
      <c r="P229" s="3"/>
      <c r="Z229" s="150"/>
      <c r="AA229" s="150"/>
    </row>
    <row r="230" spans="2:27" s="304" customFormat="1" x14ac:dyDescent="0.35">
      <c r="B230" s="512" t="s">
        <v>644</v>
      </c>
      <c r="C230" s="511" t="s">
        <v>782</v>
      </c>
      <c r="D230" s="3" t="s">
        <v>1614</v>
      </c>
      <c r="E230" s="3" t="s">
        <v>750</v>
      </c>
      <c r="F230" s="143">
        <f>SUMIFS(Capacity!$C$3:$C$263,Capacity!$A$3:$A$263,$C230,Capacity!$B$3:$B$263,$D230)</f>
        <v>0</v>
      </c>
      <c r="G230" s="143">
        <f t="shared" si="18"/>
        <v>0</v>
      </c>
      <c r="H230" s="11">
        <f t="shared" si="18"/>
        <v>0</v>
      </c>
      <c r="I230" s="510" t="s">
        <v>260</v>
      </c>
      <c r="J230" s="143">
        <f>IF($E230="2018-19",G230,G230*(1+Assumptions_EG!$C$6)*(1+INDEX($H$47:$H$55,MATCH($D230,$G$47:$G$55,0))))</f>
        <v>0</v>
      </c>
      <c r="K230" s="11">
        <f>IF($E230="2018-19",H230,H230*(1+Assumptions_EG!$C$7)*(1+INDEX(Legacy_FC_VC!$I$47:$I$55,MATCH($D230,Assumptions_EG!$B$14:$B$22,0))))</f>
        <v>0</v>
      </c>
      <c r="L230" s="11">
        <f>SUMIF(Legacy_FC_VC!$J$35:$J$43,D230,Legacy_FC_VC!$K$35:$K$43)</f>
        <v>0.85</v>
      </c>
      <c r="M230" s="143">
        <f>IF(SUMPRODUCT(--(D230={"EG_COAL","EG_CCGT","EG_OCGT"}))&gt;0,J230,J230+K230*8760*L230)</f>
        <v>0</v>
      </c>
      <c r="N230" s="11">
        <f>IF(SUMPRODUCT(--(D230={"EG_COAL","EG_CCGT","EG_OCGT"}))&gt;0,K230,0)</f>
        <v>0</v>
      </c>
      <c r="O230" s="513" t="str">
        <f t="shared" si="17"/>
        <v>EREG_OCGT</v>
      </c>
      <c r="P230" s="3"/>
      <c r="Z230" s="150"/>
      <c r="AA230" s="150"/>
    </row>
    <row r="231" spans="2:27" s="304" customFormat="1" x14ac:dyDescent="0.35">
      <c r="B231" s="512" t="s">
        <v>644</v>
      </c>
      <c r="C231" s="511" t="s">
        <v>782</v>
      </c>
      <c r="D231" s="3" t="s">
        <v>1615</v>
      </c>
      <c r="E231" s="3" t="s">
        <v>750</v>
      </c>
      <c r="F231" s="143">
        <f>SUMIFS(Capacity!$C$3:$C$263,Capacity!$A$3:$A$263,$C231,Capacity!$B$3:$B$263,$D231)</f>
        <v>0</v>
      </c>
      <c r="G231" s="143">
        <f t="shared" si="18"/>
        <v>0</v>
      </c>
      <c r="H231" s="11">
        <f t="shared" si="18"/>
        <v>0</v>
      </c>
      <c r="I231" s="510" t="s">
        <v>260</v>
      </c>
      <c r="J231" s="143">
        <f>IF($E231="2018-19",G231,G231*(1+Assumptions_EG!$C$6)*(1+INDEX($H$47:$H$55,MATCH($D231,$G$47:$G$55,0))))</f>
        <v>0</v>
      </c>
      <c r="K231" s="11">
        <f>IF($E231="2018-19",H231,H231*(1+Assumptions_EG!$C$7)*(1+INDEX(Legacy_FC_VC!$I$47:$I$55,MATCH($D231,Assumptions_EG!$B$14:$B$22,0))))</f>
        <v>0</v>
      </c>
      <c r="L231" s="11">
        <f>SUMIF(Legacy_FC_VC!$J$35:$J$43,D231,Legacy_FC_VC!$K$35:$K$43)</f>
        <v>0.65716939790195539</v>
      </c>
      <c r="M231" s="143">
        <f>IF(SUMPRODUCT(--(D231={"EG_COAL","EG_CCGT","EG_OCGT"}))&gt;0,J231,J231+K231*8760*L231)</f>
        <v>0</v>
      </c>
      <c r="N231" s="11">
        <f>IF(SUMPRODUCT(--(D231={"EG_COAL","EG_CCGT","EG_OCGT"}))&gt;0,K231,0)</f>
        <v>0</v>
      </c>
      <c r="O231" s="513" t="str">
        <f t="shared" si="17"/>
        <v>EREG_PHWR</v>
      </c>
      <c r="P231" s="3"/>
      <c r="Z231" s="150"/>
      <c r="AA231" s="150"/>
    </row>
    <row r="232" spans="2:27" s="304" customFormat="1" x14ac:dyDescent="0.35">
      <c r="B232" s="512" t="s">
        <v>644</v>
      </c>
      <c r="C232" s="511" t="s">
        <v>782</v>
      </c>
      <c r="D232" s="3" t="s">
        <v>1604</v>
      </c>
      <c r="E232" s="3" t="s">
        <v>750</v>
      </c>
      <c r="F232" s="143">
        <f>SUMIFS(Capacity!$C$3:$C$263,Capacity!$A$3:$A$263,$C232,Capacity!$B$3:$B$263,$D232)</f>
        <v>194.3425157294858</v>
      </c>
      <c r="G232" s="143">
        <f t="shared" si="18"/>
        <v>2150.3510294233652</v>
      </c>
      <c r="H232" s="11">
        <f t="shared" si="18"/>
        <v>1.9076914882284006</v>
      </c>
      <c r="I232" s="510" t="s">
        <v>260</v>
      </c>
      <c r="J232" s="143">
        <f>IF($E232="2018-19",G232,G232*(1+Assumptions_EG!$C$6)*(1+INDEX($H$47:$H$55,MATCH($D232,$G$47:$G$55,0))))</f>
        <v>2235.9022696687944</v>
      </c>
      <c r="K232" s="11">
        <f>IF($E232="2018-19",H232,H232*(1+Assumptions_EG!$C$7)*(1+INDEX(Legacy_FC_VC!$I$47:$I$55,MATCH($D232,Assumptions_EG!$B$14:$B$22,0))))</f>
        <v>1.9839991477575367</v>
      </c>
      <c r="L232" s="11">
        <f>SUMIF(Legacy_FC_VC!$J$35:$J$43,D232,Legacy_FC_VC!$K$35:$K$43)</f>
        <v>0.32761940072174078</v>
      </c>
      <c r="M232" s="143">
        <f>IF(SUMPRODUCT(--(D232={"EG_COAL","EG_CCGT","EG_OCGT"}))&gt;0,J232,J232+K232*8760*L232)</f>
        <v>7929.8725892187276</v>
      </c>
      <c r="N232" s="11">
        <f>IF(SUMPRODUCT(--(D232={"EG_COAL","EG_CCGT","EG_OCGT"}))&gt;0,K232,0)</f>
        <v>0</v>
      </c>
      <c r="O232" s="513" t="str">
        <f t="shared" si="17"/>
        <v>EREG_LH</v>
      </c>
      <c r="P232" s="3"/>
      <c r="Z232" s="150"/>
      <c r="AA232" s="150"/>
    </row>
    <row r="233" spans="2:27" s="304" customFormat="1" x14ac:dyDescent="0.35">
      <c r="B233" s="512" t="s">
        <v>644</v>
      </c>
      <c r="C233" s="511" t="s">
        <v>782</v>
      </c>
      <c r="D233" s="3" t="s">
        <v>1603</v>
      </c>
      <c r="E233" s="3" t="s">
        <v>750</v>
      </c>
      <c r="F233" s="143">
        <f>SUMIFS(Capacity!$C$3:$C$263,Capacity!$A$3:$A$263,$C233,Capacity!$B$3:$B$263,$D233)</f>
        <v>4.05</v>
      </c>
      <c r="G233" s="143">
        <f t="shared" si="18"/>
        <v>0</v>
      </c>
      <c r="H233" s="11">
        <f t="shared" si="18"/>
        <v>2.4827586206896552</v>
      </c>
      <c r="I233" s="510" t="s">
        <v>260</v>
      </c>
      <c r="J233" s="143">
        <f>IF($E233="2018-19",G233,G233*(1+Assumptions_EG!$C$6)*(1+INDEX($H$47:$H$55,MATCH($D233,$G$47:$G$55,0))))</f>
        <v>0</v>
      </c>
      <c r="K233" s="11">
        <f>IF($E233="2018-19",H233,H233*(1+Assumptions_EG!$C$7)*(1+INDEX(Legacy_FC_VC!$I$47:$I$55,MATCH($D233,Assumptions_EG!$B$14:$B$22,0))))</f>
        <v>2.5820689655172417</v>
      </c>
      <c r="L233" s="11">
        <f>SUMIF(Legacy_FC_VC!$J$35:$J$43,D233,Legacy_FC_VC!$K$35:$K$43)</f>
        <v>0.20627943231757243</v>
      </c>
      <c r="M233" s="143">
        <f>IF(SUMPRODUCT(--(D233={"EG_COAL","EG_CCGT","EG_OCGT"}))&gt;0,J233,J233+K233*8760*L233)</f>
        <v>4665.8188308066501</v>
      </c>
      <c r="N233" s="11">
        <f>IF(SUMPRODUCT(--(D233={"EG_COAL","EG_CCGT","EG_OCGT"}))&gt;0,K233,0)</f>
        <v>0</v>
      </c>
      <c r="O233" s="513" t="str">
        <f t="shared" si="17"/>
        <v>EREG_SH</v>
      </c>
      <c r="P233" s="3"/>
      <c r="Z233" s="150"/>
      <c r="AA233" s="150"/>
    </row>
    <row r="234" spans="2:27" s="304" customFormat="1" x14ac:dyDescent="0.35">
      <c r="B234" s="512" t="s">
        <v>644</v>
      </c>
      <c r="C234" s="511" t="s">
        <v>782</v>
      </c>
      <c r="D234" s="3" t="s">
        <v>1605</v>
      </c>
      <c r="E234" s="3" t="s">
        <v>750</v>
      </c>
      <c r="F234" s="143">
        <f>SUMIFS(Capacity!$C$3:$C$263,Capacity!$A$3:$A$263,$C234,Capacity!$B$3:$B$263,$D234)</f>
        <v>4.3</v>
      </c>
      <c r="G234" s="143">
        <f t="shared" si="18"/>
        <v>0</v>
      </c>
      <c r="H234" s="11">
        <f t="shared" si="18"/>
        <v>6.925795053003533</v>
      </c>
      <c r="I234" s="510" t="s">
        <v>260</v>
      </c>
      <c r="J234" s="143">
        <f>IF($E234="2018-19",G234,G234*(1+Assumptions_EG!$C$6)*(1+INDEX($H$47:$H$55,MATCH($D234,$G$47:$G$55,0))))</f>
        <v>0</v>
      </c>
      <c r="K234" s="11">
        <f>IF($E234="2018-19",H234,H234*(1+Assumptions_EG!$C$7)*(1+INDEX(Legacy_FC_VC!$I$47:$I$55,MATCH($D234,Assumptions_EG!$B$14:$B$22,0))))</f>
        <v>7.2028268551236749</v>
      </c>
      <c r="L234" s="11">
        <f>SUMIF(Legacy_FC_VC!$J$35:$J$43,D234,Legacy_FC_VC!$K$35:$K$43)</f>
        <v>0.2313655363440307</v>
      </c>
      <c r="M234" s="143">
        <f>IF(SUMPRODUCT(--(D234={"EG_COAL","EG_CCGT","EG_OCGT"}))&gt;0,J234,J234+K234*8760*L234)</f>
        <v>14598.416471112962</v>
      </c>
      <c r="N234" s="11">
        <f>IF(SUMPRODUCT(--(D234={"EG_COAL","EG_CCGT","EG_OCGT"}))&gt;0,K234,0)</f>
        <v>0</v>
      </c>
      <c r="O234" s="513" t="str">
        <f t="shared" si="17"/>
        <v>EREG_BIOMASS</v>
      </c>
      <c r="P234" s="3"/>
      <c r="Z234" s="150"/>
      <c r="AA234" s="150"/>
    </row>
    <row r="235" spans="2:27" s="304" customFormat="1" x14ac:dyDescent="0.35">
      <c r="B235" s="512" t="s">
        <v>644</v>
      </c>
      <c r="C235" s="511" t="s">
        <v>782</v>
      </c>
      <c r="D235" s="3" t="s">
        <v>1636</v>
      </c>
      <c r="E235" s="3" t="s">
        <v>750</v>
      </c>
      <c r="F235" s="143">
        <f>SUMIFS(Capacity!$C$3:$C$263,Capacity!$A$3:$A$263,$C235,Capacity!$B$3:$B$263,$D235)</f>
        <v>34.950000000000003</v>
      </c>
      <c r="G235" s="143">
        <f t="shared" si="18"/>
        <v>0</v>
      </c>
      <c r="H235" s="11">
        <f t="shared" si="18"/>
        <v>8.0282208588957022</v>
      </c>
      <c r="I235" s="510" t="s">
        <v>260</v>
      </c>
      <c r="J235" s="143">
        <f>IF($E235="2018-19",G235,G235*(1+Assumptions_EG!$C$6)*(1+INDEX($H$47:$H$55,MATCH($D235,$G$47:$G$55,0))))</f>
        <v>0</v>
      </c>
      <c r="K235" s="11">
        <f>IF($E235="2018-19",H235,H235*(1+Assumptions_EG!$C$7)*(1+INDEX(Legacy_FC_VC!$I$47:$I$55,MATCH($D235,Assumptions_EG!$B$14:$B$22,0))))</f>
        <v>8.0153757055214694</v>
      </c>
      <c r="L235" s="11">
        <f>SUMIF(Legacy_FC_VC!$J$35:$J$43,D235,Legacy_FC_VC!$K$35:$K$43)</f>
        <v>0.1890889600524939</v>
      </c>
      <c r="M235" s="143">
        <f>IF(SUMPRODUCT(--(D235={"EG_COAL","EG_CCGT","EG_OCGT"}))&gt;0,J235,J235+K235*8760*L235)</f>
        <v>13276.822935702814</v>
      </c>
      <c r="N235" s="11">
        <f>IF(SUMPRODUCT(--(D235={"EG_COAL","EG_CCGT","EG_OCGT"}))&gt;0,K235,0)</f>
        <v>0</v>
      </c>
      <c r="O235" s="513" t="str">
        <f t="shared" si="17"/>
        <v>EREG_SOLARPV</v>
      </c>
      <c r="P235" s="3"/>
      <c r="Z235" s="150"/>
      <c r="AA235" s="150"/>
    </row>
    <row r="236" spans="2:27" s="304" customFormat="1" x14ac:dyDescent="0.35">
      <c r="B236" s="512" t="s">
        <v>644</v>
      </c>
      <c r="C236" s="511" t="s">
        <v>782</v>
      </c>
      <c r="D236" s="3" t="s">
        <v>1606</v>
      </c>
      <c r="E236" s="3" t="s">
        <v>750</v>
      </c>
      <c r="F236" s="143">
        <f>SUMIFS(Capacity!$C$3:$C$263,Capacity!$A$3:$A$263,$C236,Capacity!$B$3:$B$263,$D236)</f>
        <v>0</v>
      </c>
      <c r="G236" s="143">
        <f t="shared" si="18"/>
        <v>0</v>
      </c>
      <c r="H236" s="11">
        <f t="shared" si="18"/>
        <v>4.693297390025732</v>
      </c>
      <c r="I236" s="510" t="s">
        <v>260</v>
      </c>
      <c r="J236" s="143">
        <f>IF($E236="2018-19",G236,G236*(1+Assumptions_EG!$C$6)*(1+INDEX($H$47:$H$55,MATCH($D236,$G$47:$G$55,0))))</f>
        <v>0</v>
      </c>
      <c r="K236" s="11">
        <f>IF($E236="2018-19",H236,H236*(1+Assumptions_EG!$C$7)*(1+INDEX(Legacy_FC_VC!$I$47:$I$55,MATCH($D236,Assumptions_EG!$B$14:$B$22,0))))</f>
        <v>4.6857881142016904</v>
      </c>
      <c r="L236" s="11">
        <f>SUMIF(Legacy_FC_VC!$J$35:$J$43,D236,Legacy_FC_VC!$K$35:$K$43)</f>
        <v>0.19182955699540097</v>
      </c>
      <c r="M236" s="143">
        <f>IF(SUMPRODUCT(--(D236={"EG_COAL","EG_CCGT","EG_OCGT"}))&gt;0,J236,J236+K236*8760*L236)</f>
        <v>7874.1244851454403</v>
      </c>
      <c r="N236" s="11">
        <f>IF(SUMPRODUCT(--(D236={"EG_COAL","EG_CCGT","EG_OCGT"}))&gt;0,K236,0)</f>
        <v>0</v>
      </c>
      <c r="O236" s="513" t="str">
        <f t="shared" si="17"/>
        <v>EREG_WIND</v>
      </c>
      <c r="P236" s="3"/>
      <c r="Z236" s="150"/>
      <c r="AA236" s="150"/>
    </row>
    <row r="237" spans="2:27" x14ac:dyDescent="0.35">
      <c r="B237" s="512" t="s">
        <v>1051</v>
      </c>
      <c r="C237" s="511" t="s">
        <v>784</v>
      </c>
      <c r="D237" s="3" t="s">
        <v>1612</v>
      </c>
      <c r="E237" s="14" t="s">
        <v>739</v>
      </c>
      <c r="F237" s="143">
        <f>SUMIFS(Capacity!$C$3:$C$263,Capacity!$A$3:$A$263,$C237,Capacity!$B$3:$B$263,$D237)</f>
        <v>10198.559297809323</v>
      </c>
      <c r="G237" s="143">
        <f t="shared" ref="G237:H245" si="19">AVERAGE(SUMIFS(G$66:G$182,$C$66:$C$182,"AP",$D$66:$D$182,$D237),SUMIFS(G$66:G$182,$C$66:$C$182,"TN",$D$66:$D$182,$D237))</f>
        <v>7250.7511785452107</v>
      </c>
      <c r="H237" s="11">
        <f t="shared" si="19"/>
        <v>2.5422657201493757</v>
      </c>
      <c r="I237" s="510" t="s">
        <v>785</v>
      </c>
      <c r="J237" s="143">
        <f>IF($E237="2018-19",G237,G237*(1+Assumptions_EG!$C$6)*(1+INDEX($H$47:$H$55,MATCH($D237,$G$47:$G$55,0))))</f>
        <v>7250.7511785452107</v>
      </c>
      <c r="K237" s="11">
        <f>IF($E237="2018-19",H237,H237*(1+Assumptions_EG!$C$6)*(1+INDEX(Legacy_FC_VC!$I$47:$I$55,MATCH($D237,Assumptions_EG!$B$14:$B$22,0))))</f>
        <v>2.5422657201493757</v>
      </c>
      <c r="L237" s="11">
        <f>SUMIF(Legacy_FC_VC!$J$35:$J$43,D237,Legacy_FC_VC!$K$35:$K$43)</f>
        <v>0.85</v>
      </c>
      <c r="M237" s="143">
        <f>IF(SUMPRODUCT(--(D237={"EG_COAL","EG_CCGT","EG_OCGT"}))&gt;0,J237,J237+K237*8760*L237)</f>
        <v>7250.7511785452107</v>
      </c>
      <c r="N237" s="11">
        <f>IF(SUMPRODUCT(--(D237={"EG_COAL","EG_CCGT","EG_OCGT"}))&gt;0,K237,0)</f>
        <v>2.5422657201493757</v>
      </c>
      <c r="O237" s="513" t="str">
        <f t="shared" si="17"/>
        <v>SREG_COAL</v>
      </c>
      <c r="P237" s="3" t="s">
        <v>1417</v>
      </c>
      <c r="Z237" s="150"/>
      <c r="AA237" s="150"/>
    </row>
    <row r="238" spans="2:27" s="304" customFormat="1" x14ac:dyDescent="0.35">
      <c r="B238" s="512" t="s">
        <v>1051</v>
      </c>
      <c r="C238" s="511" t="s">
        <v>784</v>
      </c>
      <c r="D238" s="3" t="s">
        <v>1613</v>
      </c>
      <c r="E238" s="14" t="s">
        <v>739</v>
      </c>
      <c r="F238" s="143">
        <f>SUMIFS(Capacity!$C$3:$C$263,Capacity!$A$3:$A$263,$C238,Capacity!$B$3:$B$263,$D238)</f>
        <v>0</v>
      </c>
      <c r="G238" s="143">
        <f t="shared" si="19"/>
        <v>5704.9947437928313</v>
      </c>
      <c r="H238" s="11">
        <f t="shared" si="19"/>
        <v>2.2918849889811699</v>
      </c>
      <c r="I238" s="510" t="s">
        <v>785</v>
      </c>
      <c r="J238" s="143">
        <f>IF($E238="2018-19",G238,G238*(1+Assumptions_EG!$C$6)*(1+INDEX($H$47:$H$55,MATCH($D238,$G$47:$G$55,0))))</f>
        <v>5704.9947437928313</v>
      </c>
      <c r="K238" s="11">
        <f>IF($E238="2018-19",H238,H238*(1+Assumptions_EG!$C$6)*(1+INDEX(Legacy_FC_VC!$I$47:$I$55,MATCH($D238,Assumptions_EG!$B$14:$B$22,0))))</f>
        <v>2.2918849889811699</v>
      </c>
      <c r="L238" s="11">
        <f>SUMIF(Legacy_FC_VC!$J$35:$J$43,D238,Legacy_FC_VC!$K$35:$K$43)</f>
        <v>0.85</v>
      </c>
      <c r="M238" s="143">
        <f>IF(SUMPRODUCT(--(D238={"EG_COAL","EG_CCGT","EG_OCGT"}))&gt;0,J238,J238+K238*8760*L238)</f>
        <v>5704.9947437928313</v>
      </c>
      <c r="N238" s="11">
        <f>IF(SUMPRODUCT(--(D238={"EG_COAL","EG_CCGT","EG_OCGT"}))&gt;0,K238,0)</f>
        <v>2.2918849889811699</v>
      </c>
      <c r="O238" s="513" t="str">
        <f t="shared" si="17"/>
        <v>SREG_CCGT</v>
      </c>
      <c r="P238" s="3" t="s">
        <v>1417</v>
      </c>
      <c r="Z238" s="150"/>
      <c r="AA238" s="150"/>
    </row>
    <row r="239" spans="2:27" s="304" customFormat="1" x14ac:dyDescent="0.35">
      <c r="B239" s="512" t="s">
        <v>1051</v>
      </c>
      <c r="C239" s="511" t="s">
        <v>784</v>
      </c>
      <c r="D239" s="3" t="s">
        <v>1614</v>
      </c>
      <c r="E239" s="14" t="s">
        <v>739</v>
      </c>
      <c r="F239" s="143">
        <f>SUMIFS(Capacity!$C$3:$C$263,Capacity!$A$3:$A$263,$C239,Capacity!$B$3:$B$263,$D239)</f>
        <v>0</v>
      </c>
      <c r="G239" s="143">
        <f t="shared" si="19"/>
        <v>0</v>
      </c>
      <c r="H239" s="11">
        <f t="shared" si="19"/>
        <v>0</v>
      </c>
      <c r="I239" s="510" t="s">
        <v>785</v>
      </c>
      <c r="J239" s="143">
        <f>IF($E239="2018-19",G239,G239*(1+Assumptions_EG!$C$6)*(1+INDEX($H$47:$H$55,MATCH($D239,$G$47:$G$55,0))))</f>
        <v>0</v>
      </c>
      <c r="K239" s="11">
        <f>IF($E239="2018-19",H239,H239*(1+Assumptions_EG!$C$6)*(1+INDEX(Legacy_FC_VC!$I$47:$I$55,MATCH($D239,Assumptions_EG!$B$14:$B$22,0))))</f>
        <v>0</v>
      </c>
      <c r="L239" s="11">
        <f>SUMIF(Legacy_FC_VC!$J$35:$J$43,D239,Legacy_FC_VC!$K$35:$K$43)</f>
        <v>0.85</v>
      </c>
      <c r="M239" s="143">
        <f>IF(SUMPRODUCT(--(D239={"EG_COAL","EG_CCGT","EG_OCGT"}))&gt;0,J239,J239+K239*8760*L239)</f>
        <v>0</v>
      </c>
      <c r="N239" s="11">
        <f>IF(SUMPRODUCT(--(D239={"EG_COAL","EG_CCGT","EG_OCGT"}))&gt;0,K239,0)</f>
        <v>0</v>
      </c>
      <c r="O239" s="513" t="str">
        <f t="shared" si="17"/>
        <v>SREG_OCGT</v>
      </c>
      <c r="P239" s="3" t="s">
        <v>1417</v>
      </c>
      <c r="Z239" s="150"/>
      <c r="AA239" s="150"/>
    </row>
    <row r="240" spans="2:27" s="304" customFormat="1" x14ac:dyDescent="0.35">
      <c r="B240" s="512" t="s">
        <v>1051</v>
      </c>
      <c r="C240" s="511" t="s">
        <v>784</v>
      </c>
      <c r="D240" s="3" t="s">
        <v>1615</v>
      </c>
      <c r="E240" s="14" t="s">
        <v>739</v>
      </c>
      <c r="F240" s="143">
        <f>SUMIFS(Capacity!$C$3:$C$263,Capacity!$A$3:$A$263,$C240,Capacity!$B$3:$B$263,$D240)</f>
        <v>807.44250871080135</v>
      </c>
      <c r="G240" s="143">
        <f t="shared" si="19"/>
        <v>0</v>
      </c>
      <c r="H240" s="11">
        <f t="shared" si="19"/>
        <v>3.1701385077477209</v>
      </c>
      <c r="I240" s="510" t="s">
        <v>785</v>
      </c>
      <c r="J240" s="143">
        <f>IF($E240="2018-19",G240,G240*(1+Assumptions_EG!$C$6)*(1+INDEX($H$47:$H$55,MATCH($D240,$G$47:$G$55,0))))</f>
        <v>0</v>
      </c>
      <c r="K240" s="11">
        <f>IF($E240="2018-19",H240,H240*(1+Assumptions_EG!$C$6)*(1+INDEX(Legacy_FC_VC!$I$47:$I$55,MATCH($D240,Assumptions_EG!$B$14:$B$22,0))))</f>
        <v>3.1701385077477209</v>
      </c>
      <c r="L240" s="11">
        <f>SUMIF(Legacy_FC_VC!$J$35:$J$43,D240,Legacy_FC_VC!$K$35:$K$43)</f>
        <v>0.65716939790195539</v>
      </c>
      <c r="M240" s="143">
        <f>IF(SUMPRODUCT(--(D240={"EG_COAL","EG_CCGT","EG_OCGT"}))&gt;0,J240,J240+K240*8760*L240)</f>
        <v>18249.865806164788</v>
      </c>
      <c r="N240" s="11">
        <f>IF(SUMPRODUCT(--(D240={"EG_COAL","EG_CCGT","EG_OCGT"}))&gt;0,K240,0)</f>
        <v>0</v>
      </c>
      <c r="O240" s="513" t="str">
        <f t="shared" si="17"/>
        <v>SREG_PHWR</v>
      </c>
      <c r="P240" s="3" t="s">
        <v>1417</v>
      </c>
      <c r="Z240" s="150"/>
      <c r="AA240" s="150"/>
    </row>
    <row r="241" spans="2:27" s="304" customFormat="1" x14ac:dyDescent="0.35">
      <c r="B241" s="512" t="s">
        <v>1051</v>
      </c>
      <c r="C241" s="511" t="s">
        <v>784</v>
      </c>
      <c r="D241" s="3" t="s">
        <v>1604</v>
      </c>
      <c r="E241" s="14" t="s">
        <v>739</v>
      </c>
      <c r="F241" s="143">
        <f>SUMIFS(Capacity!$C$3:$C$263,Capacity!$A$3:$A$263,$C241,Capacity!$B$3:$B$263,$D241)</f>
        <v>3586.6</v>
      </c>
      <c r="G241" s="143">
        <f t="shared" si="19"/>
        <v>3666.7415218642273</v>
      </c>
      <c r="H241" s="11">
        <f t="shared" si="19"/>
        <v>0</v>
      </c>
      <c r="I241" s="510" t="s">
        <v>785</v>
      </c>
      <c r="J241" s="143">
        <f>IF($E241="2018-19",G241,G241*(1+Assumptions_EG!$C$6)*(1+INDEX($H$47:$H$55,MATCH($D241,$G$47:$G$55,0))))</f>
        <v>3666.7415218642273</v>
      </c>
      <c r="K241" s="11">
        <f>IF($E241="2018-19",H241,H241*(1+Assumptions_EG!$C$6)*(1+INDEX(Legacy_FC_VC!$I$47:$I$55,MATCH($D241,Assumptions_EG!$B$14:$B$22,0))))</f>
        <v>0</v>
      </c>
      <c r="L241" s="11">
        <f>SUMIF(Legacy_FC_VC!$J$35:$J$43,D241,Legacy_FC_VC!$K$35:$K$43)</f>
        <v>0.32761940072174078</v>
      </c>
      <c r="M241" s="143">
        <f>IF(SUMPRODUCT(--(D241={"EG_COAL","EG_CCGT","EG_OCGT"}))&gt;0,J241,J241+K241*8760*L241)</f>
        <v>3666.7415218642273</v>
      </c>
      <c r="N241" s="11">
        <f>IF(SUMPRODUCT(--(D241={"EG_COAL","EG_CCGT","EG_OCGT"}))&gt;0,K241,0)</f>
        <v>0</v>
      </c>
      <c r="O241" s="513" t="str">
        <f t="shared" si="17"/>
        <v>SREG_LH</v>
      </c>
      <c r="P241" s="3" t="s">
        <v>1417</v>
      </c>
      <c r="Z241" s="150"/>
      <c r="AA241" s="150"/>
    </row>
    <row r="242" spans="2:27" s="304" customFormat="1" x14ac:dyDescent="0.35">
      <c r="B242" s="512" t="s">
        <v>1051</v>
      </c>
      <c r="C242" s="511" t="s">
        <v>784</v>
      </c>
      <c r="D242" s="3" t="s">
        <v>1603</v>
      </c>
      <c r="E242" s="14" t="s">
        <v>739</v>
      </c>
      <c r="F242" s="143">
        <f>SUMIFS(Capacity!$C$3:$C$263,Capacity!$A$3:$A$263,$C242,Capacity!$B$3:$B$263,$D242)</f>
        <v>1254.73</v>
      </c>
      <c r="G242" s="143">
        <f t="shared" si="19"/>
        <v>957.32543056557995</v>
      </c>
      <c r="H242" s="11">
        <f t="shared" si="19"/>
        <v>1.2753801890669956</v>
      </c>
      <c r="I242" s="510" t="s">
        <v>785</v>
      </c>
      <c r="J242" s="143">
        <f>IF($E242="2018-19",G242,G242*(1+Assumptions_EG!$C$6)*(1+INDEX($H$47:$H$55,MATCH($D242,$G$47:$G$55,0))))</f>
        <v>957.32543056557995</v>
      </c>
      <c r="K242" s="11">
        <f>IF($E242="2018-19",H242,H242*(1+Assumptions_EG!$C$6)*(1+INDEX(Legacy_FC_VC!$I$47:$I$55,MATCH($D242,Assumptions_EG!$B$14:$B$22,0))))</f>
        <v>1.2753801890669956</v>
      </c>
      <c r="L242" s="11">
        <f>SUMIF(Legacy_FC_VC!$J$35:$J$43,D242,Legacy_FC_VC!$K$35:$K$43)</f>
        <v>0.20627943231757243</v>
      </c>
      <c r="M242" s="143">
        <f>IF(SUMPRODUCT(--(D242={"EG_COAL","EG_CCGT","EG_OCGT"}))&gt;0,J242,J242+K242*8760*L242)</f>
        <v>3261.9474147403857</v>
      </c>
      <c r="N242" s="11">
        <f>IF(SUMPRODUCT(--(D242={"EG_COAL","EG_CCGT","EG_OCGT"}))&gt;0,K242,0)</f>
        <v>0</v>
      </c>
      <c r="O242" s="513" t="str">
        <f t="shared" si="17"/>
        <v>SREG_SH</v>
      </c>
      <c r="P242" s="3" t="s">
        <v>1417</v>
      </c>
      <c r="Z242" s="150"/>
      <c r="AA242" s="150"/>
    </row>
    <row r="243" spans="2:27" s="304" customFormat="1" x14ac:dyDescent="0.35">
      <c r="B243" s="512" t="s">
        <v>1051</v>
      </c>
      <c r="C243" s="511" t="s">
        <v>784</v>
      </c>
      <c r="D243" s="3" t="s">
        <v>1605</v>
      </c>
      <c r="E243" s="14" t="s">
        <v>739</v>
      </c>
      <c r="F243" s="143">
        <f>SUMIFS(Capacity!$C$3:$C$263,Capacity!$A$3:$A$263,$C243,Capacity!$B$3:$B$263,$D243)</f>
        <v>1799.8</v>
      </c>
      <c r="G243" s="143">
        <f t="shared" si="19"/>
        <v>0</v>
      </c>
      <c r="H243" s="11">
        <f t="shared" si="19"/>
        <v>4.8546733403582722</v>
      </c>
      <c r="I243" s="510" t="s">
        <v>785</v>
      </c>
      <c r="J243" s="143">
        <f>IF($E243="2018-19",G243,G243*(1+Assumptions_EG!$C$6)*(1+INDEX($H$47:$H$55,MATCH($D243,$G$47:$G$55,0))))</f>
        <v>0</v>
      </c>
      <c r="K243" s="11">
        <f>IF($E243="2018-19",H243,H243*(1+Assumptions_EG!$C$6)*(1+INDEX(Legacy_FC_VC!$I$47:$I$55,MATCH($D243,Assumptions_EG!$B$14:$B$22,0))))</f>
        <v>4.8546733403582722</v>
      </c>
      <c r="L243" s="11">
        <f>SUMIF(Legacy_FC_VC!$J$35:$J$43,D243,Legacy_FC_VC!$K$35:$K$43)</f>
        <v>0.2313655363440307</v>
      </c>
      <c r="M243" s="143">
        <f>IF(SUMPRODUCT(--(D243={"EG_COAL","EG_CCGT","EG_OCGT"}))&gt;0,J243,J243+K243*8760*L243)</f>
        <v>9839.2679262234342</v>
      </c>
      <c r="N243" s="11">
        <f>IF(SUMPRODUCT(--(D243={"EG_COAL","EG_CCGT","EG_OCGT"}))&gt;0,K243,0)</f>
        <v>0</v>
      </c>
      <c r="O243" s="513" t="str">
        <f t="shared" si="17"/>
        <v>SREG_BIOMASS</v>
      </c>
      <c r="P243" s="3" t="s">
        <v>1417</v>
      </c>
      <c r="Z243" s="150"/>
      <c r="AA243" s="150"/>
    </row>
    <row r="244" spans="2:27" s="304" customFormat="1" x14ac:dyDescent="0.35">
      <c r="B244" s="512" t="s">
        <v>1051</v>
      </c>
      <c r="C244" s="511" t="s">
        <v>784</v>
      </c>
      <c r="D244" s="3" t="s">
        <v>1636</v>
      </c>
      <c r="E244" s="14" t="s">
        <v>739</v>
      </c>
      <c r="F244" s="143">
        <f>SUMIFS(Capacity!$C$3:$C$263,Capacity!$A$3:$A$263,$C244,Capacity!$B$3:$B$263,$D244)</f>
        <v>6095.56</v>
      </c>
      <c r="G244" s="143">
        <f t="shared" si="19"/>
        <v>750.06403945447641</v>
      </c>
      <c r="H244" s="11">
        <f t="shared" si="19"/>
        <v>5.2784394273422643</v>
      </c>
      <c r="I244" s="510" t="s">
        <v>785</v>
      </c>
      <c r="J244" s="143">
        <f>IF($E244="2018-19",G244,G244*(1+Assumptions_EG!$C$6)*(1+INDEX($H$47:$H$55,MATCH($D244,$G$47:$G$55,0))))</f>
        <v>750.06403945447641</v>
      </c>
      <c r="K244" s="11">
        <f>IF($E244="2018-19",H244,H244*(1+Assumptions_EG!$C$6)*(1+INDEX(Legacy_FC_VC!$I$47:$I$55,MATCH($D244,Assumptions_EG!$B$14:$B$22,0))))</f>
        <v>5.2784394273422643</v>
      </c>
      <c r="L244" s="11">
        <f>SUMIF(Legacy_FC_VC!$J$35:$J$43,D244,Legacy_FC_VC!$K$35:$K$43)</f>
        <v>0.1890889600524939</v>
      </c>
      <c r="M244" s="143">
        <f>IF(SUMPRODUCT(--(D244={"EG_COAL","EG_CCGT","EG_OCGT"}))&gt;0,J244,J244+K244*8760*L244)</f>
        <v>9493.372928316654</v>
      </c>
      <c r="N244" s="11">
        <f>IF(SUMPRODUCT(--(D244={"EG_COAL","EG_CCGT","EG_OCGT"}))&gt;0,K244,0)</f>
        <v>0</v>
      </c>
      <c r="O244" s="513" t="str">
        <f t="shared" si="17"/>
        <v>SREG_SOLARPV</v>
      </c>
      <c r="P244" s="3" t="s">
        <v>1417</v>
      </c>
      <c r="Z244" s="150"/>
      <c r="AA244" s="150"/>
    </row>
    <row r="245" spans="2:27" s="304" customFormat="1" x14ac:dyDescent="0.35">
      <c r="B245" s="512" t="s">
        <v>1051</v>
      </c>
      <c r="C245" s="511" t="s">
        <v>784</v>
      </c>
      <c r="D245" s="3" t="s">
        <v>1606</v>
      </c>
      <c r="E245" s="14" t="s">
        <v>739</v>
      </c>
      <c r="F245" s="143">
        <f>SUMIFS(Capacity!$C$3:$C$263,Capacity!$A$3:$A$263,$C245,Capacity!$B$3:$B$263,$D245)</f>
        <v>4694.8999999999996</v>
      </c>
      <c r="G245" s="143">
        <f t="shared" si="19"/>
        <v>0</v>
      </c>
      <c r="H245" s="11">
        <f t="shared" si="19"/>
        <v>3.8596890494378973</v>
      </c>
      <c r="I245" s="510" t="s">
        <v>785</v>
      </c>
      <c r="J245" s="143">
        <f>IF($E245="2018-19",G245,G245*(1+Assumptions_EG!$C$6)*(1+INDEX($H$47:$H$55,MATCH($D245,$G$47:$G$55,0))))</f>
        <v>0</v>
      </c>
      <c r="K245" s="11">
        <f>IF($E245="2018-19",H245,H245*(1+Assumptions_EG!$C$6)*(1+INDEX(Legacy_FC_VC!$I$47:$I$55,MATCH($D245,Assumptions_EG!$B$14:$B$22,0))))</f>
        <v>3.8596890494378973</v>
      </c>
      <c r="L245" s="11">
        <f>SUMIF(Legacy_FC_VC!$J$35:$J$43,D245,Legacy_FC_VC!$K$35:$K$43)</f>
        <v>0.19182955699540097</v>
      </c>
      <c r="M245" s="143">
        <f>IF(SUMPRODUCT(--(D245={"EG_COAL","EG_CCGT","EG_OCGT"}))&gt;0,J245,J245+K245*8760*L245)</f>
        <v>6485.925378724568</v>
      </c>
      <c r="N245" s="11">
        <f>IF(SUMPRODUCT(--(D245={"EG_COAL","EG_CCGT","EG_OCGT"}))&gt;0,K245,0)</f>
        <v>0</v>
      </c>
      <c r="O245" s="513" t="str">
        <f t="shared" si="17"/>
        <v>SREG_WIND</v>
      </c>
      <c r="P245" s="3" t="s">
        <v>1417</v>
      </c>
      <c r="Z245" s="150"/>
      <c r="AA245" s="150"/>
    </row>
    <row r="246" spans="2:27" x14ac:dyDescent="0.35">
      <c r="B246" s="512" t="s">
        <v>1051</v>
      </c>
      <c r="C246" s="511" t="s">
        <v>787</v>
      </c>
      <c r="D246" s="3" t="s">
        <v>1612</v>
      </c>
      <c r="E246" s="3" t="s">
        <v>750</v>
      </c>
      <c r="F246" s="143">
        <f>SUMIFS(Capacity!$C$3:$C$263,Capacity!$A$3:$A$263,$C246,Capacity!$B$3:$B$263,$D246)</f>
        <v>1856.9329377705037</v>
      </c>
      <c r="G246" s="143">
        <f t="shared" ref="G246:H265" si="20">SUMIFS(G$66:G$182,$C$66:$C$182,$I246,$D$66:$D$182,$D246)</f>
        <v>7802.6675243690206</v>
      </c>
      <c r="H246" s="11">
        <f t="shared" si="20"/>
        <v>2.5181114586738524</v>
      </c>
      <c r="I246" s="510" t="s">
        <v>788</v>
      </c>
      <c r="J246" s="143">
        <f>IF($E246="2018-19",G246,G246*(1+Assumptions_EG!$C$6)*(1+INDEX($H$47:$H$55,MATCH($D246,$G$47:$G$55,0))))</f>
        <v>8113.094926592511</v>
      </c>
      <c r="K246" s="11">
        <f>IF($E246="2018-19",H246,H246*(1+Assumptions_EG!$C$7)*(1+INDEX(Legacy_FC_VC!$I$47:$I$55,MATCH($D246,Assumptions_EG!$B$14:$B$22,0))))</f>
        <v>2.7835630887854514</v>
      </c>
      <c r="L246" s="11">
        <f>SUMIF(Legacy_FC_VC!$J$35:$J$43,D246,Legacy_FC_VC!$K$35:$K$43)</f>
        <v>0.85</v>
      </c>
      <c r="M246" s="143">
        <f>IF(SUMPRODUCT(--(D246={"EG_COAL","EG_CCGT","EG_OCGT"}))&gt;0,J246,J246+K246*8760*L246)</f>
        <v>8113.094926592511</v>
      </c>
      <c r="N246" s="11">
        <f>IF(SUMPRODUCT(--(D246={"EG_COAL","EG_CCGT","EG_OCGT"}))&gt;0,K246,0)</f>
        <v>2.7835630887854514</v>
      </c>
      <c r="O246" s="513" t="str">
        <f t="shared" si="17"/>
        <v>SREG_COAL</v>
      </c>
      <c r="P246" s="3"/>
      <c r="Z246" s="150"/>
      <c r="AA246" s="150"/>
    </row>
    <row r="247" spans="2:27" s="304" customFormat="1" x14ac:dyDescent="0.35">
      <c r="B247" s="512" t="s">
        <v>1051</v>
      </c>
      <c r="C247" s="511" t="s">
        <v>787</v>
      </c>
      <c r="D247" s="3" t="s">
        <v>1613</v>
      </c>
      <c r="E247" s="3" t="s">
        <v>750</v>
      </c>
      <c r="F247" s="143">
        <f>SUMIFS(Capacity!$C$3:$C$263,Capacity!$A$3:$A$263,$C247,Capacity!$B$3:$B$263,$D247)</f>
        <v>533.58000000000004</v>
      </c>
      <c r="G247" s="143">
        <f t="shared" si="20"/>
        <v>8381.8204390738501</v>
      </c>
      <c r="H247" s="11">
        <f t="shared" si="20"/>
        <v>2.278700041631974</v>
      </c>
      <c r="I247" s="510" t="s">
        <v>788</v>
      </c>
      <c r="J247" s="143">
        <f>IF($E247="2018-19",G247,G247*(1+Assumptions_EG!$C$6)*(1+INDEX($H$47:$H$55,MATCH($D247,$G$47:$G$55,0))))</f>
        <v>8715.289311953431</v>
      </c>
      <c r="K247" s="11">
        <f>IF($E247="2018-19",H247,H247*(1+Assumptions_EG!$C$7)*(1+INDEX(Legacy_FC_VC!$I$47:$I$55,MATCH($D247,Assumptions_EG!$B$14:$B$22,0))))</f>
        <v>2.4379649196725559</v>
      </c>
      <c r="L247" s="11">
        <f>SUMIF(Legacy_FC_VC!$J$35:$J$43,D247,Legacy_FC_VC!$K$35:$K$43)</f>
        <v>0.85</v>
      </c>
      <c r="M247" s="143">
        <f>IF(SUMPRODUCT(--(D247={"EG_COAL","EG_CCGT","EG_OCGT"}))&gt;0,J247,J247+K247*8760*L247)</f>
        <v>8715.289311953431</v>
      </c>
      <c r="N247" s="11">
        <f>IF(SUMPRODUCT(--(D247={"EG_COAL","EG_CCGT","EG_OCGT"}))&gt;0,K247,0)</f>
        <v>2.4379649196725559</v>
      </c>
      <c r="O247" s="513" t="str">
        <f t="shared" si="17"/>
        <v>SREG_CCGT</v>
      </c>
      <c r="P247" s="3"/>
      <c r="Z247" s="150"/>
      <c r="AA247" s="150"/>
    </row>
    <row r="248" spans="2:27" s="304" customFormat="1" x14ac:dyDescent="0.35">
      <c r="B248" s="512" t="s">
        <v>1051</v>
      </c>
      <c r="C248" s="511" t="s">
        <v>787</v>
      </c>
      <c r="D248" s="3" t="s">
        <v>1614</v>
      </c>
      <c r="E248" s="3" t="s">
        <v>750</v>
      </c>
      <c r="F248" s="143">
        <f>SUMIFS(Capacity!$C$3:$C$263,Capacity!$A$3:$A$263,$C248,Capacity!$B$3:$B$263,$D248)</f>
        <v>0</v>
      </c>
      <c r="G248" s="143">
        <f t="shared" si="20"/>
        <v>0</v>
      </c>
      <c r="H248" s="11">
        <f t="shared" si="20"/>
        <v>0</v>
      </c>
      <c r="I248" s="510" t="s">
        <v>788</v>
      </c>
      <c r="J248" s="143">
        <f>IF($E248="2018-19",G248,G248*(1+Assumptions_EG!$C$6)*(1+INDEX($H$47:$H$55,MATCH($D248,$G$47:$G$55,0))))</f>
        <v>0</v>
      </c>
      <c r="K248" s="11">
        <f>IF($E248="2018-19",H248,H248*(1+Assumptions_EG!$C$7)*(1+INDEX(Legacy_FC_VC!$I$47:$I$55,MATCH($D248,Assumptions_EG!$B$14:$B$22,0))))</f>
        <v>0</v>
      </c>
      <c r="L248" s="11">
        <f>SUMIF(Legacy_FC_VC!$J$35:$J$43,D248,Legacy_FC_VC!$K$35:$K$43)</f>
        <v>0.85</v>
      </c>
      <c r="M248" s="143">
        <f>IF(SUMPRODUCT(--(D248={"EG_COAL","EG_CCGT","EG_OCGT"}))&gt;0,J248,J248+K248*8760*L248)</f>
        <v>0</v>
      </c>
      <c r="N248" s="11">
        <f>IF(SUMPRODUCT(--(D248={"EG_COAL","EG_CCGT","EG_OCGT"}))&gt;0,K248,0)</f>
        <v>0</v>
      </c>
      <c r="O248" s="513" t="str">
        <f t="shared" si="17"/>
        <v>SREG_OCGT</v>
      </c>
      <c r="P248" s="3"/>
      <c r="Z248" s="150"/>
      <c r="AA248" s="150"/>
    </row>
    <row r="249" spans="2:27" s="304" customFormat="1" x14ac:dyDescent="0.35">
      <c r="B249" s="512" t="s">
        <v>1051</v>
      </c>
      <c r="C249" s="511" t="s">
        <v>787</v>
      </c>
      <c r="D249" s="3" t="s">
        <v>1615</v>
      </c>
      <c r="E249" s="3" t="s">
        <v>750</v>
      </c>
      <c r="F249" s="143">
        <f>SUMIFS(Capacity!$C$3:$C$263,Capacity!$A$3:$A$263,$C249,Capacity!$B$3:$B$263,$D249)</f>
        <v>418.75958188153311</v>
      </c>
      <c r="G249" s="143">
        <f t="shared" si="20"/>
        <v>0</v>
      </c>
      <c r="H249" s="11">
        <f t="shared" si="20"/>
        <v>3.2410007526107276</v>
      </c>
      <c r="I249" s="510" t="s">
        <v>788</v>
      </c>
      <c r="J249" s="143">
        <f>IF($E249="2018-19",G249,G249*(1+Assumptions_EG!$C$6)*(1+INDEX($H$47:$H$55,MATCH($D249,$G$47:$G$55,0))))</f>
        <v>0</v>
      </c>
      <c r="K249" s="11">
        <f>IF($E249="2018-19",H249,H249*(1+Assumptions_EG!$C$7)*(1+INDEX(Legacy_FC_VC!$I$47:$I$55,MATCH($D249,Assumptions_EG!$B$14:$B$22,0))))</f>
        <v>3.370640782715157</v>
      </c>
      <c r="L249" s="11">
        <f>SUMIF(Legacy_FC_VC!$J$35:$J$43,D249,Legacy_FC_VC!$K$35:$K$43)</f>
        <v>0.65716939790195539</v>
      </c>
      <c r="M249" s="143">
        <f>IF(SUMPRODUCT(--(D249={"EG_COAL","EG_CCGT","EG_OCGT"}))&gt;0,J249,J249+K249*8760*L249)</f>
        <v>19404.11808979329</v>
      </c>
      <c r="N249" s="11">
        <f>IF(SUMPRODUCT(--(D249={"EG_COAL","EG_CCGT","EG_OCGT"}))&gt;0,K249,0)</f>
        <v>0</v>
      </c>
      <c r="O249" s="513" t="str">
        <f t="shared" si="17"/>
        <v>SREG_PHWR</v>
      </c>
      <c r="P249" s="3"/>
      <c r="Z249" s="150"/>
      <c r="AA249" s="150"/>
    </row>
    <row r="250" spans="2:27" s="304" customFormat="1" x14ac:dyDescent="0.35">
      <c r="B250" s="512" t="s">
        <v>1051</v>
      </c>
      <c r="C250" s="511" t="s">
        <v>787</v>
      </c>
      <c r="D250" s="3" t="s">
        <v>1604</v>
      </c>
      <c r="E250" s="3" t="s">
        <v>750</v>
      </c>
      <c r="F250" s="143">
        <f>SUMIFS(Capacity!$C$3:$C$263,Capacity!$A$3:$A$263,$C250,Capacity!$B$3:$B$263,$D250)</f>
        <v>1856.5</v>
      </c>
      <c r="G250" s="143">
        <f t="shared" si="20"/>
        <v>4692.4945098310927</v>
      </c>
      <c r="H250" s="11">
        <f t="shared" si="20"/>
        <v>0</v>
      </c>
      <c r="I250" s="510" t="s">
        <v>788</v>
      </c>
      <c r="J250" s="143">
        <f>IF($E250="2018-19",G250,G250*(1+Assumptions_EG!$C$6)*(1+INDEX($H$47:$H$55,MATCH($D250,$G$47:$G$55,0))))</f>
        <v>4879.1843663558529</v>
      </c>
      <c r="K250" s="11">
        <f>IF($E250="2018-19",H250,H250*(1+Assumptions_EG!$C$7)*(1+INDEX(Legacy_FC_VC!$I$47:$I$55,MATCH($D250,Assumptions_EG!$B$14:$B$22,0))))</f>
        <v>0</v>
      </c>
      <c r="L250" s="11">
        <f>SUMIF(Legacy_FC_VC!$J$35:$J$43,D250,Legacy_FC_VC!$K$35:$K$43)</f>
        <v>0.32761940072174078</v>
      </c>
      <c r="M250" s="143">
        <f>IF(SUMPRODUCT(--(D250={"EG_COAL","EG_CCGT","EG_OCGT"}))&gt;0,J250,J250+K250*8760*L250)</f>
        <v>4879.1843663558529</v>
      </c>
      <c r="N250" s="11">
        <f>IF(SUMPRODUCT(--(D250={"EG_COAL","EG_CCGT","EG_OCGT"}))&gt;0,K250,0)</f>
        <v>0</v>
      </c>
      <c r="O250" s="513" t="str">
        <f t="shared" si="17"/>
        <v>SREG_LH</v>
      </c>
      <c r="P250" s="3"/>
      <c r="Z250" s="150"/>
      <c r="AA250" s="150"/>
    </row>
    <row r="251" spans="2:27" s="304" customFormat="1" x14ac:dyDescent="0.35">
      <c r="B251" s="512" t="s">
        <v>1051</v>
      </c>
      <c r="C251" s="511" t="s">
        <v>787</v>
      </c>
      <c r="D251" s="3" t="s">
        <v>1603</v>
      </c>
      <c r="E251" s="3" t="s">
        <v>750</v>
      </c>
      <c r="F251" s="143">
        <f>SUMIFS(Capacity!$C$3:$C$263,Capacity!$A$3:$A$263,$C251,Capacity!$B$3:$B$263,$D251)</f>
        <v>222.02</v>
      </c>
      <c r="G251" s="143">
        <f t="shared" si="20"/>
        <v>1773.7294519170678</v>
      </c>
      <c r="H251" s="11">
        <f t="shared" si="20"/>
        <v>0</v>
      </c>
      <c r="I251" s="510" t="s">
        <v>788</v>
      </c>
      <c r="J251" s="143">
        <f>IF($E251="2018-19",G251,G251*(1+Assumptions_EG!$C$6)*(1+INDEX($H$47:$H$55,MATCH($D251,$G$47:$G$55,0))))</f>
        <v>1844.2968859755165</v>
      </c>
      <c r="K251" s="11">
        <f>IF($E251="2018-19",H251,H251*(1+Assumptions_EG!$C$7)*(1+INDEX(Legacy_FC_VC!$I$47:$I$55,MATCH($D251,Assumptions_EG!$B$14:$B$22,0))))</f>
        <v>0</v>
      </c>
      <c r="L251" s="11">
        <f>SUMIF(Legacy_FC_VC!$J$35:$J$43,D251,Legacy_FC_VC!$K$35:$K$43)</f>
        <v>0.20627943231757243</v>
      </c>
      <c r="M251" s="143">
        <f>IF(SUMPRODUCT(--(D251={"EG_COAL","EG_CCGT","EG_OCGT"}))&gt;0,J251,J251+K251*8760*L251)</f>
        <v>1844.2968859755165</v>
      </c>
      <c r="N251" s="11">
        <f>IF(SUMPRODUCT(--(D251={"EG_COAL","EG_CCGT","EG_OCGT"}))&gt;0,K251,0)</f>
        <v>0</v>
      </c>
      <c r="O251" s="513" t="str">
        <f t="shared" si="17"/>
        <v>SREG_SH</v>
      </c>
      <c r="P251" s="3"/>
      <c r="Z251" s="150"/>
      <c r="AA251" s="150"/>
    </row>
    <row r="252" spans="2:27" s="304" customFormat="1" x14ac:dyDescent="0.35">
      <c r="B252" s="512" t="s">
        <v>1051</v>
      </c>
      <c r="C252" s="511" t="s">
        <v>787</v>
      </c>
      <c r="D252" s="3" t="s">
        <v>1605</v>
      </c>
      <c r="E252" s="3" t="s">
        <v>750</v>
      </c>
      <c r="F252" s="143">
        <f>SUMIFS(Capacity!$C$3:$C$263,Capacity!$A$3:$A$263,$C252,Capacity!$B$3:$B$263,$D252)</f>
        <v>0.72</v>
      </c>
      <c r="G252" s="143">
        <f t="shared" si="20"/>
        <v>0</v>
      </c>
      <c r="H252" s="11">
        <f t="shared" si="20"/>
        <v>3.08</v>
      </c>
      <c r="I252" s="510" t="s">
        <v>788</v>
      </c>
      <c r="J252" s="143">
        <f>IF($E252="2018-19",G252,G252*(1+Assumptions_EG!$C$6)*(1+INDEX($H$47:$H$55,MATCH($D252,$G$47:$G$55,0))))</f>
        <v>0</v>
      </c>
      <c r="K252" s="11">
        <f>IF($E252="2018-19",H252,H252*(1+Assumptions_EG!$C$7)*(1+INDEX(Legacy_FC_VC!$I$47:$I$55,MATCH($D252,Assumptions_EG!$B$14:$B$22,0))))</f>
        <v>3.2032000000000003</v>
      </c>
      <c r="L252" s="11">
        <f>SUMIF(Legacy_FC_VC!$J$35:$J$43,D252,Legacy_FC_VC!$K$35:$K$43)</f>
        <v>0.2313655363440307</v>
      </c>
      <c r="M252" s="143">
        <f>IF(SUMPRODUCT(--(D252={"EG_COAL","EG_CCGT","EG_OCGT"}))&gt;0,J252,J252+K252*8760*L252)</f>
        <v>6492.1243535106651</v>
      </c>
      <c r="N252" s="11">
        <f>IF(SUMPRODUCT(--(D252={"EG_COAL","EG_CCGT","EG_OCGT"}))&gt;0,K252,0)</f>
        <v>0</v>
      </c>
      <c r="O252" s="513" t="str">
        <f t="shared" si="17"/>
        <v>SREG_BIOMASS</v>
      </c>
      <c r="P252" s="3"/>
      <c r="Z252" s="150"/>
      <c r="AA252" s="150"/>
    </row>
    <row r="253" spans="2:27" s="304" customFormat="1" x14ac:dyDescent="0.35">
      <c r="B253" s="512" t="s">
        <v>1051</v>
      </c>
      <c r="C253" s="511" t="s">
        <v>787</v>
      </c>
      <c r="D253" s="3" t="s">
        <v>1636</v>
      </c>
      <c r="E253" s="3" t="s">
        <v>750</v>
      </c>
      <c r="F253" s="143">
        <f>SUMIFS(Capacity!$C$3:$C$263,Capacity!$A$3:$A$263,$C253,Capacity!$B$3:$B$263,$D253)</f>
        <v>138.59</v>
      </c>
      <c r="G253" s="143">
        <f t="shared" si="20"/>
        <v>0</v>
      </c>
      <c r="H253" s="11">
        <f t="shared" si="20"/>
        <v>6.85</v>
      </c>
      <c r="I253" s="510" t="s">
        <v>788</v>
      </c>
      <c r="J253" s="143">
        <f>IF($E253="2018-19",G253,G253*(1+Assumptions_EG!$C$6)*(1+INDEX($H$47:$H$55,MATCH($D253,$G$47:$G$55,0))))</f>
        <v>0</v>
      </c>
      <c r="K253" s="11">
        <f>IF($E253="2018-19",H253,H253*(1+Assumptions_EG!$C$7)*(1+INDEX(Legacy_FC_VC!$I$47:$I$55,MATCH($D253,Assumptions_EG!$B$14:$B$22,0))))</f>
        <v>6.8390399999999998</v>
      </c>
      <c r="L253" s="11">
        <f>SUMIF(Legacy_FC_VC!$J$35:$J$43,D253,Legacy_FC_VC!$K$35:$K$43)</f>
        <v>0.1890889600524939</v>
      </c>
      <c r="M253" s="143">
        <f>IF(SUMPRODUCT(--(D253={"EG_COAL","EG_CCGT","EG_OCGT"}))&gt;0,J253,J253+K253*8760*L253)</f>
        <v>11328.317781490892</v>
      </c>
      <c r="N253" s="11">
        <f>IF(SUMPRODUCT(--(D253={"EG_COAL","EG_CCGT","EG_OCGT"}))&gt;0,K253,0)</f>
        <v>0</v>
      </c>
      <c r="O253" s="513" t="str">
        <f t="shared" si="17"/>
        <v>SREG_SOLARPV</v>
      </c>
      <c r="P253" s="3"/>
      <c r="Z253" s="150"/>
      <c r="AA253" s="150"/>
    </row>
    <row r="254" spans="2:27" s="304" customFormat="1" x14ac:dyDescent="0.35">
      <c r="B254" s="512" t="s">
        <v>1051</v>
      </c>
      <c r="C254" s="511" t="s">
        <v>787</v>
      </c>
      <c r="D254" s="3" t="s">
        <v>1606</v>
      </c>
      <c r="E254" s="3" t="s">
        <v>750</v>
      </c>
      <c r="F254" s="143">
        <f>SUMIFS(Capacity!$C$3:$C$263,Capacity!$A$3:$A$263,$C254,Capacity!$B$3:$B$263,$D254)</f>
        <v>52.5</v>
      </c>
      <c r="G254" s="143">
        <f t="shared" si="20"/>
        <v>0</v>
      </c>
      <c r="H254" s="11">
        <f t="shared" si="20"/>
        <v>3.0793795331954792</v>
      </c>
      <c r="I254" s="510" t="s">
        <v>788</v>
      </c>
      <c r="J254" s="143">
        <f>IF($E254="2018-19",G254,G254*(1+Assumptions_EG!$C$6)*(1+INDEX($H$47:$H$55,MATCH($D254,$G$47:$G$55,0))))</f>
        <v>0</v>
      </c>
      <c r="K254" s="11">
        <f>IF($E254="2018-19",H254,H254*(1+Assumptions_EG!$C$7)*(1+INDEX(Legacy_FC_VC!$I$47:$I$55,MATCH($D254,Assumptions_EG!$B$14:$B$22,0))))</f>
        <v>3.0744525259423665</v>
      </c>
      <c r="L254" s="11">
        <f>SUMIF(Legacy_FC_VC!$J$35:$J$43,D254,Legacy_FC_VC!$K$35:$K$43)</f>
        <v>0.19182955699540097</v>
      </c>
      <c r="M254" s="143">
        <f>IF(SUMPRODUCT(--(D254={"EG_COAL","EG_CCGT","EG_OCGT"}))&gt;0,J254,J254+K254*8760*L254)</f>
        <v>5166.3927866410613</v>
      </c>
      <c r="N254" s="11">
        <f>IF(SUMPRODUCT(--(D254={"EG_COAL","EG_CCGT","EG_OCGT"}))&gt;0,K254,0)</f>
        <v>0</v>
      </c>
      <c r="O254" s="513" t="str">
        <f t="shared" si="17"/>
        <v>SREG_WIND</v>
      </c>
      <c r="P254" s="3"/>
      <c r="Z254" s="150"/>
      <c r="AA254" s="150"/>
    </row>
    <row r="255" spans="2:27" x14ac:dyDescent="0.35">
      <c r="B255" s="512" t="s">
        <v>644</v>
      </c>
      <c r="C255" s="511" t="s">
        <v>796</v>
      </c>
      <c r="D255" s="3" t="s">
        <v>1612</v>
      </c>
      <c r="E255" s="3" t="s">
        <v>750</v>
      </c>
      <c r="F255" s="143">
        <f>SUMIFS(Capacity!$C$3:$C$263,Capacity!$A$3:$A$263,$C255,Capacity!$B$3:$B$263,$D255)</f>
        <v>5206.5230434513524</v>
      </c>
      <c r="G255" s="143">
        <f t="shared" si="20"/>
        <v>5851.397082200624</v>
      </c>
      <c r="H255" s="11">
        <f t="shared" si="20"/>
        <v>2.2618272085135507</v>
      </c>
      <c r="I255" s="510" t="s">
        <v>797</v>
      </c>
      <c r="J255" s="143">
        <f>IF($E255="2018-19",G255,G255*(1+Assumptions_EG!$C$6)*(1+INDEX($H$47:$H$55,MATCH($D255,$G$47:$G$55,0))))</f>
        <v>6084.1936213242798</v>
      </c>
      <c r="K255" s="11">
        <f>IF($E255="2018-19",H255,H255*(1+Assumptions_EG!$C$7)*(1+INDEX(Legacy_FC_VC!$I$47:$I$55,MATCH($D255,Assumptions_EG!$B$14:$B$22,0))))</f>
        <v>2.5002621346017273</v>
      </c>
      <c r="L255" s="11">
        <f>SUMIF(Legacy_FC_VC!$J$35:$J$43,D255,Legacy_FC_VC!$K$35:$K$43)</f>
        <v>0.85</v>
      </c>
      <c r="M255" s="143">
        <f>IF(SUMPRODUCT(--(D255={"EG_COAL","EG_CCGT","EG_OCGT"}))&gt;0,J255,J255+K255*8760*L255)</f>
        <v>6084.1936213242798</v>
      </c>
      <c r="N255" s="11">
        <f>IF(SUMPRODUCT(--(D255={"EG_COAL","EG_CCGT","EG_OCGT"}))&gt;0,K255,0)</f>
        <v>2.5002621346017273</v>
      </c>
      <c r="O255" s="513" t="str">
        <f t="shared" si="17"/>
        <v>EREG_COAL</v>
      </c>
      <c r="P255" s="3"/>
      <c r="Z255" s="150"/>
      <c r="AA255" s="150"/>
    </row>
    <row r="256" spans="2:27" s="304" customFormat="1" x14ac:dyDescent="0.35">
      <c r="B256" s="512" t="s">
        <v>644</v>
      </c>
      <c r="C256" s="511" t="s">
        <v>796</v>
      </c>
      <c r="D256" s="3" t="s">
        <v>1613</v>
      </c>
      <c r="E256" s="3" t="s">
        <v>750</v>
      </c>
      <c r="F256" s="143">
        <f>SUMIFS(Capacity!$C$3:$C$263,Capacity!$A$3:$A$263,$C256,Capacity!$B$3:$B$263,$D256)</f>
        <v>0</v>
      </c>
      <c r="G256" s="143">
        <f t="shared" si="20"/>
        <v>3028.1690485118129</v>
      </c>
      <c r="H256" s="11">
        <f t="shared" si="20"/>
        <v>2.3050699363303657</v>
      </c>
      <c r="I256" s="510" t="s">
        <v>259</v>
      </c>
      <c r="J256" s="143">
        <f>IF($E256="2018-19",G256,G256*(1+Assumptions_EG!$C$6)*(1+INDEX($H$47:$H$55,MATCH($D256,$G$47:$G$55,0))))</f>
        <v>3148.6440845539414</v>
      </c>
      <c r="K256" s="11">
        <f>IF($E256="2018-19",H256,H256*(1+Assumptions_EG!$C$7)*(1+INDEX(Legacy_FC_VC!$I$47:$I$55,MATCH($D256,Assumptions_EG!$B$14:$B$22,0))))</f>
        <v>2.4661778819034672</v>
      </c>
      <c r="L256" s="11">
        <f>SUMIF(Legacy_FC_VC!$J$35:$J$43,D256,Legacy_FC_VC!$K$35:$K$43)</f>
        <v>0.85</v>
      </c>
      <c r="M256" s="143">
        <f>IF(SUMPRODUCT(--(D256={"EG_COAL","EG_CCGT","EG_OCGT"}))&gt;0,J256,J256+K256*8760*L256)</f>
        <v>3148.6440845539414</v>
      </c>
      <c r="N256" s="11">
        <f>IF(SUMPRODUCT(--(D256={"EG_COAL","EG_CCGT","EG_OCGT"}))&gt;0,K256,0)</f>
        <v>2.4661778819034672</v>
      </c>
      <c r="O256" s="513" t="str">
        <f t="shared" si="17"/>
        <v>EREG_CCGT</v>
      </c>
      <c r="P256" s="3"/>
      <c r="Z256" s="150"/>
      <c r="AA256" s="150"/>
    </row>
    <row r="257" spans="2:27" s="304" customFormat="1" x14ac:dyDescent="0.35">
      <c r="B257" s="512" t="s">
        <v>644</v>
      </c>
      <c r="C257" s="511" t="s">
        <v>796</v>
      </c>
      <c r="D257" s="3" t="s">
        <v>1614</v>
      </c>
      <c r="E257" s="3" t="s">
        <v>750</v>
      </c>
      <c r="F257" s="143">
        <f>SUMIFS(Capacity!$C$3:$C$263,Capacity!$A$3:$A$263,$C257,Capacity!$B$3:$B$263,$D257)</f>
        <v>0</v>
      </c>
      <c r="G257" s="143">
        <f t="shared" si="20"/>
        <v>0</v>
      </c>
      <c r="H257" s="11">
        <f t="shared" si="20"/>
        <v>0</v>
      </c>
      <c r="I257" s="510" t="s">
        <v>797</v>
      </c>
      <c r="J257" s="143">
        <f>IF($E257="2018-19",G257,G257*(1+Assumptions_EG!$C$6)*(1+INDEX($H$47:$H$55,MATCH($D257,$G$47:$G$55,0))))</f>
        <v>0</v>
      </c>
      <c r="K257" s="11">
        <f>IF($E257="2018-19",H257,H257*(1+Assumptions_EG!$C$7)*(1+INDEX(Legacy_FC_VC!$I$47:$I$55,MATCH($D257,Assumptions_EG!$B$14:$B$22,0))))</f>
        <v>0</v>
      </c>
      <c r="L257" s="11">
        <f>SUMIF(Legacy_FC_VC!$J$35:$J$43,D257,Legacy_FC_VC!$K$35:$K$43)</f>
        <v>0.85</v>
      </c>
      <c r="M257" s="143">
        <f>IF(SUMPRODUCT(--(D257={"EG_COAL","EG_CCGT","EG_OCGT"}))&gt;0,J257,J257+K257*8760*L257)</f>
        <v>0</v>
      </c>
      <c r="N257" s="11">
        <f>IF(SUMPRODUCT(--(D257={"EG_COAL","EG_CCGT","EG_OCGT"}))&gt;0,K257,0)</f>
        <v>0</v>
      </c>
      <c r="O257" s="513" t="str">
        <f t="shared" si="17"/>
        <v>EREG_OCGT</v>
      </c>
      <c r="P257" s="3"/>
      <c r="Z257" s="150"/>
      <c r="AA257" s="150"/>
    </row>
    <row r="258" spans="2:27" s="304" customFormat="1" x14ac:dyDescent="0.35">
      <c r="B258" s="512" t="s">
        <v>644</v>
      </c>
      <c r="C258" s="511" t="s">
        <v>796</v>
      </c>
      <c r="D258" s="3" t="s">
        <v>1615</v>
      </c>
      <c r="E258" s="3" t="s">
        <v>750</v>
      </c>
      <c r="F258" s="143">
        <f>SUMIFS(Capacity!$C$3:$C$263,Capacity!$A$3:$A$263,$C258,Capacity!$B$3:$B$263,$D258)</f>
        <v>0</v>
      </c>
      <c r="G258" s="143">
        <f t="shared" si="20"/>
        <v>0</v>
      </c>
      <c r="H258" s="11">
        <f t="shared" si="20"/>
        <v>0</v>
      </c>
      <c r="I258" s="510" t="s">
        <v>797</v>
      </c>
      <c r="J258" s="143">
        <f>IF($E258="2018-19",G258,G258*(1+Assumptions_EG!$C$6)*(1+INDEX($H$47:$H$55,MATCH($D258,$G$47:$G$55,0))))</f>
        <v>0</v>
      </c>
      <c r="K258" s="11">
        <f>IF($E258="2018-19",H258,H258*(1+Assumptions_EG!$C$7)*(1+INDEX(Legacy_FC_VC!$I$47:$I$55,MATCH($D258,Assumptions_EG!$B$14:$B$22,0))))</f>
        <v>0</v>
      </c>
      <c r="L258" s="11">
        <f>SUMIF(Legacy_FC_VC!$J$35:$J$43,D258,Legacy_FC_VC!$K$35:$K$43)</f>
        <v>0.65716939790195539</v>
      </c>
      <c r="M258" s="143">
        <f>IF(SUMPRODUCT(--(D258={"EG_COAL","EG_CCGT","EG_OCGT"}))&gt;0,J258,J258+K258*8760*L258)</f>
        <v>0</v>
      </c>
      <c r="N258" s="11">
        <f>IF(SUMPRODUCT(--(D258={"EG_COAL","EG_CCGT","EG_OCGT"}))&gt;0,K258,0)</f>
        <v>0</v>
      </c>
      <c r="O258" s="513" t="str">
        <f t="shared" ref="O258:O290" si="21">B258&amp;D258</f>
        <v>EREG_PHWR</v>
      </c>
      <c r="P258" s="3"/>
      <c r="Z258" s="150"/>
      <c r="AA258" s="150"/>
    </row>
    <row r="259" spans="2:27" s="304" customFormat="1" x14ac:dyDescent="0.35">
      <c r="B259" s="512" t="s">
        <v>644</v>
      </c>
      <c r="C259" s="511" t="s">
        <v>796</v>
      </c>
      <c r="D259" s="3" t="s">
        <v>1604</v>
      </c>
      <c r="E259" s="3" t="s">
        <v>750</v>
      </c>
      <c r="F259" s="143">
        <f>SUMIFS(Capacity!$C$3:$C$263,Capacity!$A$3:$A$263,$C259,Capacity!$B$3:$B$263,$D259)</f>
        <v>2188.5612771354217</v>
      </c>
      <c r="G259" s="143">
        <f t="shared" si="20"/>
        <v>1370.9623533062054</v>
      </c>
      <c r="H259" s="11">
        <f t="shared" si="20"/>
        <v>2.2566122358175749</v>
      </c>
      <c r="I259" s="510" t="s">
        <v>797</v>
      </c>
      <c r="J259" s="143">
        <f>IF($E259="2018-19",G259,G259*(1+Assumptions_EG!$C$6)*(1+INDEX($H$47:$H$55,MATCH($D259,$G$47:$G$55,0))))</f>
        <v>1425.505787401517</v>
      </c>
      <c r="K259" s="11">
        <f>IF($E259="2018-19",H259,H259*(1+Assumptions_EG!$C$7)*(1+INDEX(Legacy_FC_VC!$I$47:$I$55,MATCH($D259,Assumptions_EG!$B$14:$B$22,0))))</f>
        <v>2.346876725250278</v>
      </c>
      <c r="L259" s="11">
        <f>SUMIF(Legacy_FC_VC!$J$35:$J$43,D259,Legacy_FC_VC!$K$35:$K$43)</f>
        <v>0.32761940072174078</v>
      </c>
      <c r="M259" s="143">
        <f>IF(SUMPRODUCT(--(D259={"EG_COAL","EG_CCGT","EG_OCGT"}))&gt;0,J259,J259+K259*8760*L259)</f>
        <v>8160.9151409395636</v>
      </c>
      <c r="N259" s="11">
        <f>IF(SUMPRODUCT(--(D259={"EG_COAL","EG_CCGT","EG_OCGT"}))&gt;0,K259,0)</f>
        <v>0</v>
      </c>
      <c r="O259" s="513" t="str">
        <f t="shared" si="21"/>
        <v>EREG_LH</v>
      </c>
      <c r="P259" s="3"/>
      <c r="Z259" s="150"/>
      <c r="AA259" s="150"/>
    </row>
    <row r="260" spans="2:27" s="304" customFormat="1" x14ac:dyDescent="0.35">
      <c r="B260" s="512" t="s">
        <v>644</v>
      </c>
      <c r="C260" s="511" t="s">
        <v>796</v>
      </c>
      <c r="D260" s="3" t="s">
        <v>1603</v>
      </c>
      <c r="E260" s="3" t="s">
        <v>750</v>
      </c>
      <c r="F260" s="143">
        <f>SUMIFS(Capacity!$C$3:$C$263,Capacity!$A$3:$A$263,$C260,Capacity!$B$3:$B$263,$D260)</f>
        <v>64.625</v>
      </c>
      <c r="G260" s="143">
        <f t="shared" si="20"/>
        <v>496.12115018349061</v>
      </c>
      <c r="H260" s="11">
        <f t="shared" si="20"/>
        <v>0</v>
      </c>
      <c r="I260" s="510" t="s">
        <v>797</v>
      </c>
      <c r="J260" s="143">
        <f>IF($E260="2018-19",G260,G260*(1+Assumptions_EG!$C$6)*(1+INDEX($H$47:$H$55,MATCH($D260,$G$47:$G$55,0))))</f>
        <v>515.85922044710151</v>
      </c>
      <c r="K260" s="11">
        <f>IF($E260="2018-19",H260,H260*(1+Assumptions_EG!$C$7)*(1+INDEX(Legacy_FC_VC!$I$47:$I$55,MATCH($D260,Assumptions_EG!$B$14:$B$22,0))))</f>
        <v>0</v>
      </c>
      <c r="L260" s="11">
        <f>SUMIF(Legacy_FC_VC!$J$35:$J$43,D260,Legacy_FC_VC!$K$35:$K$43)</f>
        <v>0.20627943231757243</v>
      </c>
      <c r="M260" s="143">
        <f>IF(SUMPRODUCT(--(D260={"EG_COAL","EG_CCGT","EG_OCGT"}))&gt;0,J260,J260+K260*8760*L260)</f>
        <v>515.85922044710151</v>
      </c>
      <c r="N260" s="11">
        <f>IF(SUMPRODUCT(--(D260={"EG_COAL","EG_CCGT","EG_OCGT"}))&gt;0,K260,0)</f>
        <v>0</v>
      </c>
      <c r="O260" s="513" t="str">
        <f t="shared" si="21"/>
        <v>EREG_SH</v>
      </c>
      <c r="P260" s="3"/>
      <c r="Z260" s="150"/>
      <c r="AA260" s="150"/>
    </row>
    <row r="261" spans="2:27" s="304" customFormat="1" x14ac:dyDescent="0.35">
      <c r="B261" s="512" t="s">
        <v>644</v>
      </c>
      <c r="C261" s="511" t="s">
        <v>796</v>
      </c>
      <c r="D261" s="3" t="s">
        <v>1605</v>
      </c>
      <c r="E261" s="3" t="s">
        <v>750</v>
      </c>
      <c r="F261" s="143">
        <f>SUMIFS(Capacity!$C$3:$C$263,Capacity!$A$3:$A$263,$C261,Capacity!$B$3:$B$263,$D261)</f>
        <v>59.22</v>
      </c>
      <c r="G261" s="143">
        <f t="shared" si="20"/>
        <v>0</v>
      </c>
      <c r="H261" s="11">
        <f t="shared" si="20"/>
        <v>6.925795053003533</v>
      </c>
      <c r="I261" s="510" t="s">
        <v>797</v>
      </c>
      <c r="J261" s="143">
        <f>IF($E261="2018-19",G261,G261*(1+Assumptions_EG!$C$6)*(1+INDEX($H$47:$H$55,MATCH($D261,$G$47:$G$55,0))))</f>
        <v>0</v>
      </c>
      <c r="K261" s="11">
        <f>IF($E261="2018-19",H261,H261*(1+Assumptions_EG!$C$7)*(1+INDEX(Legacy_FC_VC!$I$47:$I$55,MATCH($D261,Assumptions_EG!$B$14:$B$22,0))))</f>
        <v>7.2028268551236749</v>
      </c>
      <c r="L261" s="11">
        <f>SUMIF(Legacy_FC_VC!$J$35:$J$43,D261,Legacy_FC_VC!$K$35:$K$43)</f>
        <v>0.2313655363440307</v>
      </c>
      <c r="M261" s="143">
        <f>IF(SUMPRODUCT(--(D261={"EG_COAL","EG_CCGT","EG_OCGT"}))&gt;0,J261,J261+K261*8760*L261)</f>
        <v>14598.416471112962</v>
      </c>
      <c r="N261" s="11">
        <f>IF(SUMPRODUCT(--(D261={"EG_COAL","EG_CCGT","EG_OCGT"}))&gt;0,K261,0)</f>
        <v>0</v>
      </c>
      <c r="O261" s="513" t="str">
        <f t="shared" si="21"/>
        <v>EREG_BIOMASS</v>
      </c>
      <c r="P261" s="3"/>
      <c r="Z261" s="150"/>
      <c r="AA261" s="150"/>
    </row>
    <row r="262" spans="2:27" s="304" customFormat="1" x14ac:dyDescent="0.35">
      <c r="B262" s="512" t="s">
        <v>644</v>
      </c>
      <c r="C262" s="511" t="s">
        <v>796</v>
      </c>
      <c r="D262" s="3" t="s">
        <v>1636</v>
      </c>
      <c r="E262" s="3" t="s">
        <v>750</v>
      </c>
      <c r="F262" s="143">
        <f>SUMIFS(Capacity!$C$3:$C$263,Capacity!$A$3:$A$263,$C262,Capacity!$B$3:$B$263,$D262)</f>
        <v>394.73</v>
      </c>
      <c r="G262" s="143">
        <f t="shared" si="20"/>
        <v>0</v>
      </c>
      <c r="H262" s="11">
        <f t="shared" si="20"/>
        <v>10.684668110918546</v>
      </c>
      <c r="I262" s="510" t="s">
        <v>797</v>
      </c>
      <c r="J262" s="143">
        <f>IF($E262="2018-19",G262,G262*(1+Assumptions_EG!$C$6)*(1+INDEX($H$47:$H$55,MATCH($D262,$G$47:$G$55,0))))</f>
        <v>0</v>
      </c>
      <c r="K262" s="509">
        <f>IF($E262="2018-19",H262,H262*(1+Assumptions_EG!$C$7)*(1+INDEX(Legacy_FC_VC!$I$47:$I$55,MATCH($D262,Assumptions_EG!$B$14:$B$22,0))))</f>
        <v>10.667572641941076</v>
      </c>
      <c r="L262" s="509">
        <f>SUMIF(Legacy_FC_VC!$J$35:$J$43,D262,Legacy_FC_VC!$K$35:$K$43)</f>
        <v>0.1890889600524939</v>
      </c>
      <c r="M262" s="143">
        <f>IF(SUMPRODUCT(--(D262={"EG_COAL","EG_CCGT","EG_OCGT"}))&gt;0,J262,J262+K262*8760*L262)</f>
        <v>17669.973102225878</v>
      </c>
      <c r="N262" s="11">
        <f>IF(SUMPRODUCT(--(D262={"EG_COAL","EG_CCGT","EG_OCGT"}))&gt;0,K262,0)</f>
        <v>0</v>
      </c>
      <c r="O262" s="513" t="str">
        <f t="shared" si="21"/>
        <v>EREG_SOLARPV</v>
      </c>
      <c r="P262" s="3"/>
      <c r="Z262" s="150"/>
      <c r="AA262" s="150"/>
    </row>
    <row r="263" spans="2:27" s="304" customFormat="1" x14ac:dyDescent="0.35">
      <c r="B263" s="512" t="s">
        <v>644</v>
      </c>
      <c r="C263" s="511" t="s">
        <v>796</v>
      </c>
      <c r="D263" s="3" t="s">
        <v>1606</v>
      </c>
      <c r="E263" s="3" t="s">
        <v>750</v>
      </c>
      <c r="F263" s="143">
        <f>SUMIFS(Capacity!$C$3:$C$263,Capacity!$A$3:$A$263,$C263,Capacity!$B$3:$B$263,$D263)</f>
        <v>0</v>
      </c>
      <c r="G263" s="143">
        <f t="shared" si="20"/>
        <v>0</v>
      </c>
      <c r="H263" s="11">
        <f t="shared" si="20"/>
        <v>4.693297390025732</v>
      </c>
      <c r="I263" s="510" t="s">
        <v>797</v>
      </c>
      <c r="J263" s="143">
        <f>IF($E263="2018-19",G263,G263*(1+Assumptions_EG!$C$6)*(1+INDEX($H$47:$H$55,MATCH($D263,$G$47:$G$55,0))))</f>
        <v>0</v>
      </c>
      <c r="K263" s="11">
        <f>IF($E263="2018-19",H263,H263*(1+Assumptions_EG!$C$7)*(1+INDEX(Legacy_FC_VC!$I$47:$I$55,MATCH($D263,Assumptions_EG!$B$14:$B$22,0))))</f>
        <v>4.6857881142016904</v>
      </c>
      <c r="L263" s="11">
        <f>SUMIF(Legacy_FC_VC!$J$35:$J$43,D263,Legacy_FC_VC!$K$35:$K$43)</f>
        <v>0.19182955699540097</v>
      </c>
      <c r="M263" s="143">
        <f>IF(SUMPRODUCT(--(D263={"EG_COAL","EG_CCGT","EG_OCGT"}))&gt;0,J263,J263+K263*8760*L263)</f>
        <v>7874.1244851454403</v>
      </c>
      <c r="N263" s="11">
        <f>IF(SUMPRODUCT(--(D263={"EG_COAL","EG_CCGT","EG_OCGT"}))&gt;0,K263,0)</f>
        <v>0</v>
      </c>
      <c r="O263" s="513" t="str">
        <f t="shared" si="21"/>
        <v>EREG_WIND</v>
      </c>
      <c r="P263" s="3"/>
      <c r="Z263" s="150"/>
      <c r="AA263" s="150"/>
    </row>
    <row r="264" spans="2:27" x14ac:dyDescent="0.35">
      <c r="B264" s="512" t="s">
        <v>1046</v>
      </c>
      <c r="C264" s="511" t="s">
        <v>807</v>
      </c>
      <c r="D264" s="3" t="s">
        <v>1612</v>
      </c>
      <c r="E264" s="3" t="s">
        <v>739</v>
      </c>
      <c r="F264" s="143">
        <f>SUMIFS(Capacity!$C$3:$C$263,Capacity!$A$3:$A$263,$C264,Capacity!$B$3:$B$263,$D264)</f>
        <v>453.49197736459308</v>
      </c>
      <c r="G264" s="143">
        <f t="shared" si="20"/>
        <v>8383.1991161462956</v>
      </c>
      <c r="H264" s="11">
        <f t="shared" si="20"/>
        <v>1.9995695399872515</v>
      </c>
      <c r="I264" s="510" t="s">
        <v>779</v>
      </c>
      <c r="J264" s="143">
        <f>IF($E264="2018-19",G264,G264*(1+Assumptions_EG!$C$6)*(1+INDEX($H$47:$H$55,MATCH($D264,$G$47:$G$55,0))))</f>
        <v>8383.1991161462956</v>
      </c>
      <c r="K264" s="11">
        <f>IF($E264="2018-19",H264,H264*(1+Assumptions_EG!$C$6)*(1+INDEX(Legacy_FC_VC!$I$47:$I$55,MATCH($D264,Assumptions_EG!$B$14:$B$22,0))))</f>
        <v>1.9995695399872515</v>
      </c>
      <c r="L264" s="11">
        <f>SUMIF(Legacy_FC_VC!$J$35:$J$43,D264,Legacy_FC_VC!$K$35:$K$43)</f>
        <v>0.85</v>
      </c>
      <c r="M264" s="143">
        <f>IF(SUMPRODUCT(--(D264={"EG_COAL","EG_CCGT","EG_OCGT"}))&gt;0,J264,J264+K264*8760*L264)</f>
        <v>8383.1991161462956</v>
      </c>
      <c r="N264" s="11">
        <f>IF(SUMPRODUCT(--(D264={"EG_COAL","EG_CCGT","EG_OCGT"}))&gt;0,K264,0)</f>
        <v>1.9995695399872515</v>
      </c>
      <c r="O264" s="513" t="str">
        <f t="shared" si="21"/>
        <v>NREG_COAL</v>
      </c>
      <c r="P264" s="3"/>
      <c r="Z264" s="150"/>
      <c r="AA264" s="150"/>
    </row>
    <row r="265" spans="2:27" s="304" customFormat="1" x14ac:dyDescent="0.35">
      <c r="B265" s="512" t="s">
        <v>1046</v>
      </c>
      <c r="C265" s="511" t="s">
        <v>807</v>
      </c>
      <c r="D265" s="3" t="s">
        <v>1613</v>
      </c>
      <c r="E265" s="3" t="s">
        <v>739</v>
      </c>
      <c r="F265" s="143">
        <f>SUMIFS(Capacity!$C$3:$C$263,Capacity!$A$3:$A$263,$C265,Capacity!$B$3:$B$263,$D265)</f>
        <v>519.66</v>
      </c>
      <c r="G265" s="143">
        <f t="shared" si="20"/>
        <v>4619.7423009671784</v>
      </c>
      <c r="H265" s="11">
        <f t="shared" si="20"/>
        <v>3.1630993429184833</v>
      </c>
      <c r="I265" s="510" t="s">
        <v>779</v>
      </c>
      <c r="J265" s="143">
        <f>IF($E265="2018-19",G265,G265*(1+Assumptions_EG!$C$6)*(1+INDEX($H$47:$H$55,MATCH($D265,$G$47:$G$55,0))))</f>
        <v>4619.7423009671784</v>
      </c>
      <c r="K265" s="11">
        <f>IF($E265="2018-19",H265,H265*(1+Assumptions_EG!$C$6)*(1+INDEX(Legacy_FC_VC!$I$47:$I$55,MATCH($D265,Assumptions_EG!$B$14:$B$22,0))))</f>
        <v>3.1630993429184833</v>
      </c>
      <c r="L265" s="11">
        <f>SUMIF(Legacy_FC_VC!$J$35:$J$43,D265,Legacy_FC_VC!$K$35:$K$43)</f>
        <v>0.85</v>
      </c>
      <c r="M265" s="143">
        <f>IF(SUMPRODUCT(--(D265={"EG_COAL","EG_CCGT","EG_OCGT"}))&gt;0,J265,J265+K265*8760*L265)</f>
        <v>4619.7423009671784</v>
      </c>
      <c r="N265" s="11">
        <f>IF(SUMPRODUCT(--(D265={"EG_COAL","EG_CCGT","EG_OCGT"}))&gt;0,K265,0)</f>
        <v>3.1630993429184833</v>
      </c>
      <c r="O265" s="513" t="str">
        <f t="shared" si="21"/>
        <v>NREG_CCGT</v>
      </c>
      <c r="P265" s="3"/>
      <c r="Z265" s="150"/>
      <c r="AA265" s="150"/>
    </row>
    <row r="266" spans="2:27" s="304" customFormat="1" x14ac:dyDescent="0.35">
      <c r="B266" s="512" t="s">
        <v>1046</v>
      </c>
      <c r="C266" s="511" t="s">
        <v>807</v>
      </c>
      <c r="D266" s="3" t="s">
        <v>1614</v>
      </c>
      <c r="E266" s="3" t="s">
        <v>739</v>
      </c>
      <c r="F266" s="143">
        <f>SUMIFS(Capacity!$C$3:$C$263,Capacity!$A$3:$A$263,$C266,Capacity!$B$3:$B$263,$D266)</f>
        <v>0</v>
      </c>
      <c r="G266" s="143">
        <f t="shared" ref="G266:H278" si="22">SUMIFS(G$66:G$182,$C$66:$C$182,$I266,$D$66:$D$182,$D266)</f>
        <v>0</v>
      </c>
      <c r="H266" s="11">
        <f t="shared" si="22"/>
        <v>0</v>
      </c>
      <c r="I266" s="510" t="s">
        <v>779</v>
      </c>
      <c r="J266" s="143">
        <f>IF($E266="2018-19",G266,G266*(1+Assumptions_EG!$C$6)*(1+INDEX($H$47:$H$55,MATCH($D266,$G$47:$G$55,0))))</f>
        <v>0</v>
      </c>
      <c r="K266" s="11">
        <f>IF($E266="2018-19",H266,H266*(1+Assumptions_EG!$C$6)*(1+INDEX(Legacy_FC_VC!$I$47:$I$55,MATCH($D266,Assumptions_EG!$B$14:$B$22,0))))</f>
        <v>0</v>
      </c>
      <c r="L266" s="11">
        <f>SUMIF(Legacy_FC_VC!$J$35:$J$43,D266,Legacy_FC_VC!$K$35:$K$43)</f>
        <v>0.85</v>
      </c>
      <c r="M266" s="143">
        <f>IF(SUMPRODUCT(--(D266={"EG_COAL","EG_CCGT","EG_OCGT"}))&gt;0,J266,J266+K266*8760*L266)</f>
        <v>0</v>
      </c>
      <c r="N266" s="11">
        <f>IF(SUMPRODUCT(--(D266={"EG_COAL","EG_CCGT","EG_OCGT"}))&gt;0,K266,0)</f>
        <v>0</v>
      </c>
      <c r="O266" s="513" t="str">
        <f t="shared" si="21"/>
        <v>NREG_OCGT</v>
      </c>
      <c r="P266" s="3"/>
      <c r="Z266" s="150"/>
      <c r="AA266" s="150"/>
    </row>
    <row r="267" spans="2:27" s="304" customFormat="1" x14ac:dyDescent="0.35">
      <c r="B267" s="512" t="s">
        <v>1046</v>
      </c>
      <c r="C267" s="511" t="s">
        <v>807</v>
      </c>
      <c r="D267" s="3" t="s">
        <v>1615</v>
      </c>
      <c r="E267" s="3" t="s">
        <v>739</v>
      </c>
      <c r="F267" s="143">
        <f>SUMIFS(Capacity!$C$3:$C$263,Capacity!$A$3:$A$263,$C267,Capacity!$B$3:$B$263,$D267)</f>
        <v>36.594021605518513</v>
      </c>
      <c r="G267" s="143">
        <f t="shared" si="22"/>
        <v>0</v>
      </c>
      <c r="H267" s="11">
        <f t="shared" si="22"/>
        <v>3.1663881345310205</v>
      </c>
      <c r="I267" s="510" t="s">
        <v>779</v>
      </c>
      <c r="J267" s="143">
        <f>IF($E267="2018-19",G267,G267*(1+Assumptions_EG!$C$6)*(1+INDEX($H$47:$H$55,MATCH($D267,$G$47:$G$55,0))))</f>
        <v>0</v>
      </c>
      <c r="K267" s="11">
        <f>IF($E267="2018-19",H267,H267*(1+Assumptions_EG!$C$6)*(1+INDEX(Legacy_FC_VC!$I$47:$I$55,MATCH($D267,Assumptions_EG!$B$14:$B$22,0))))</f>
        <v>3.1663881345310205</v>
      </c>
      <c r="L267" s="11">
        <f>SUMIF(Legacy_FC_VC!$J$35:$J$43,D267,Legacy_FC_VC!$K$35:$K$43)</f>
        <v>0.65716939790195539</v>
      </c>
      <c r="M267" s="143">
        <f>IF(SUMPRODUCT(--(D267={"EG_COAL","EG_CCGT","EG_OCGT"}))&gt;0,J267,J267+K267*8760*L267)</f>
        <v>18228.275642908346</v>
      </c>
      <c r="N267" s="11">
        <f>IF(SUMPRODUCT(--(D267={"EG_COAL","EG_CCGT","EG_OCGT"}))&gt;0,K267,0)</f>
        <v>0</v>
      </c>
      <c r="O267" s="513" t="str">
        <f t="shared" si="21"/>
        <v>NREG_PHWR</v>
      </c>
      <c r="P267" s="3"/>
      <c r="Z267" s="150"/>
      <c r="AA267" s="150"/>
    </row>
    <row r="268" spans="2:27" s="304" customFormat="1" x14ac:dyDescent="0.35">
      <c r="B268" s="512" t="s">
        <v>1046</v>
      </c>
      <c r="C268" s="511" t="s">
        <v>807</v>
      </c>
      <c r="D268" s="3" t="s">
        <v>1604</v>
      </c>
      <c r="E268" s="3" t="s">
        <v>739</v>
      </c>
      <c r="F268" s="143">
        <f>SUMIFS(Capacity!$C$3:$C$263,Capacity!$A$3:$A$263,$C268,Capacity!$B$3:$B$263,$D268)</f>
        <v>1887.6670043536958</v>
      </c>
      <c r="G268" s="143">
        <f t="shared" si="22"/>
        <v>6405.2325901462182</v>
      </c>
      <c r="H268" s="11">
        <f t="shared" si="22"/>
        <v>1.0988143759238529</v>
      </c>
      <c r="I268" s="510" t="s">
        <v>779</v>
      </c>
      <c r="J268" s="143">
        <f>IF($E268="2018-19",G268,G268*(1+Assumptions_EG!$C$6)*(1+INDEX($H$47:$H$55,MATCH($D268,$G$47:$G$55,0))))</f>
        <v>6405.2325901462182</v>
      </c>
      <c r="K268" s="11">
        <f>IF($E268="2018-19",H268,H268*(1+Assumptions_EG!$C$6)*(1+INDEX(Legacy_FC_VC!$I$47:$I$55,MATCH($D268,Assumptions_EG!$B$14:$B$22,0))))</f>
        <v>1.0988143759238529</v>
      </c>
      <c r="L268" s="11">
        <f>SUMIF(Legacy_FC_VC!$J$35:$J$43,D268,Legacy_FC_VC!$K$35:$K$43)</f>
        <v>0.32761940072174078</v>
      </c>
      <c r="M268" s="143">
        <f>IF(SUMPRODUCT(--(D268={"EG_COAL","EG_CCGT","EG_OCGT"}))&gt;0,J268,J268+K268*8760*L268)</f>
        <v>9558.7704584849689</v>
      </c>
      <c r="N268" s="11">
        <f>IF(SUMPRODUCT(--(D268={"EG_COAL","EG_CCGT","EG_OCGT"}))&gt;0,K268,0)</f>
        <v>0</v>
      </c>
      <c r="O268" s="513" t="str">
        <f t="shared" si="21"/>
        <v>NREG_LH</v>
      </c>
      <c r="P268" s="3"/>
      <c r="Z268" s="150"/>
      <c r="AA268" s="150"/>
    </row>
    <row r="269" spans="2:27" s="304" customFormat="1" x14ac:dyDescent="0.35">
      <c r="B269" s="512" t="s">
        <v>1046</v>
      </c>
      <c r="C269" s="511" t="s">
        <v>807</v>
      </c>
      <c r="D269" s="3" t="s">
        <v>1603</v>
      </c>
      <c r="E269" s="3" t="s">
        <v>739</v>
      </c>
      <c r="F269" s="143">
        <f>SUMIFS(Capacity!$C$3:$C$263,Capacity!$A$3:$A$263,$C269,Capacity!$B$3:$B$263,$D269)</f>
        <v>214.32</v>
      </c>
      <c r="G269" s="143">
        <f t="shared" si="22"/>
        <v>0</v>
      </c>
      <c r="H269" s="11">
        <f t="shared" si="22"/>
        <v>2.6960326721120187</v>
      </c>
      <c r="I269" s="510" t="s">
        <v>779</v>
      </c>
      <c r="J269" s="143">
        <f>IF($E269="2018-19",G269,G269*(1+Assumptions_EG!$C$6)*(1+INDEX($H$47:$H$55,MATCH($D269,$G$47:$G$55,0))))</f>
        <v>0</v>
      </c>
      <c r="K269" s="11">
        <f>IF($E269="2018-19",H269,H269*(1+Assumptions_EG!$C$6)*(1+INDEX(Legacy_FC_VC!$I$47:$I$55,MATCH($D269,Assumptions_EG!$B$14:$B$22,0))))</f>
        <v>2.6960326721120187</v>
      </c>
      <c r="L269" s="11">
        <f>SUMIF(Legacy_FC_VC!$J$35:$J$43,D269,Legacy_FC_VC!$K$35:$K$43)</f>
        <v>0.20627943231757243</v>
      </c>
      <c r="M269" s="143">
        <f>IF(SUMPRODUCT(--(D269={"EG_COAL","EG_CCGT","EG_OCGT"}))&gt;0,J269,J269+K269*8760*L269)</f>
        <v>4871.7521406289607</v>
      </c>
      <c r="N269" s="11">
        <f>IF(SUMPRODUCT(--(D269={"EG_COAL","EG_CCGT","EG_OCGT"}))&gt;0,K269,0)</f>
        <v>0</v>
      </c>
      <c r="O269" s="513" t="str">
        <f t="shared" si="21"/>
        <v>NREG_SH</v>
      </c>
      <c r="P269" s="3"/>
      <c r="Z269" s="150"/>
      <c r="AA269" s="150"/>
    </row>
    <row r="270" spans="2:27" s="304" customFormat="1" x14ac:dyDescent="0.35">
      <c r="B270" s="512" t="s">
        <v>1046</v>
      </c>
      <c r="C270" s="511" t="s">
        <v>807</v>
      </c>
      <c r="D270" s="3" t="s">
        <v>1605</v>
      </c>
      <c r="E270" s="3" t="s">
        <v>739</v>
      </c>
      <c r="F270" s="143">
        <f>SUMIFS(Capacity!$C$3:$C$263,Capacity!$A$3:$A$263,$C270,Capacity!$B$3:$B$263,$D270)</f>
        <v>130.5</v>
      </c>
      <c r="G270" s="143">
        <f t="shared" si="22"/>
        <v>0</v>
      </c>
      <c r="H270" s="11">
        <f t="shared" si="22"/>
        <v>7.9005299633102313</v>
      </c>
      <c r="I270" s="510" t="s">
        <v>779</v>
      </c>
      <c r="J270" s="143">
        <f>IF($E270="2018-19",G270,G270*(1+Assumptions_EG!$C$6)*(1+INDEX($H$47:$H$55,MATCH($D270,$G$47:$G$55,0))))</f>
        <v>0</v>
      </c>
      <c r="K270" s="11">
        <f>IF($E270="2018-19",H270,H270*(1+Assumptions_EG!$C$6)*(1+INDEX(Legacy_FC_VC!$I$47:$I$55,MATCH($D270,Assumptions_EG!$B$14:$B$22,0))))</f>
        <v>7.9005299633102313</v>
      </c>
      <c r="L270" s="11">
        <f>SUMIF(Legacy_FC_VC!$J$35:$J$43,D270,Legacy_FC_VC!$K$35:$K$43)</f>
        <v>0.2313655363440307</v>
      </c>
      <c r="M270" s="143">
        <f>IF(SUMPRODUCT(--(D270={"EG_COAL","EG_CCGT","EG_OCGT"}))&gt;0,J270,J270+K270*8760*L270)</f>
        <v>16012.494686703007</v>
      </c>
      <c r="N270" s="11">
        <f>IF(SUMPRODUCT(--(D270={"EG_COAL","EG_CCGT","EG_OCGT"}))&gt;0,K270,0)</f>
        <v>0</v>
      </c>
      <c r="O270" s="513" t="str">
        <f t="shared" si="21"/>
        <v>NREG_BIOMASS</v>
      </c>
      <c r="P270" s="3"/>
      <c r="Z270" s="150"/>
      <c r="AA270" s="150"/>
    </row>
    <row r="271" spans="2:27" s="304" customFormat="1" x14ac:dyDescent="0.35">
      <c r="B271" s="512" t="s">
        <v>1046</v>
      </c>
      <c r="C271" s="511" t="s">
        <v>807</v>
      </c>
      <c r="D271" s="3" t="s">
        <v>1636</v>
      </c>
      <c r="E271" s="3" t="s">
        <v>739</v>
      </c>
      <c r="F271" s="143">
        <f>SUMIFS(Capacity!$C$3:$C$263,Capacity!$A$3:$A$263,$C271,Capacity!$B$3:$B$263,$D271)</f>
        <v>306.75</v>
      </c>
      <c r="G271" s="143">
        <f t="shared" si="22"/>
        <v>0</v>
      </c>
      <c r="H271" s="11">
        <f t="shared" si="22"/>
        <v>6.0760961214165263</v>
      </c>
      <c r="I271" s="510" t="s">
        <v>779</v>
      </c>
      <c r="J271" s="143">
        <f>IF($E271="2018-19",G271,G271*(1+Assumptions_EG!$C$6)*(1+INDEX($H$47:$H$55,MATCH($D271,$G$47:$G$55,0))))</f>
        <v>0</v>
      </c>
      <c r="K271" s="11">
        <f>IF($E271="2018-19",H271,H271*(1+Assumptions_EG!$C$6)*(1+INDEX(Legacy_FC_VC!$I$47:$I$55,MATCH($D271,Assumptions_EG!$B$14:$B$22,0))))</f>
        <v>6.0760961214165263</v>
      </c>
      <c r="L271" s="11">
        <f>SUMIF(Legacy_FC_VC!$J$35:$J$43,D271,Legacy_FC_VC!$K$35:$K$43)</f>
        <v>0.1890889600524939</v>
      </c>
      <c r="M271" s="143">
        <f>IF(SUMPRODUCT(--(D271={"EG_COAL","EG_CCGT","EG_OCGT"}))&gt;0,J271,J271+K271*8760*L271)</f>
        <v>10064.56282377215</v>
      </c>
      <c r="N271" s="11">
        <f>IF(SUMPRODUCT(--(D271={"EG_COAL","EG_CCGT","EG_OCGT"}))&gt;0,K271,0)</f>
        <v>0</v>
      </c>
      <c r="O271" s="513" t="str">
        <f t="shared" si="21"/>
        <v>NREG_SOLARPV</v>
      </c>
      <c r="P271" s="3"/>
      <c r="Z271" s="150"/>
      <c r="AA271" s="150"/>
    </row>
    <row r="272" spans="2:27" s="304" customFormat="1" x14ac:dyDescent="0.35">
      <c r="B272" s="512" t="s">
        <v>1046</v>
      </c>
      <c r="C272" s="511" t="s">
        <v>807</v>
      </c>
      <c r="D272" s="3" t="s">
        <v>1606</v>
      </c>
      <c r="E272" s="3" t="s">
        <v>739</v>
      </c>
      <c r="F272" s="143">
        <f>SUMIFS(Capacity!$C$3:$C$263,Capacity!$A$3:$A$263,$C272,Capacity!$B$3:$B$263,$D272)</f>
        <v>0</v>
      </c>
      <c r="G272" s="143">
        <f t="shared" si="22"/>
        <v>0</v>
      </c>
      <c r="H272" s="11">
        <f t="shared" si="22"/>
        <v>0</v>
      </c>
      <c r="I272" s="510" t="s">
        <v>779</v>
      </c>
      <c r="J272" s="143">
        <f>IF($E272="2018-19",G272,G272*(1+Assumptions_EG!$C$6)*(1+INDEX($H$47:$H$55,MATCH($D272,$G$47:$G$55,0))))</f>
        <v>0</v>
      </c>
      <c r="K272" s="11">
        <f>IF($E272="2018-19",H272,H272*(1+Assumptions_EG!$C$6)*(1+INDEX(Legacy_FC_VC!$I$47:$I$55,MATCH($D272,Assumptions_EG!$B$14:$B$22,0))))</f>
        <v>0</v>
      </c>
      <c r="L272" s="11">
        <f>SUMIF(Legacy_FC_VC!$J$35:$J$43,D272,Legacy_FC_VC!$K$35:$K$43)</f>
        <v>0.19182955699540097</v>
      </c>
      <c r="M272" s="143">
        <f>IF(SUMPRODUCT(--(D272={"EG_COAL","EG_CCGT","EG_OCGT"}))&gt;0,J272,J272+K272*8760*L272)</f>
        <v>0</v>
      </c>
      <c r="N272" s="11">
        <f>IF(SUMPRODUCT(--(D272={"EG_COAL","EG_CCGT","EG_OCGT"}))&gt;0,K272,0)</f>
        <v>0</v>
      </c>
      <c r="O272" s="513" t="str">
        <f t="shared" si="21"/>
        <v>NREG_WIND</v>
      </c>
      <c r="P272" s="3"/>
      <c r="Z272" s="150"/>
      <c r="AA272" s="150"/>
    </row>
    <row r="273" spans="2:27" x14ac:dyDescent="0.35">
      <c r="B273" s="512" t="s">
        <v>1054</v>
      </c>
      <c r="C273" s="511" t="s">
        <v>1053</v>
      </c>
      <c r="D273" s="3" t="s">
        <v>1612</v>
      </c>
      <c r="E273" s="3" t="s">
        <v>739</v>
      </c>
      <c r="F273" s="143">
        <f>SUMIFS(Capacity!$C$3:$C$263,Capacity!$A$3:$A$263,$C273,Capacity!$B$3:$B$263,$D273)</f>
        <v>382.35687704160898</v>
      </c>
      <c r="G273" s="143">
        <f t="shared" si="22"/>
        <v>5851.397082200624</v>
      </c>
      <c r="H273" s="11">
        <f t="shared" si="22"/>
        <v>2.2618272085135507</v>
      </c>
      <c r="I273" s="510" t="s">
        <v>764</v>
      </c>
      <c r="J273" s="143">
        <f>IF($E273="2018-19",G273,G273*(1+Assumptions_EG!$C$6)*(1+INDEX($H$47:$H$55,MATCH($D273,$G$47:$G$55,0))))</f>
        <v>5851.397082200624</v>
      </c>
      <c r="K273" s="11">
        <f>IF($E273="2018-19",H273,H273*(1+Assumptions_EG!$C$6)*(1+INDEX(Legacy_FC_VC!$I$47:$I$55,MATCH($D273,Assumptions_EG!$B$14:$B$22,0))))</f>
        <v>2.2618272085135507</v>
      </c>
      <c r="L273" s="11">
        <f>SUMIF(Legacy_FC_VC!$J$35:$J$43,D273,Legacy_FC_VC!$K$35:$K$43)</f>
        <v>0.85</v>
      </c>
      <c r="M273" s="143">
        <f>IF(SUMPRODUCT(--(D273={"EG_COAL","EG_CCGT","EG_OCGT"}))&gt;0,J273,J273+K273*8760*L273)</f>
        <v>5851.397082200624</v>
      </c>
      <c r="N273" s="11">
        <f>IF(SUMPRODUCT(--(D273={"EG_COAL","EG_CCGT","EG_OCGT"}))&gt;0,K273,0)</f>
        <v>2.2618272085135507</v>
      </c>
      <c r="O273" s="513" t="str">
        <f t="shared" si="21"/>
        <v>NEREG_COAL</v>
      </c>
      <c r="P273" s="3"/>
      <c r="Z273" s="150"/>
      <c r="AA273" s="150"/>
    </row>
    <row r="274" spans="2:27" s="304" customFormat="1" x14ac:dyDescent="0.35">
      <c r="B274" s="512" t="s">
        <v>1054</v>
      </c>
      <c r="C274" s="511" t="s">
        <v>1053</v>
      </c>
      <c r="D274" s="3" t="s">
        <v>1613</v>
      </c>
      <c r="E274" s="3" t="s">
        <v>739</v>
      </c>
      <c r="F274" s="143">
        <f>SUMIFS(Capacity!$C$3:$C$263,Capacity!$A$3:$A$263,$C274,Capacity!$B$3:$B$263,$D274)</f>
        <v>923.92</v>
      </c>
      <c r="G274" s="143">
        <f t="shared" si="22"/>
        <v>2373.8226149627189</v>
      </c>
      <c r="H274" s="11">
        <f t="shared" si="22"/>
        <v>3.1806741615505532</v>
      </c>
      <c r="I274" s="510" t="s">
        <v>764</v>
      </c>
      <c r="J274" s="143">
        <f>IF($E274="2018-19",G274,G274*(1+Assumptions_EG!$C$6)*(1+INDEX($H$47:$H$55,MATCH($D274,$G$47:$G$55,0))))</f>
        <v>2373.8226149627189</v>
      </c>
      <c r="K274" s="11">
        <f>IF($E274="2018-19",H274,H274*(1+Assumptions_EG!$C$6)*(1+INDEX(Legacy_FC_VC!$I$47:$I$55,MATCH($D274,Assumptions_EG!$B$14:$B$22,0))))</f>
        <v>3.1806741615505532</v>
      </c>
      <c r="L274" s="11">
        <f>SUMIF(Legacy_FC_VC!$J$35:$J$43,D274,Legacy_FC_VC!$K$35:$K$43)</f>
        <v>0.85</v>
      </c>
      <c r="M274" s="143">
        <f>IF(SUMPRODUCT(--(D274={"EG_COAL","EG_CCGT","EG_OCGT"}))&gt;0,J274,J274+K274*8760*L274)</f>
        <v>2373.8226149627189</v>
      </c>
      <c r="N274" s="11">
        <f>IF(SUMPRODUCT(--(D274={"EG_COAL","EG_CCGT","EG_OCGT"}))&gt;0,K274,0)</f>
        <v>3.1806741615505532</v>
      </c>
      <c r="O274" s="513" t="str">
        <f t="shared" si="21"/>
        <v>NEREG_CCGT</v>
      </c>
      <c r="P274" s="3"/>
      <c r="Z274" s="150"/>
      <c r="AA274" s="150"/>
    </row>
    <row r="275" spans="2:27" s="304" customFormat="1" x14ac:dyDescent="0.35">
      <c r="B275" s="512" t="s">
        <v>1054</v>
      </c>
      <c r="C275" s="511" t="s">
        <v>1053</v>
      </c>
      <c r="D275" s="3" t="s">
        <v>1614</v>
      </c>
      <c r="E275" s="3" t="s">
        <v>739</v>
      </c>
      <c r="F275" s="143">
        <f>SUMIFS(Capacity!$C$3:$C$263,Capacity!$A$3:$A$263,$C275,Capacity!$B$3:$B$263,$D275)</f>
        <v>0</v>
      </c>
      <c r="G275" s="143">
        <f t="shared" si="22"/>
        <v>0</v>
      </c>
      <c r="H275" s="11">
        <f t="shared" si="22"/>
        <v>0</v>
      </c>
      <c r="I275" s="510" t="s">
        <v>764</v>
      </c>
      <c r="J275" s="143">
        <f>IF($E275="2018-19",G275,G275*(1+Assumptions_EG!$C$6)*(1+INDEX($H$47:$H$55,MATCH($D275,$G$47:$G$55,0))))</f>
        <v>0</v>
      </c>
      <c r="K275" s="11">
        <f>IF($E275="2018-19",H275,H275*(1+Assumptions_EG!$C$6)*(1+INDEX(Legacy_FC_VC!$I$47:$I$55,MATCH($D275,Assumptions_EG!$B$14:$B$22,0))))</f>
        <v>0</v>
      </c>
      <c r="L275" s="11">
        <f>SUMIF(Legacy_FC_VC!$J$35:$J$43,D275,Legacy_FC_VC!$K$35:$K$43)</f>
        <v>0.85</v>
      </c>
      <c r="M275" s="143">
        <f>IF(SUMPRODUCT(--(D275={"EG_COAL","EG_CCGT","EG_OCGT"}))&gt;0,J275,J275+K275*8760*L275)</f>
        <v>0</v>
      </c>
      <c r="N275" s="11">
        <f>IF(SUMPRODUCT(--(D275={"EG_COAL","EG_CCGT","EG_OCGT"}))&gt;0,K275,0)</f>
        <v>0</v>
      </c>
      <c r="O275" s="513" t="str">
        <f t="shared" si="21"/>
        <v>NEREG_OCGT</v>
      </c>
      <c r="P275" s="3"/>
      <c r="Z275" s="150"/>
      <c r="AA275" s="150"/>
    </row>
    <row r="276" spans="2:27" s="304" customFormat="1" x14ac:dyDescent="0.35">
      <c r="B276" s="512" t="s">
        <v>1054</v>
      </c>
      <c r="C276" s="511" t="s">
        <v>1053</v>
      </c>
      <c r="D276" s="3" t="s">
        <v>1615</v>
      </c>
      <c r="E276" s="3" t="s">
        <v>739</v>
      </c>
      <c r="F276" s="143">
        <f>SUMIFS(Capacity!$C$3:$C$263,Capacity!$A$3:$A$263,$C276,Capacity!$B$3:$B$263,$D276)</f>
        <v>0</v>
      </c>
      <c r="G276" s="143">
        <f t="shared" si="22"/>
        <v>0</v>
      </c>
      <c r="H276" s="11">
        <f t="shared" si="22"/>
        <v>0</v>
      </c>
      <c r="I276" s="510" t="s">
        <v>764</v>
      </c>
      <c r="J276" s="143">
        <f>IF($E276="2018-19",G276,G276*(1+Assumptions_EG!$C$6)*(1+INDEX($H$47:$H$55,MATCH($D276,$G$47:$G$55,0))))</f>
        <v>0</v>
      </c>
      <c r="K276" s="11">
        <f>IF($E276="2018-19",H276,H276*(1+Assumptions_EG!$C$6)*(1+INDEX(Legacy_FC_VC!$I$47:$I$55,MATCH($D276,Assumptions_EG!$B$14:$B$22,0))))</f>
        <v>0</v>
      </c>
      <c r="L276" s="11">
        <f>SUMIF(Legacy_FC_VC!$J$35:$J$43,D276,Legacy_FC_VC!$K$35:$K$43)</f>
        <v>0.65716939790195539</v>
      </c>
      <c r="M276" s="143">
        <f>IF(SUMPRODUCT(--(D276={"EG_COAL","EG_CCGT","EG_OCGT"}))&gt;0,J276,J276+K276*8760*L276)</f>
        <v>0</v>
      </c>
      <c r="N276" s="11">
        <f>IF(SUMPRODUCT(--(D276={"EG_COAL","EG_CCGT","EG_OCGT"}))&gt;0,K276,0)</f>
        <v>0</v>
      </c>
      <c r="O276" s="513" t="str">
        <f t="shared" si="21"/>
        <v>NEREG_PHWR</v>
      </c>
      <c r="P276" s="3"/>
      <c r="Z276" s="150"/>
      <c r="AA276" s="150"/>
    </row>
    <row r="277" spans="2:27" s="304" customFormat="1" x14ac:dyDescent="0.35">
      <c r="B277" s="512" t="s">
        <v>1054</v>
      </c>
      <c r="C277" s="511" t="s">
        <v>1053</v>
      </c>
      <c r="D277" s="3" t="s">
        <v>1604</v>
      </c>
      <c r="E277" s="3" t="s">
        <v>739</v>
      </c>
      <c r="F277" s="143">
        <f>SUMIFS(Capacity!$C$3:$C$263,Capacity!$A$3:$A$263,$C277,Capacity!$B$3:$B$263,$D277)</f>
        <v>1757.6013556555772</v>
      </c>
      <c r="G277" s="143">
        <f t="shared" si="22"/>
        <v>9489.1171240127242</v>
      </c>
      <c r="H277" s="11">
        <f t="shared" si="22"/>
        <v>0</v>
      </c>
      <c r="I277" s="510" t="s">
        <v>764</v>
      </c>
      <c r="J277" s="143">
        <f>IF($E277="2018-19",G277,G277*(1+Assumptions_EG!$C$6)*(1+INDEX($H$47:$H$55,MATCH($D277,$G$47:$G$55,0))))</f>
        <v>9489.1171240127242</v>
      </c>
      <c r="K277" s="11">
        <f>IF($E277="2018-19",H277,H277*(1+Assumptions_EG!$C$6)*(1+INDEX(Legacy_FC_VC!$I$47:$I$55,MATCH($D277,Assumptions_EG!$B$14:$B$22,0))))</f>
        <v>0</v>
      </c>
      <c r="L277" s="11">
        <f>SUMIF(Legacy_FC_VC!$J$35:$J$43,D277,Legacy_FC_VC!$K$35:$K$43)</f>
        <v>0.32761940072174078</v>
      </c>
      <c r="M277" s="143">
        <f>IF(SUMPRODUCT(--(D277={"EG_COAL","EG_CCGT","EG_OCGT"}))&gt;0,J277,J277+K277*8760*L277)</f>
        <v>9489.1171240127242</v>
      </c>
      <c r="N277" s="11">
        <f>IF(SUMPRODUCT(--(D277={"EG_COAL","EG_CCGT","EG_OCGT"}))&gt;0,K277,0)</f>
        <v>0</v>
      </c>
      <c r="O277" s="513" t="str">
        <f t="shared" si="21"/>
        <v>NEREG_LH</v>
      </c>
      <c r="P277" s="3"/>
      <c r="Z277" s="150"/>
      <c r="AA277" s="150"/>
    </row>
    <row r="278" spans="2:27" s="304" customFormat="1" x14ac:dyDescent="0.35">
      <c r="B278" s="512" t="s">
        <v>1054</v>
      </c>
      <c r="C278" s="511" t="s">
        <v>1053</v>
      </c>
      <c r="D278" s="3" t="s">
        <v>1603</v>
      </c>
      <c r="E278" s="3" t="s">
        <v>739</v>
      </c>
      <c r="F278" s="143">
        <f>SUMIFS(Capacity!$C$3:$C$263,Capacity!$A$3:$A$263,$C278,Capacity!$B$3:$B$263,$D278)</f>
        <v>304.34499999999991</v>
      </c>
      <c r="G278" s="143">
        <f t="shared" si="22"/>
        <v>7111.1111111111113</v>
      </c>
      <c r="H278" s="11">
        <f t="shared" si="22"/>
        <v>0</v>
      </c>
      <c r="I278" s="510" t="s">
        <v>764</v>
      </c>
      <c r="J278" s="143">
        <f>IF($E278="2018-19",G278,G278*(1+Assumptions_EG!$C$6)*(1+INDEX($H$47:$H$55,MATCH($D278,$G$47:$G$55,0))))</f>
        <v>7111.1111111111113</v>
      </c>
      <c r="K278" s="11">
        <f>IF($E278="2018-19",H278,H278*(1+Assumptions_EG!$C$6)*(1+INDEX(Legacy_FC_VC!$I$47:$I$55,MATCH($D278,Assumptions_EG!$B$14:$B$22,0))))</f>
        <v>0</v>
      </c>
      <c r="L278" s="11">
        <f>SUMIF(Legacy_FC_VC!$J$35:$J$43,D278,Legacy_FC_VC!$K$35:$K$43)</f>
        <v>0.20627943231757243</v>
      </c>
      <c r="M278" s="143">
        <f>IF(SUMPRODUCT(--(D278={"EG_COAL","EG_CCGT","EG_OCGT"}))&gt;0,J278,J278+K278*8760*L278)</f>
        <v>7111.1111111111113</v>
      </c>
      <c r="N278" s="11">
        <f>IF(SUMPRODUCT(--(D278={"EG_COAL","EG_CCGT","EG_OCGT"}))&gt;0,K278,0)</f>
        <v>0</v>
      </c>
      <c r="O278" s="513" t="str">
        <f t="shared" si="21"/>
        <v>NEREG_SH</v>
      </c>
      <c r="P278" s="3"/>
      <c r="Z278" s="150"/>
      <c r="AA278" s="150"/>
    </row>
    <row r="279" spans="2:27" s="304" customFormat="1" x14ac:dyDescent="0.35">
      <c r="B279" s="512" t="s">
        <v>1054</v>
      </c>
      <c r="C279" s="511" t="s">
        <v>1053</v>
      </c>
      <c r="D279" s="3" t="s">
        <v>1605</v>
      </c>
      <c r="E279" s="3" t="s">
        <v>739</v>
      </c>
      <c r="F279" s="143">
        <f>SUMIFS(Capacity!$C$3:$C$263,Capacity!$A$3:$A$263,$C279,Capacity!$B$3:$B$263,$D279)</f>
        <v>13.8</v>
      </c>
      <c r="G279" s="143">
        <f>SUMIFS(G$66:G$182,$C$66:$C$182,$I279,$D$66:$D$182,$D279)</f>
        <v>0</v>
      </c>
      <c r="H279" s="152">
        <f>(8*0.25+6.5*0.75)/(1+Legacy_FC_VC!$I$53)/(1+Assumptions_EG!$C$7)</f>
        <v>6.6105769230769225</v>
      </c>
      <c r="I279" s="510" t="s">
        <v>764</v>
      </c>
      <c r="J279" s="143">
        <f>IF($E279="2018-19",G279,G279*(1+Assumptions_EG!$C$6)*(1+INDEX($H$47:$H$55,MATCH($D279,$G$47:$G$55,0))))</f>
        <v>0</v>
      </c>
      <c r="K279" s="11">
        <f>IF($E279="2018-19",H279,H279*(1+Assumptions_EG!$C$6)*(1+INDEX(Legacy_FC_VC!$I$47:$I$55,MATCH($D279,Assumptions_EG!$B$14:$B$22,0))))</f>
        <v>6.6105769230769225</v>
      </c>
      <c r="L279" s="11">
        <f>SUMIF(Legacy_FC_VC!$J$35:$J$43,D279,Legacy_FC_VC!$K$35:$K$43)</f>
        <v>0.2313655363440307</v>
      </c>
      <c r="M279" s="143">
        <f>IF(SUMPRODUCT(--(D279={"EG_COAL","EG_CCGT","EG_OCGT"}))&gt;0,J279,J279+K279*8760*L279)</f>
        <v>13398.066756076201</v>
      </c>
      <c r="N279" s="11">
        <f>IF(SUMPRODUCT(--(D279={"EG_COAL","EG_CCGT","EG_OCGT"}))&gt;0,K279,0)</f>
        <v>0</v>
      </c>
      <c r="O279" s="513" t="str">
        <f t="shared" si="21"/>
        <v>NEREG_BIOMASS</v>
      </c>
      <c r="P279" s="3"/>
      <c r="Z279" s="150"/>
      <c r="AA279" s="150"/>
    </row>
    <row r="280" spans="2:27" s="304" customFormat="1" x14ac:dyDescent="0.35">
      <c r="B280" s="512" t="s">
        <v>1054</v>
      </c>
      <c r="C280" s="511" t="s">
        <v>1053</v>
      </c>
      <c r="D280" s="3" t="s">
        <v>1636</v>
      </c>
      <c r="E280" s="3" t="s">
        <v>739</v>
      </c>
      <c r="F280" s="143">
        <f>SUMIFS(Capacity!$C$3:$C$263,Capacity!$A$3:$A$263,$C280,Capacity!$B$3:$B$263,$D280)</f>
        <v>15.549999999999999</v>
      </c>
      <c r="G280" s="143">
        <f>SUMIFS(G$66:G$182,$C$66:$C$182,$I280,$D$66:$D$182,$D280)</f>
        <v>0</v>
      </c>
      <c r="H280" s="11">
        <f>SUMIFS(H$66:H$182,$C$66:$C$182,$I280,$D$66:$D$182,$D280)</f>
        <v>7.6770310932798402</v>
      </c>
      <c r="I280" s="510" t="s">
        <v>764</v>
      </c>
      <c r="J280" s="143">
        <f>IF($E280="2018-19",G280,G280*(1+Assumptions_EG!$C$6)*(1+INDEX($H$47:$H$55,MATCH($D280,$G$47:$G$55,0))))</f>
        <v>0</v>
      </c>
      <c r="K280" s="11">
        <f>IF($E280="2018-19",H280,H280*(1+Assumptions_EG!$C$6)*(1+INDEX(Legacy_FC_VC!$I$47:$I$55,MATCH($D280,Assumptions_EG!$B$14:$B$22,0))))</f>
        <v>7.6770310932798402</v>
      </c>
      <c r="L280" s="11">
        <f>SUMIF(Legacy_FC_VC!$J$35:$J$43,D280,Legacy_FC_VC!$K$35:$K$43)</f>
        <v>0.1890889600524939</v>
      </c>
      <c r="M280" s="143">
        <f>IF(SUMPRODUCT(--(D280={"EG_COAL","EG_CCGT","EG_OCGT"}))&gt;0,J280,J280+K280*8760*L280)</f>
        <v>12716.382393297959</v>
      </c>
      <c r="N280" s="11">
        <f>IF(SUMPRODUCT(--(D280={"EG_COAL","EG_CCGT","EG_OCGT"}))&gt;0,K280,0)</f>
        <v>0</v>
      </c>
      <c r="O280" s="513" t="str">
        <f t="shared" si="21"/>
        <v>NEREG_SOLARPV</v>
      </c>
      <c r="P280" s="3"/>
      <c r="Z280" s="150"/>
      <c r="AA280" s="150"/>
    </row>
    <row r="281" spans="2:27" s="304" customFormat="1" x14ac:dyDescent="0.35">
      <c r="B281" s="512" t="s">
        <v>1054</v>
      </c>
      <c r="C281" s="511" t="s">
        <v>1053</v>
      </c>
      <c r="D281" s="3" t="s">
        <v>1606</v>
      </c>
      <c r="E281" s="3" t="s">
        <v>739</v>
      </c>
      <c r="F281" s="143">
        <f>SUMIFS(Capacity!$C$3:$C$263,Capacity!$A$3:$A$263,$C281,Capacity!$B$3:$B$263,$D281)</f>
        <v>0</v>
      </c>
      <c r="G281" s="143">
        <f>SUMIFS(G$66:G$182,$C$66:$C$182,$I281,$D$66:$D$182,$D281)</f>
        <v>0</v>
      </c>
      <c r="H281" s="11">
        <f>SUMIFS(H$66:H$182,$C$66:$C$182,$I281,$D$66:$D$182,$D281)</f>
        <v>0</v>
      </c>
      <c r="I281" s="510" t="s">
        <v>764</v>
      </c>
      <c r="J281" s="143">
        <f>IF($E281="2018-19",G281,G281*(1+Assumptions_EG!$C$6)*(1+INDEX($H$47:$H$55,MATCH($D281,$G$47:$G$55,0))))</f>
        <v>0</v>
      </c>
      <c r="K281" s="11">
        <f>IF($E281="2018-19",H281,H281*(1+Assumptions_EG!$C$6)*(1+INDEX(Legacy_FC_VC!$I$47:$I$55,MATCH($D281,Assumptions_EG!$B$14:$B$22,0))))</f>
        <v>0</v>
      </c>
      <c r="L281" s="11">
        <f>SUMIF(Legacy_FC_VC!$J$35:$J$43,D281,Legacy_FC_VC!$K$35:$K$43)</f>
        <v>0.19182955699540097</v>
      </c>
      <c r="M281" s="143">
        <f>IF(SUMPRODUCT(--(D281={"EG_COAL","EG_CCGT","EG_OCGT"}))&gt;0,J281,J281+K281*8760*L281)</f>
        <v>0</v>
      </c>
      <c r="N281" s="11">
        <f>IF(SUMPRODUCT(--(D281={"EG_COAL","EG_CCGT","EG_OCGT"}))&gt;0,K281,0)</f>
        <v>0</v>
      </c>
      <c r="O281" s="513" t="str">
        <f t="shared" si="21"/>
        <v>NEREG_WIND</v>
      </c>
      <c r="P281" s="3"/>
      <c r="Z281" s="150"/>
      <c r="AA281" s="150"/>
    </row>
    <row r="282" spans="2:27" x14ac:dyDescent="0.35">
      <c r="B282" s="514" t="s">
        <v>628</v>
      </c>
      <c r="C282" s="511" t="s">
        <v>809</v>
      </c>
      <c r="D282" s="3" t="s">
        <v>1612</v>
      </c>
      <c r="E282" s="3" t="str">
        <f>UT!B2</f>
        <v>2018-19</v>
      </c>
      <c r="F282" s="143">
        <f>SUMIFS(Capacity!$C$3:$C$263,Capacity!$A$3:$A$263,$C282,Capacity!$B$3:$B$263,$D282)</f>
        <v>658.88611590032895</v>
      </c>
      <c r="G282" s="143">
        <f>UT!D2</f>
        <v>8521.9696694432332</v>
      </c>
      <c r="H282" s="11">
        <f>UT!E2</f>
        <v>2.0337811388570839</v>
      </c>
      <c r="I282" s="3"/>
      <c r="J282" s="143">
        <f>IF($E282="2018-19",G282,G282*(1+Assumptions_EG!$C$6)*(1+INDEX($H$47:$H$55,MATCH($D282,$G$47:$G$55,0))))</f>
        <v>8521.9696694432332</v>
      </c>
      <c r="K282" s="11">
        <f>IF($E282="2018-19",H282,H282*(1+Assumptions_EG!$C$6)*(1+INDEX(Legacy_FC_VC!$I$47:$I$55,MATCH($D282,Assumptions_EG!$B$14:$B$22,0))))</f>
        <v>2.0337811388570839</v>
      </c>
      <c r="L282" s="11">
        <f>SUMIF(Legacy_FC_VC!$J$35:$J$43,D282,Legacy_FC_VC!$K$35:$K$43)</f>
        <v>0.85</v>
      </c>
      <c r="M282" s="143">
        <f>IF(SUMPRODUCT(--(D282={"EG_COAL","EG_CCGT","EG_OCGT"}))&gt;0,J282,J282+K282*8760*L282)</f>
        <v>8521.9696694432332</v>
      </c>
      <c r="N282" s="11">
        <f>IF(SUMPRODUCT(--(D282={"EG_COAL","EG_CCGT","EG_OCGT"}))&gt;0,K282,0)</f>
        <v>2.0337811388570839</v>
      </c>
      <c r="O282" s="513" t="str">
        <f t="shared" si="21"/>
        <v>WREG_COAL</v>
      </c>
      <c r="P282" s="3"/>
      <c r="Z282" s="150"/>
      <c r="AA282" s="150"/>
    </row>
    <row r="283" spans="2:27" x14ac:dyDescent="0.35">
      <c r="B283" s="514" t="s">
        <v>628</v>
      </c>
      <c r="C283" s="511" t="s">
        <v>809</v>
      </c>
      <c r="D283" s="3" t="s">
        <v>1613</v>
      </c>
      <c r="E283" s="3" t="str">
        <f>UT!B3</f>
        <v>2018-19</v>
      </c>
      <c r="F283" s="143">
        <f>SUMIFS(Capacity!$C$3:$C$263,Capacity!$A$3:$A$263,$C283,Capacity!$B$3:$B$263,$D283)</f>
        <v>157.21</v>
      </c>
      <c r="G283" s="143">
        <f>UT!D3</f>
        <v>6536.4662110029767</v>
      </c>
      <c r="H283" s="11">
        <f>UT!E3</f>
        <v>3.3272491224963794</v>
      </c>
      <c r="I283" s="3"/>
      <c r="J283" s="143">
        <f>IF($E283="2018-19",G283,G283*(1+Assumptions_EG!$C$6)*(1+INDEX($H$47:$H$55,MATCH($D283,$G$47:$G$55,0))))</f>
        <v>6536.4662110029767</v>
      </c>
      <c r="K283" s="11">
        <f>IF($E283="2018-19",H283,H283*(1+Assumptions_EG!$C$6)*(1+INDEX(Legacy_FC_VC!$I$47:$I$55,MATCH($D283,Assumptions_EG!$B$14:$B$22,0))))</f>
        <v>3.3272491224963794</v>
      </c>
      <c r="L283" s="11">
        <f>SUMIF(Legacy_FC_VC!$J$35:$J$43,D283,Legacy_FC_VC!$K$35:$K$43)</f>
        <v>0.85</v>
      </c>
      <c r="M283" s="143">
        <f>IF(SUMPRODUCT(--(D283={"EG_COAL","EG_CCGT","EG_OCGT"}))&gt;0,J283,J283+K283*8760*L283)</f>
        <v>6536.4662110029767</v>
      </c>
      <c r="N283" s="11">
        <f>IF(SUMPRODUCT(--(D283={"EG_COAL","EG_CCGT","EG_OCGT"}))&gt;0,K283,0)</f>
        <v>3.3272491224963794</v>
      </c>
      <c r="O283" s="513" t="str">
        <f t="shared" si="21"/>
        <v>WREG_CCGT</v>
      </c>
      <c r="P283" s="3"/>
      <c r="Z283" s="150"/>
      <c r="AA283" s="150"/>
    </row>
    <row r="284" spans="2:27" x14ac:dyDescent="0.35">
      <c r="B284" s="514" t="s">
        <v>628</v>
      </c>
      <c r="C284" s="511" t="s">
        <v>809</v>
      </c>
      <c r="D284" s="3" t="s">
        <v>1614</v>
      </c>
      <c r="E284" s="3" t="str">
        <f>UT!B4</f>
        <v>2018-19</v>
      </c>
      <c r="F284" s="143">
        <f>SUMIFS(Capacity!$C$3:$C$263,Capacity!$A$3:$A$263,$C284,Capacity!$B$3:$B$263,$D284)</f>
        <v>0</v>
      </c>
      <c r="G284" s="143">
        <f>UT!D4</f>
        <v>0</v>
      </c>
      <c r="H284" s="11">
        <f>UT!E4</f>
        <v>0</v>
      </c>
      <c r="I284" s="3"/>
      <c r="J284" s="143">
        <f>IF($E284="2018-19",G284,G284*(1+Assumptions_EG!$C$6)*(1+INDEX($H$47:$H$55,MATCH($D284,$G$47:$G$55,0))))</f>
        <v>0</v>
      </c>
      <c r="K284" s="11">
        <f>IF($E284="2018-19",H284,H284*(1+Assumptions_EG!$C$6)*(1+INDEX(Legacy_FC_VC!$I$47:$I$55,MATCH($D284,Assumptions_EG!$B$14:$B$22,0))))</f>
        <v>0</v>
      </c>
      <c r="L284" s="11">
        <f>SUMIF(Legacy_FC_VC!$J$35:$J$43,D284,Legacy_FC_VC!$K$35:$K$43)</f>
        <v>0.85</v>
      </c>
      <c r="M284" s="143">
        <f>IF(SUMPRODUCT(--(D284={"EG_COAL","EG_CCGT","EG_OCGT"}))&gt;0,J284,J284+K284*8760*L284)</f>
        <v>0</v>
      </c>
      <c r="N284" s="11">
        <f>IF(SUMPRODUCT(--(D284={"EG_COAL","EG_CCGT","EG_OCGT"}))&gt;0,K284,0)</f>
        <v>0</v>
      </c>
      <c r="O284" s="513" t="str">
        <f t="shared" si="21"/>
        <v>WREG_OCGT</v>
      </c>
      <c r="P284" s="3"/>
      <c r="Z284" s="150"/>
      <c r="AA284" s="150"/>
    </row>
    <row r="285" spans="2:27" x14ac:dyDescent="0.35">
      <c r="B285" s="514" t="s">
        <v>628</v>
      </c>
      <c r="C285" s="511" t="s">
        <v>809</v>
      </c>
      <c r="D285" s="3" t="s">
        <v>1615</v>
      </c>
      <c r="E285" s="3" t="str">
        <f>UT!B5</f>
        <v>2018-19</v>
      </c>
      <c r="F285" s="143">
        <f>SUMIFS(Capacity!$C$3:$C$263,Capacity!$A$3:$A$263,$C285,Capacity!$B$3:$B$263,$D285)</f>
        <v>127.13012996097777</v>
      </c>
      <c r="G285" s="143">
        <f>UT!D5</f>
        <v>252.02832937082493</v>
      </c>
      <c r="H285" s="11">
        <f>UT!E5</f>
        <v>3.0756305645214943</v>
      </c>
      <c r="I285" s="3"/>
      <c r="J285" s="143">
        <f>IF($E285="2018-19",G285,G285*(1+Assumptions_EG!$C$6)*(1+INDEX($H$47:$H$55,MATCH($D285,$G$47:$G$55,0))))</f>
        <v>252.02832937082493</v>
      </c>
      <c r="K285" s="11">
        <f>IF($E285="2018-19",H285,H285*(1+Assumptions_EG!$C$6)*(1+INDEX(Legacy_FC_VC!$I$47:$I$55,MATCH($D285,Assumptions_EG!$B$14:$B$22,0))))</f>
        <v>3.0756305645214943</v>
      </c>
      <c r="L285" s="11">
        <f>SUMIF(Legacy_FC_VC!$J$35:$J$43,D285,Legacy_FC_VC!$K$35:$K$43)</f>
        <v>0.65716939790195539</v>
      </c>
      <c r="M285" s="143">
        <f>IF(SUMPRODUCT(--(D285={"EG_COAL","EG_CCGT","EG_OCGT"}))&gt;0,J285,J285+K285*8760*L285)</f>
        <v>17957.830436968492</v>
      </c>
      <c r="N285" s="11">
        <f>IF(SUMPRODUCT(--(D285={"EG_COAL","EG_CCGT","EG_OCGT"}))&gt;0,K285,0)</f>
        <v>0</v>
      </c>
      <c r="O285" s="513" t="str">
        <f t="shared" si="21"/>
        <v>WREG_PHWR</v>
      </c>
      <c r="P285" s="3"/>
      <c r="Z285" s="150"/>
      <c r="AA285" s="150"/>
    </row>
    <row r="286" spans="2:27" x14ac:dyDescent="0.35">
      <c r="B286" s="514" t="s">
        <v>628</v>
      </c>
      <c r="C286" s="511" t="s">
        <v>809</v>
      </c>
      <c r="D286" s="3" t="s">
        <v>1604</v>
      </c>
      <c r="E286" s="3" t="str">
        <f>UT!B6</f>
        <v>2018-19</v>
      </c>
      <c r="F286" s="143">
        <f>SUMIFS(Capacity!$C$3:$C$263,Capacity!$A$3:$A$263,$C286,Capacity!$B$3:$B$263,$D286)</f>
        <v>105.74195540693312</v>
      </c>
      <c r="G286" s="143">
        <f>UT!D6</f>
        <v>8148.7775070741181</v>
      </c>
      <c r="H286" s="11">
        <f>UT!E6</f>
        <v>1.8562635063200803</v>
      </c>
      <c r="I286" s="3"/>
      <c r="J286" s="143">
        <f>IF($E286="2018-19",G286,G286*(1+Assumptions_EG!$C$6)*(1+INDEX($H$47:$H$55,MATCH($D286,$G$47:$G$55,0))))</f>
        <v>8148.7775070741181</v>
      </c>
      <c r="K286" s="11">
        <f>IF($E286="2018-19",H286,H286*(1+Assumptions_EG!$C$6)*(1+INDEX(Legacy_FC_VC!$I$47:$I$55,MATCH($D286,Assumptions_EG!$B$14:$B$22,0))))</f>
        <v>1.8562635063200803</v>
      </c>
      <c r="L286" s="11">
        <f>SUMIF(Legacy_FC_VC!$J$35:$J$43,D286,Legacy_FC_VC!$K$35:$K$43)</f>
        <v>0.32761940072174078</v>
      </c>
      <c r="M286" s="143">
        <f>IF(SUMPRODUCT(--(D286={"EG_COAL","EG_CCGT","EG_OCGT"}))&gt;0,J286,J286+K286*8760*L286)</f>
        <v>13476.153439768783</v>
      </c>
      <c r="N286" s="11">
        <f>IF(SUMPRODUCT(--(D286={"EG_COAL","EG_CCGT","EG_OCGT"}))&gt;0,K286,0)</f>
        <v>0</v>
      </c>
      <c r="O286" s="513" t="str">
        <f t="shared" si="21"/>
        <v>WREG_LH</v>
      </c>
      <c r="P286" s="3"/>
      <c r="Z286" s="150"/>
      <c r="AA286" s="150"/>
    </row>
    <row r="287" spans="2:27" x14ac:dyDescent="0.35">
      <c r="B287" s="514" t="s">
        <v>628</v>
      </c>
      <c r="C287" s="511" t="s">
        <v>809</v>
      </c>
      <c r="D287" s="3" t="s">
        <v>1603</v>
      </c>
      <c r="E287" s="3" t="str">
        <f>UT!B7</f>
        <v>2018-19</v>
      </c>
      <c r="F287" s="143">
        <f>SUMIFS(Capacity!$C$3:$C$263,Capacity!$A$3:$A$263,$C287,Capacity!$B$3:$B$263,$D287)</f>
        <v>0</v>
      </c>
      <c r="G287" s="143">
        <f>UT!D7</f>
        <v>0</v>
      </c>
      <c r="H287" s="11">
        <f>UT!E7</f>
        <v>0</v>
      </c>
      <c r="I287" s="3"/>
      <c r="J287" s="143">
        <f>IF($E287="2018-19",G287,G287*(1+Assumptions_EG!$C$6)*(1+INDEX($H$47:$H$55,MATCH($D287,$G$47:$G$55,0))))</f>
        <v>0</v>
      </c>
      <c r="K287" s="11">
        <f>IF($E287="2018-19",H287,H287*(1+Assumptions_EG!$C$6)*(1+INDEX(Legacy_FC_VC!$I$47:$I$55,MATCH($D287,Assumptions_EG!$B$14:$B$22,0))))</f>
        <v>0</v>
      </c>
      <c r="L287" s="11">
        <f>SUMIF(Legacy_FC_VC!$J$35:$J$43,D287,Legacy_FC_VC!$K$35:$K$43)</f>
        <v>0.20627943231757243</v>
      </c>
      <c r="M287" s="143">
        <f>IF(SUMPRODUCT(--(D287={"EG_COAL","EG_CCGT","EG_OCGT"}))&gt;0,J287,J287+K287*8760*L287)</f>
        <v>0</v>
      </c>
      <c r="N287" s="11">
        <f>IF(SUMPRODUCT(--(D287={"EG_COAL","EG_CCGT","EG_OCGT"}))&gt;0,K287,0)</f>
        <v>0</v>
      </c>
      <c r="O287" s="513" t="str">
        <f t="shared" si="21"/>
        <v>WREG_SH</v>
      </c>
      <c r="P287" s="3"/>
      <c r="Z287" s="150"/>
      <c r="AA287" s="150"/>
    </row>
    <row r="288" spans="2:27" x14ac:dyDescent="0.35">
      <c r="B288" s="514" t="s">
        <v>628</v>
      </c>
      <c r="C288" s="511" t="s">
        <v>809</v>
      </c>
      <c r="D288" s="3" t="s">
        <v>1605</v>
      </c>
      <c r="E288" s="3" t="str">
        <f>UT!B8</f>
        <v>2018-19</v>
      </c>
      <c r="F288" s="143">
        <f>SUMIFS(Capacity!$C$3:$C$263,Capacity!$A$3:$A$263,$C288,Capacity!$B$3:$B$263,$D288)</f>
        <v>0</v>
      </c>
      <c r="G288" s="143">
        <f>UT!D8</f>
        <v>0</v>
      </c>
      <c r="H288" s="11">
        <f>UT!E8</f>
        <v>0</v>
      </c>
      <c r="I288" s="3"/>
      <c r="J288" s="143">
        <f>IF($E288="2018-19",G288,G288*(1+Assumptions_EG!$C$6)*(1+INDEX($H$47:$H$55,MATCH($D288,$G$47:$G$55,0))))</f>
        <v>0</v>
      </c>
      <c r="K288" s="11">
        <f>IF($E288="2018-19",H288,H288*(1+Assumptions_EG!$C$6)*(1+INDEX(Legacy_FC_VC!$I$47:$I$55,MATCH($D288,Assumptions_EG!$B$14:$B$22,0))))</f>
        <v>0</v>
      </c>
      <c r="L288" s="11">
        <f>SUMIF(Legacy_FC_VC!$J$35:$J$43,D288,Legacy_FC_VC!$K$35:$K$43)</f>
        <v>0.2313655363440307</v>
      </c>
      <c r="M288" s="143">
        <f>IF(SUMPRODUCT(--(D288={"EG_COAL","EG_CCGT","EG_OCGT"}))&gt;0,J288,J288+K288*8760*L288)</f>
        <v>0</v>
      </c>
      <c r="N288" s="11">
        <f>IF(SUMPRODUCT(--(D288={"EG_COAL","EG_CCGT","EG_OCGT"}))&gt;0,K288,0)</f>
        <v>0</v>
      </c>
      <c r="O288" s="513" t="str">
        <f t="shared" si="21"/>
        <v>WREG_BIOMASS</v>
      </c>
      <c r="P288" s="3"/>
      <c r="Z288" s="150"/>
      <c r="AA288" s="150"/>
    </row>
    <row r="289" spans="2:27" x14ac:dyDescent="0.35">
      <c r="B289" s="514" t="s">
        <v>628</v>
      </c>
      <c r="C289" s="511" t="s">
        <v>809</v>
      </c>
      <c r="D289" s="3" t="s">
        <v>1636</v>
      </c>
      <c r="E289" s="3" t="str">
        <f>UT!B9</f>
        <v>2018-19</v>
      </c>
      <c r="F289" s="143">
        <f>SUMIFS(Capacity!$C$3:$C$263,Capacity!$A$3:$A$263,$C289,Capacity!$B$3:$B$263,$D289)</f>
        <v>57.78</v>
      </c>
      <c r="G289" s="143">
        <f>UT!D9</f>
        <v>0</v>
      </c>
      <c r="H289" s="11">
        <f>UT!E9</f>
        <v>6.9820255186758526</v>
      </c>
      <c r="I289" s="3"/>
      <c r="J289" s="143">
        <f>IF($E289="2018-19",G289,G289*(1+Assumptions_EG!$C$6)*(1+INDEX($H$47:$H$55,MATCH($D289,$G$47:$G$55,0))))</f>
        <v>0</v>
      </c>
      <c r="K289" s="11">
        <f>IF($E289="2018-19",H289,H289*(1+Assumptions_EG!$C$6)*(1+INDEX(Legacy_FC_VC!$I$47:$I$55,MATCH($D289,Assumptions_EG!$B$14:$B$22,0))))</f>
        <v>6.9820255186758526</v>
      </c>
      <c r="L289" s="11">
        <f>SUMIF(Legacy_FC_VC!$J$35:$J$43,D289,Legacy_FC_VC!$K$35:$K$43)</f>
        <v>0.1890889600524939</v>
      </c>
      <c r="M289" s="143">
        <f>IF(SUMPRODUCT(--(D289={"EG_COAL","EG_CCGT","EG_OCGT"}))&gt;0,J289,J289+K289*8760*L289)</f>
        <v>11565.161752824788</v>
      </c>
      <c r="N289" s="11">
        <f>IF(SUMPRODUCT(--(D289={"EG_COAL","EG_CCGT","EG_OCGT"}))&gt;0,K289,0)</f>
        <v>0</v>
      </c>
      <c r="O289" s="513" t="str">
        <f t="shared" si="21"/>
        <v>WREG_SOLARPV</v>
      </c>
      <c r="P289" s="3"/>
      <c r="Z289" s="150"/>
      <c r="AA289" s="150"/>
    </row>
    <row r="290" spans="2:27" ht="15" thickBot="1" x14ac:dyDescent="0.4">
      <c r="B290" s="515" t="s">
        <v>628</v>
      </c>
      <c r="C290" s="516" t="s">
        <v>809</v>
      </c>
      <c r="D290" s="517" t="s">
        <v>1606</v>
      </c>
      <c r="E290" s="517" t="str">
        <f>UT!B11</f>
        <v>2018-19</v>
      </c>
      <c r="F290" s="518">
        <f>SUMIFS(Capacity!$C$3:$C$263,Capacity!$A$3:$A$263,$C290,Capacity!$B$3:$B$263,$D290)</f>
        <v>0</v>
      </c>
      <c r="G290" s="518">
        <f>UT!D11</f>
        <v>0</v>
      </c>
      <c r="H290" s="519">
        <f>UT!E11</f>
        <v>0</v>
      </c>
      <c r="I290" s="517"/>
      <c r="J290" s="518">
        <f>IF($E290="2018-19",G290,G290*(1+Assumptions_EG!$C$6)*(1+INDEX($H$47:$H$55,MATCH($D290,$G$47:$G$55,0))))</f>
        <v>0</v>
      </c>
      <c r="K290" s="519">
        <f>IF($E290="2018-19",H290,H290*(1+Assumptions_EG!$C$6)*(1+INDEX(Legacy_FC_VC!$I$47:$I$55,MATCH($D290,Assumptions_EG!$B$14:$B$22,0))))</f>
        <v>0</v>
      </c>
      <c r="L290" s="519">
        <f>SUMIF(Legacy_FC_VC!$J$35:$J$43,D290,Legacy_FC_VC!$K$35:$K$43)</f>
        <v>0.19182955699540097</v>
      </c>
      <c r="M290" s="518">
        <f>IF(SUMPRODUCT(--(D290={"EG_COAL","EG_CCGT","EG_OCGT"}))&gt;0,J290,J290+K290*8760*L290)</f>
        <v>0</v>
      </c>
      <c r="N290" s="519">
        <f>IF(SUMPRODUCT(--(D290={"EG_COAL","EG_CCGT","EG_OCGT"}))&gt;0,K290,0)</f>
        <v>0</v>
      </c>
      <c r="O290" s="520" t="str">
        <f t="shared" si="21"/>
        <v>WREG_WIND</v>
      </c>
      <c r="P290" s="517"/>
      <c r="Z290" s="150"/>
      <c r="AA290" s="150"/>
    </row>
    <row r="291" spans="2:27" s="304" customFormat="1" x14ac:dyDescent="0.35">
      <c r="C291" s="380"/>
      <c r="F291" s="209"/>
      <c r="I291" s="209"/>
      <c r="J291" s="150"/>
      <c r="K291" s="150"/>
      <c r="M291" s="150"/>
      <c r="N291" s="150"/>
      <c r="O291" s="150"/>
      <c r="P291" s="150"/>
      <c r="Q291" s="150"/>
      <c r="R291" s="150"/>
      <c r="S291" s="209"/>
      <c r="Z291" s="150"/>
      <c r="AA291" s="150"/>
    </row>
    <row r="292" spans="2:27" s="304" customFormat="1" x14ac:dyDescent="0.35">
      <c r="C292" s="380"/>
      <c r="F292" s="209"/>
      <c r="G292" s="150"/>
      <c r="J292" s="209"/>
      <c r="N292" s="150"/>
      <c r="O292" s="150"/>
      <c r="P292" s="150"/>
      <c r="Q292" s="150"/>
      <c r="R292" s="150"/>
      <c r="S292" s="150"/>
      <c r="T292" s="209"/>
      <c r="Z292" s="150"/>
      <c r="AA292" s="150"/>
    </row>
    <row r="293" spans="2:27" x14ac:dyDescent="0.35">
      <c r="G293" s="150"/>
      <c r="I293" s="304"/>
      <c r="K293" s="150"/>
      <c r="L293" s="150"/>
    </row>
  </sheetData>
  <pageMargins left="0.7" right="0.7" top="0.75" bottom="0.75" header="0.3" footer="0.3"/>
  <pageSetup paperSize="9" orientation="portrait" r:id="rId1"/>
  <legacyDrawing r:id="rId2"/>
  <tableParts count="5">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workbookViewId="0"/>
  </sheetViews>
  <sheetFormatPr defaultColWidth="8.7265625" defaultRowHeight="14.5" x14ac:dyDescent="0.35"/>
  <cols>
    <col min="1" max="1" width="8.7265625" style="304"/>
    <col min="2" max="2" width="48.54296875" style="304" customWidth="1"/>
    <col min="3" max="3" width="19.54296875" style="304" bestFit="1" customWidth="1"/>
    <col min="4" max="4" width="12.7265625" style="304" customWidth="1"/>
    <col min="5" max="5" width="28.453125" style="304" customWidth="1"/>
    <col min="6" max="9" width="8.7265625" style="304"/>
    <col min="10" max="10" width="11.7265625" style="304" bestFit="1" customWidth="1"/>
    <col min="11" max="11" width="9.453125" style="304" bestFit="1" customWidth="1"/>
    <col min="12" max="12" width="11.7265625" style="304" bestFit="1" customWidth="1"/>
    <col min="13" max="20" width="8.7265625" style="304"/>
    <col min="21" max="21" width="12.54296875" style="304" customWidth="1"/>
    <col min="22" max="22" width="12" style="304" customWidth="1"/>
    <col min="23" max="16384" width="8.7265625" style="304"/>
  </cols>
  <sheetData>
    <row r="1" spans="1:5" x14ac:dyDescent="0.35">
      <c r="A1" s="29" t="s">
        <v>1990</v>
      </c>
    </row>
    <row r="2" spans="1:5" x14ac:dyDescent="0.35">
      <c r="B2" s="304" t="s">
        <v>1643</v>
      </c>
    </row>
    <row r="3" spans="1:5" x14ac:dyDescent="0.35">
      <c r="B3" s="304" t="s">
        <v>1644</v>
      </c>
    </row>
    <row r="4" spans="1:5" x14ac:dyDescent="0.35">
      <c r="B4" s="304" t="s">
        <v>2007</v>
      </c>
    </row>
    <row r="6" spans="1:5" ht="29" x14ac:dyDescent="0.35">
      <c r="B6" s="444" t="s">
        <v>1580</v>
      </c>
      <c r="C6" s="444" t="s">
        <v>157</v>
      </c>
      <c r="D6" s="445" t="s">
        <v>1451</v>
      </c>
      <c r="E6" s="444" t="s">
        <v>249</v>
      </c>
    </row>
    <row r="7" spans="1:5" x14ac:dyDescent="0.35">
      <c r="B7" s="3" t="s">
        <v>1579</v>
      </c>
      <c r="C7" s="3" t="s">
        <v>1612</v>
      </c>
      <c r="D7" s="442">
        <f>D17</f>
        <v>0.35737526128209052</v>
      </c>
      <c r="E7" s="3" t="s">
        <v>1578</v>
      </c>
    </row>
    <row r="8" spans="1:5" x14ac:dyDescent="0.35">
      <c r="B8" s="3" t="s">
        <v>1577</v>
      </c>
      <c r="C8" s="3" t="s">
        <v>1613</v>
      </c>
      <c r="D8" s="442">
        <f>D19</f>
        <v>0.40444272241720852</v>
      </c>
      <c r="E8" s="3" t="s">
        <v>1568</v>
      </c>
    </row>
    <row r="9" spans="1:5" x14ac:dyDescent="0.35">
      <c r="B9" s="3" t="s">
        <v>1576</v>
      </c>
      <c r="C9" s="3" t="s">
        <v>1612</v>
      </c>
      <c r="D9" s="442">
        <f>ConvEff!D18</f>
        <v>0.37384575124303709</v>
      </c>
      <c r="E9" s="3" t="s">
        <v>2014</v>
      </c>
    </row>
    <row r="10" spans="1:5" x14ac:dyDescent="0.35">
      <c r="B10" s="3" t="s">
        <v>1575</v>
      </c>
      <c r="C10" s="3" t="s">
        <v>1613</v>
      </c>
      <c r="D10" s="443">
        <f>D19</f>
        <v>0.40444272241720852</v>
      </c>
      <c r="E10" s="3" t="s">
        <v>1568</v>
      </c>
    </row>
    <row r="11" spans="1:5" x14ac:dyDescent="0.35">
      <c r="B11" s="3" t="s">
        <v>1574</v>
      </c>
      <c r="C11" s="3" t="s">
        <v>1614</v>
      </c>
      <c r="D11" s="443">
        <f>D20</f>
        <v>0.28070162831646173</v>
      </c>
      <c r="E11" s="3" t="s">
        <v>1568</v>
      </c>
    </row>
    <row r="12" spans="1:5" x14ac:dyDescent="0.35">
      <c r="B12" s="202" t="s">
        <v>1573</v>
      </c>
      <c r="C12" s="202" t="s">
        <v>1605</v>
      </c>
      <c r="D12" s="442">
        <f>D21</f>
        <v>0.23884589662749595</v>
      </c>
      <c r="E12" s="202" t="s">
        <v>1567</v>
      </c>
    </row>
    <row r="13" spans="1:5" ht="43.5" x14ac:dyDescent="0.35">
      <c r="B13" s="202" t="s">
        <v>683</v>
      </c>
      <c r="C13" s="7" t="s">
        <v>1641</v>
      </c>
      <c r="D13" s="31">
        <v>1</v>
      </c>
      <c r="E13" s="3" t="s">
        <v>1572</v>
      </c>
    </row>
    <row r="15" spans="1:5" x14ac:dyDescent="0.35">
      <c r="B15" s="563" t="s">
        <v>1566</v>
      </c>
      <c r="C15" s="563">
        <v>1.163E-3</v>
      </c>
      <c r="D15" s="563" t="s">
        <v>1456</v>
      </c>
    </row>
    <row r="16" spans="1:5" ht="29" x14ac:dyDescent="0.35">
      <c r="B16" s="42" t="s">
        <v>180</v>
      </c>
      <c r="C16" s="42" t="s">
        <v>1450</v>
      </c>
      <c r="D16" s="42" t="s">
        <v>1565</v>
      </c>
      <c r="E16" s="42" t="s">
        <v>249</v>
      </c>
    </row>
    <row r="17" spans="1:8" x14ac:dyDescent="0.35">
      <c r="B17" s="415" t="s">
        <v>2015</v>
      </c>
      <c r="C17" s="209">
        <f>E29/E31</f>
        <v>2406.0009771640998</v>
      </c>
      <c r="D17" s="262">
        <f>1/(C17*$C$15)</f>
        <v>0.35737526128209052</v>
      </c>
      <c r="E17" s="304" t="s">
        <v>1571</v>
      </c>
    </row>
    <row r="18" spans="1:8" x14ac:dyDescent="0.35">
      <c r="B18" s="417" t="s">
        <v>1581</v>
      </c>
      <c r="C18" s="440">
        <v>2300</v>
      </c>
      <c r="D18" s="262">
        <f>1/(C18*ConvEff!$C$15)</f>
        <v>0.37384575124303709</v>
      </c>
      <c r="E18" s="304" t="s">
        <v>1642</v>
      </c>
    </row>
    <row r="19" spans="1:8" x14ac:dyDescent="0.35">
      <c r="B19" s="415" t="s">
        <v>1570</v>
      </c>
      <c r="C19" s="441">
        <f>AVERAGE(2040, 2050, 2075, 2000, 2100, 1975, 2000, 2600, 2600, 1820)</f>
        <v>2126</v>
      </c>
      <c r="D19" s="262">
        <f>1/(C19*$C$15)</f>
        <v>0.40444272241720852</v>
      </c>
      <c r="E19" s="304" t="s">
        <v>1568</v>
      </c>
    </row>
    <row r="20" spans="1:8" x14ac:dyDescent="0.35">
      <c r="B20" s="415" t="s">
        <v>1569</v>
      </c>
      <c r="C20" s="441">
        <f>AVERAGE(2960, 3010, 3010, 3010, 3045, 2900, 2900, 3578, 3578, 2641)</f>
        <v>3063.2</v>
      </c>
      <c r="D20" s="262">
        <f>1/(C20*$C$15)</f>
        <v>0.28070162831646173</v>
      </c>
      <c r="E20" s="304" t="s">
        <v>1568</v>
      </c>
    </row>
    <row r="21" spans="1:8" x14ac:dyDescent="0.35">
      <c r="B21" s="417" t="s">
        <v>1098</v>
      </c>
      <c r="C21" s="440">
        <v>3600</v>
      </c>
      <c r="D21" s="262">
        <f>1/(C21*$C$15)</f>
        <v>0.23884589662749595</v>
      </c>
      <c r="E21" s="304" t="s">
        <v>1567</v>
      </c>
    </row>
    <row r="23" spans="1:8" x14ac:dyDescent="0.35">
      <c r="B23" s="417"/>
      <c r="C23" s="440"/>
    </row>
    <row r="24" spans="1:8" x14ac:dyDescent="0.35">
      <c r="A24" s="173"/>
      <c r="B24" s="228" t="s">
        <v>2022</v>
      </c>
      <c r="C24" s="228"/>
      <c r="D24" s="228"/>
      <c r="E24" s="228"/>
      <c r="F24" s="228"/>
      <c r="G24" s="413"/>
      <c r="H24" s="413"/>
    </row>
    <row r="25" spans="1:8" x14ac:dyDescent="0.35">
      <c r="A25" s="713"/>
      <c r="B25" s="715" t="s">
        <v>2021</v>
      </c>
      <c r="C25" s="714"/>
      <c r="D25" s="173"/>
      <c r="E25" s="714"/>
      <c r="F25" s="714"/>
      <c r="G25" s="439"/>
    </row>
    <row r="26" spans="1:8" x14ac:dyDescent="0.35">
      <c r="A26" s="716"/>
      <c r="B26" s="233" t="s">
        <v>1517</v>
      </c>
      <c r="C26" s="722" t="s">
        <v>690</v>
      </c>
      <c r="D26" s="722" t="s">
        <v>1044</v>
      </c>
      <c r="E26" s="722" t="s">
        <v>2020</v>
      </c>
      <c r="F26" s="717"/>
      <c r="G26" s="414"/>
    </row>
    <row r="27" spans="1:8" x14ac:dyDescent="0.35">
      <c r="A27" s="718"/>
      <c r="B27" s="16" t="s">
        <v>2016</v>
      </c>
      <c r="C27" s="723">
        <v>629</v>
      </c>
      <c r="D27" s="237">
        <v>37</v>
      </c>
      <c r="E27" s="237"/>
      <c r="F27" s="719"/>
      <c r="G27" s="418"/>
    </row>
    <row r="28" spans="1:8" x14ac:dyDescent="0.35">
      <c r="A28" s="718"/>
      <c r="B28" s="16" t="s">
        <v>2018</v>
      </c>
      <c r="C28" s="723">
        <v>3733</v>
      </c>
      <c r="D28" s="237">
        <v>2697</v>
      </c>
      <c r="E28" s="237"/>
      <c r="F28" s="719"/>
      <c r="G28" s="418"/>
    </row>
    <row r="29" spans="1:8" x14ac:dyDescent="0.35">
      <c r="A29" s="488"/>
      <c r="B29" s="724" t="s">
        <v>2017</v>
      </c>
      <c r="C29" s="219">
        <f>C28*C27</f>
        <v>2348057</v>
      </c>
      <c r="D29" s="219">
        <f>D28*D27</f>
        <v>99789</v>
      </c>
      <c r="E29" s="219">
        <f>C29+D29</f>
        <v>2447846</v>
      </c>
      <c r="F29" s="488"/>
      <c r="G29" s="418"/>
    </row>
    <row r="30" spans="1:8" x14ac:dyDescent="0.35">
      <c r="A30" s="718"/>
      <c r="B30" s="16" t="s">
        <v>1518</v>
      </c>
      <c r="C30" s="725">
        <v>0.64</v>
      </c>
      <c r="D30" s="726">
        <v>1.07</v>
      </c>
      <c r="E30" s="725"/>
      <c r="F30" s="720"/>
      <c r="G30" s="416"/>
    </row>
    <row r="31" spans="1:8" x14ac:dyDescent="0.35">
      <c r="A31" s="488"/>
      <c r="B31" s="724" t="s">
        <v>2019</v>
      </c>
      <c r="C31" s="362">
        <f>C27/C30</f>
        <v>982.8125</v>
      </c>
      <c r="D31" s="362">
        <f>D27/D30</f>
        <v>34.579439252336449</v>
      </c>
      <c r="E31" s="362">
        <f t="shared" ref="E31" si="0">C31+D31</f>
        <v>1017.3919392523364</v>
      </c>
      <c r="F31" s="488"/>
      <c r="G31" s="418"/>
    </row>
    <row r="32" spans="1:8" x14ac:dyDescent="0.35">
      <c r="A32" s="716"/>
      <c r="B32" s="721"/>
      <c r="C32" s="173"/>
      <c r="D32" s="173"/>
      <c r="E32" s="173"/>
      <c r="F32" s="173"/>
    </row>
    <row r="33" spans="1:6" x14ac:dyDescent="0.35">
      <c r="A33" s="173"/>
      <c r="B33" s="532"/>
      <c r="C33" s="173"/>
      <c r="D33" s="173"/>
      <c r="E33" s="173"/>
      <c r="F33" s="17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workbookViewId="0"/>
  </sheetViews>
  <sheetFormatPr defaultRowHeight="14.5" x14ac:dyDescent="0.35"/>
  <cols>
    <col min="1" max="1" width="10" bestFit="1" customWidth="1"/>
    <col min="2" max="2" width="16.7265625" bestFit="1" customWidth="1"/>
    <col min="3" max="3" width="16.453125" bestFit="1" customWidth="1"/>
    <col min="4" max="4" width="11.7265625" bestFit="1" customWidth="1"/>
    <col min="5" max="5" width="10.7265625" bestFit="1" customWidth="1"/>
    <col min="6" max="7" width="11.7265625" bestFit="1" customWidth="1"/>
  </cols>
  <sheetData>
    <row r="1" spans="1:14" x14ac:dyDescent="0.35">
      <c r="A1" s="484" t="s">
        <v>1619</v>
      </c>
      <c r="B1" s="485" t="s">
        <v>1561</v>
      </c>
      <c r="C1" s="485" t="s">
        <v>1563</v>
      </c>
      <c r="D1" s="484" t="s">
        <v>1473</v>
      </c>
      <c r="E1" s="485" t="s">
        <v>1474</v>
      </c>
      <c r="F1" s="484" t="s">
        <v>1475</v>
      </c>
      <c r="G1" s="485" t="s">
        <v>1476</v>
      </c>
      <c r="H1" s="484" t="s">
        <v>1477</v>
      </c>
      <c r="I1" s="485" t="s">
        <v>1478</v>
      </c>
      <c r="J1" s="484" t="s">
        <v>1479</v>
      </c>
      <c r="K1" s="485" t="s">
        <v>1480</v>
      </c>
      <c r="L1" s="484" t="s">
        <v>1481</v>
      </c>
      <c r="M1" s="485" t="s">
        <v>1482</v>
      </c>
      <c r="N1" s="484" t="s">
        <v>1483</v>
      </c>
    </row>
    <row r="2" spans="1:14" x14ac:dyDescent="0.35">
      <c r="A2" s="482">
        <v>2020</v>
      </c>
      <c r="B2" s="422" t="s">
        <v>1612</v>
      </c>
      <c r="C2" s="422" t="s">
        <v>1046</v>
      </c>
      <c r="D2" s="480">
        <f>INDEX(RegionalFCsRef[],MATCH(LegacyFC_Ref[[#This Row],[EnergyConvTech]],RegionalFCsRef[EnergyConvTech],0),MATCH(LegacyFC_Ref[[#This Row],[SubGeography1]],RegionalFCsRef[#Headers],0))</f>
        <v>9502.3418881715443</v>
      </c>
      <c r="E2" s="423">
        <f>D2*(1+INDEX(Assumptions_EG!$C$14:$C$22,MATCH(LegacyFC_Ref[[#This Row],[EnergyConvTech]],Assumptions_EG!$B$14:$B$22,0)))</f>
        <v>9518.7199420321649</v>
      </c>
      <c r="F2" s="423">
        <f>E2*(1+INDEX(Assumptions_EG!$C$14:$C$22,MATCH(LegacyFC_Ref[[#This Row],[EnergyConvTech]],Assumptions_EG!$B$14:$B$22,0)))</f>
        <v>9535.1262247916638</v>
      </c>
      <c r="G2" s="423">
        <f>F2*(1+INDEX(Assumptions_EG!$C$14:$C$22,MATCH(LegacyFC_Ref[[#This Row],[EnergyConvTech]],Assumptions_EG!$B$14:$B$22,0)))</f>
        <v>9551.560785104828</v>
      </c>
      <c r="H2" s="423">
        <f>G2*(1+INDEX(Assumptions_EG!$C$14:$C$22,MATCH(LegacyFC_Ref[[#This Row],[EnergyConvTech]],Assumptions_EG!$B$14:$B$22,0)))</f>
        <v>9568.0236717103053</v>
      </c>
      <c r="I2" s="423">
        <f>H2*(1+INDEX(Assumptions_EG!$C$14:$C$22,MATCH(LegacyFC_Ref[[#This Row],[EnergyConvTech]],Assumptions_EG!$B$14:$B$22,0)))</f>
        <v>9584.514933430748</v>
      </c>
      <c r="J2" s="423">
        <f>I2*(1+INDEX(Assumptions_EG!$C$14:$C$22,MATCH(LegacyFC_Ref[[#This Row],[EnergyConvTech]],Assumptions_EG!$B$14:$B$22,0)))</f>
        <v>9601.0346191729604</v>
      </c>
      <c r="K2" s="423">
        <f>J2*(1+INDEX(Assumptions_EG!$C$14:$C$22,MATCH(LegacyFC_Ref[[#This Row],[EnergyConvTech]],Assumptions_EG!$B$14:$B$22,0)))</f>
        <v>9617.5827779280389</v>
      </c>
      <c r="L2" s="423">
        <f>K2*(1+INDEX(Assumptions_EG!$C$14:$C$22,MATCH(LegacyFC_Ref[[#This Row],[EnergyConvTech]],Assumptions_EG!$B$14:$B$22,0)))</f>
        <v>9634.1594587715226</v>
      </c>
      <c r="M2" s="423">
        <f>L2*(1+INDEX(Assumptions_EG!$C$14:$C$22,MATCH(LegacyFC_Ref[[#This Row],[EnergyConvTech]],Assumptions_EG!$B$14:$B$22,0)))</f>
        <v>9650.7647108635338</v>
      </c>
      <c r="N2" s="423">
        <f>M2*(1+INDEX(Assumptions_EG!$C$14:$C$22,MATCH(LegacyFC_Ref[[#This Row],[EnergyConvTech]],Assumptions_EG!$B$14:$B$22,0)))</f>
        <v>9667.3985834489285</v>
      </c>
    </row>
    <row r="3" spans="1:14" x14ac:dyDescent="0.35">
      <c r="A3" s="482">
        <v>2020</v>
      </c>
      <c r="B3" s="482" t="s">
        <v>1613</v>
      </c>
      <c r="C3" s="422" t="s">
        <v>1046</v>
      </c>
      <c r="D3" s="480">
        <f>INDEX(RegionalFCsRef[],MATCH(LegacyFC_Ref[[#This Row],[EnergyConvTech]],RegionalFCsRef[EnergyConvTech],0),MATCH(LegacyFC_Ref[[#This Row],[SubGeography1]],RegionalFCsRef[#Headers],0))</f>
        <v>3071.533602770714</v>
      </c>
      <c r="E3" s="423">
        <f>D3*(1+INDEX(Assumptions_EG!$C$14:$C$22,MATCH(LegacyFC_Ref[[#This Row],[EnergyConvTech]],Assumptions_EG!$B$14:$B$22,0)))</f>
        <v>3076.8276390591268</v>
      </c>
      <c r="F3" s="423">
        <f>E3*(1+INDEX(Assumptions_EG!$C$14:$C$22,MATCH(LegacyFC_Ref[[#This Row],[EnergyConvTech]],Assumptions_EG!$B$14:$B$22,0)))</f>
        <v>3082.1308000467443</v>
      </c>
      <c r="G3" s="423">
        <f>F3*(1+INDEX(Assumptions_EG!$C$14:$C$22,MATCH(LegacyFC_Ref[[#This Row],[EnergyConvTech]],Assumptions_EG!$B$14:$B$22,0)))</f>
        <v>3087.443101460723</v>
      </c>
      <c r="H3" s="423">
        <f>G3*(1+INDEX(Assumptions_EG!$C$14:$C$22,MATCH(LegacyFC_Ref[[#This Row],[EnergyConvTech]],Assumptions_EG!$B$14:$B$22,0)))</f>
        <v>3092.7645590553261</v>
      </c>
      <c r="I3" s="423">
        <f>H3*(1+INDEX(Assumptions_EG!$C$14:$C$22,MATCH(LegacyFC_Ref[[#This Row],[EnergyConvTech]],Assumptions_EG!$B$14:$B$22,0)))</f>
        <v>3098.0951886119706</v>
      </c>
      <c r="J3" s="423">
        <f>I3*(1+INDEX(Assumptions_EG!$C$14:$C$22,MATCH(LegacyFC_Ref[[#This Row],[EnergyConvTech]],Assumptions_EG!$B$14:$B$22,0)))</f>
        <v>3103.4350059392737</v>
      </c>
      <c r="K3" s="423">
        <f>J3*(1+INDEX(Assumptions_EG!$C$14:$C$22,MATCH(LegacyFC_Ref[[#This Row],[EnergyConvTech]],Assumptions_EG!$B$14:$B$22,0)))</f>
        <v>3108.7840268731006</v>
      </c>
      <c r="L3" s="423">
        <f>K3*(1+INDEX(Assumptions_EG!$C$14:$C$22,MATCH(LegacyFC_Ref[[#This Row],[EnergyConvTech]],Assumptions_EG!$B$14:$B$22,0)))</f>
        <v>3114.1422672766103</v>
      </c>
      <c r="M3" s="423">
        <f>L3*(1+INDEX(Assumptions_EG!$C$14:$C$22,MATCH(LegacyFC_Ref[[#This Row],[EnergyConvTech]],Assumptions_EG!$B$14:$B$22,0)))</f>
        <v>3119.5097430403039</v>
      </c>
      <c r="N3" s="423">
        <f>M3*(1+INDEX(Assumptions_EG!$C$14:$C$22,MATCH(LegacyFC_Ref[[#This Row],[EnergyConvTech]],Assumptions_EG!$B$14:$B$22,0)))</f>
        <v>3124.8864700820704</v>
      </c>
    </row>
    <row r="4" spans="1:14" x14ac:dyDescent="0.35">
      <c r="A4" s="483">
        <v>2020</v>
      </c>
      <c r="B4" s="393" t="s">
        <v>1604</v>
      </c>
      <c r="C4" s="422" t="s">
        <v>1046</v>
      </c>
      <c r="D4" s="480">
        <f>INDEX(RegionalFCsRef[],MATCH(LegacyFC_Ref[[#This Row],[EnergyConvTech]],RegionalFCsRef[EnergyConvTech],0),MATCH(LegacyFC_Ref[[#This Row],[SubGeography1]],RegionalFCsRef[#Headers],0))</f>
        <v>11576.617455650492</v>
      </c>
      <c r="E4" s="423">
        <f>D4*(1+INDEX(Assumptions_EG!$C$14:$C$22,MATCH(LegacyFC_Ref[[#This Row],[EnergyConvTech]],Assumptions_EG!$B$14:$B$22,0)))</f>
        <v>11576.617455650492</v>
      </c>
      <c r="F4" s="423">
        <f>E4*(1+INDEX(Assumptions_EG!$C$14:$C$22,MATCH(LegacyFC_Ref[[#This Row],[EnergyConvTech]],Assumptions_EG!$B$14:$B$22,0)))</f>
        <v>11576.617455650492</v>
      </c>
      <c r="G4" s="423">
        <f>F4*(1+INDEX(Assumptions_EG!$C$14:$C$22,MATCH(LegacyFC_Ref[[#This Row],[EnergyConvTech]],Assumptions_EG!$B$14:$B$22,0)))</f>
        <v>11576.617455650492</v>
      </c>
      <c r="H4" s="423">
        <f>G4*(1+INDEX(Assumptions_EG!$C$14:$C$22,MATCH(LegacyFC_Ref[[#This Row],[EnergyConvTech]],Assumptions_EG!$B$14:$B$22,0)))</f>
        <v>11576.617455650492</v>
      </c>
      <c r="I4" s="423">
        <f>H4*(1+INDEX(Assumptions_EG!$C$14:$C$22,MATCH(LegacyFC_Ref[[#This Row],[EnergyConvTech]],Assumptions_EG!$B$14:$B$22,0)))</f>
        <v>11576.617455650492</v>
      </c>
      <c r="J4" s="423">
        <f>I4*(1+INDEX(Assumptions_EG!$C$14:$C$22,MATCH(LegacyFC_Ref[[#This Row],[EnergyConvTech]],Assumptions_EG!$B$14:$B$22,0)))</f>
        <v>11576.617455650492</v>
      </c>
      <c r="K4" s="423">
        <f>J4*(1+INDEX(Assumptions_EG!$C$14:$C$22,MATCH(LegacyFC_Ref[[#This Row],[EnergyConvTech]],Assumptions_EG!$B$14:$B$22,0)))</f>
        <v>11576.617455650492</v>
      </c>
      <c r="L4" s="423">
        <f>K4*(1+INDEX(Assumptions_EG!$C$14:$C$22,MATCH(LegacyFC_Ref[[#This Row],[EnergyConvTech]],Assumptions_EG!$B$14:$B$22,0)))</f>
        <v>11576.617455650492</v>
      </c>
      <c r="M4" s="423">
        <f>L4*(1+INDEX(Assumptions_EG!$C$14:$C$22,MATCH(LegacyFC_Ref[[#This Row],[EnergyConvTech]],Assumptions_EG!$B$14:$B$22,0)))</f>
        <v>11576.617455650492</v>
      </c>
      <c r="N4" s="423">
        <f>M4*(1+INDEX(Assumptions_EG!$C$14:$C$22,MATCH(LegacyFC_Ref[[#This Row],[EnergyConvTech]],Assumptions_EG!$B$14:$B$22,0)))</f>
        <v>11576.617455650492</v>
      </c>
    </row>
    <row r="5" spans="1:14" x14ac:dyDescent="0.35">
      <c r="A5" s="482">
        <v>2020</v>
      </c>
      <c r="B5" s="422" t="s">
        <v>1615</v>
      </c>
      <c r="C5" s="422" t="s">
        <v>1046</v>
      </c>
      <c r="D5" s="480">
        <f>INDEX(RegionalFCsRef[],MATCH(LegacyFC_Ref[[#This Row],[EnergyConvTech]],RegionalFCsRef[EnergyConvTech],0),MATCH(LegacyFC_Ref[[#This Row],[SubGeography1]],RegionalFCsRef[#Headers],0))</f>
        <v>18216.212472207873</v>
      </c>
      <c r="E5" s="423">
        <f>D5*(1+INDEX(Assumptions_EG!$C$14:$C$22,MATCH(LegacyFC_Ref[[#This Row],[EnergyConvTech]],Assumptions_EG!$B$14:$B$22,0)))</f>
        <v>18216.212472207873</v>
      </c>
      <c r="F5" s="423">
        <f>E5*(1+INDEX(Assumptions_EG!$C$14:$C$22,MATCH(LegacyFC_Ref[[#This Row],[EnergyConvTech]],Assumptions_EG!$B$14:$B$22,0)))</f>
        <v>18216.212472207873</v>
      </c>
      <c r="G5" s="423">
        <f>F5*(1+INDEX(Assumptions_EG!$C$14:$C$22,MATCH(LegacyFC_Ref[[#This Row],[EnergyConvTech]],Assumptions_EG!$B$14:$B$22,0)))</f>
        <v>18216.212472207873</v>
      </c>
      <c r="H5" s="423">
        <f>G5*(1+INDEX(Assumptions_EG!$C$14:$C$22,MATCH(LegacyFC_Ref[[#This Row],[EnergyConvTech]],Assumptions_EG!$B$14:$B$22,0)))</f>
        <v>18216.212472207873</v>
      </c>
      <c r="I5" s="423">
        <f>H5*(1+INDEX(Assumptions_EG!$C$14:$C$22,MATCH(LegacyFC_Ref[[#This Row],[EnergyConvTech]],Assumptions_EG!$B$14:$B$22,0)))</f>
        <v>18216.212472207873</v>
      </c>
      <c r="J5" s="423">
        <f>I5*(1+INDEX(Assumptions_EG!$C$14:$C$22,MATCH(LegacyFC_Ref[[#This Row],[EnergyConvTech]],Assumptions_EG!$B$14:$B$22,0)))</f>
        <v>18216.212472207873</v>
      </c>
      <c r="K5" s="423">
        <f>J5*(1+INDEX(Assumptions_EG!$C$14:$C$22,MATCH(LegacyFC_Ref[[#This Row],[EnergyConvTech]],Assumptions_EG!$B$14:$B$22,0)))</f>
        <v>18216.212472207873</v>
      </c>
      <c r="L5" s="423">
        <f>K5*(1+INDEX(Assumptions_EG!$C$14:$C$22,MATCH(LegacyFC_Ref[[#This Row],[EnergyConvTech]],Assumptions_EG!$B$14:$B$22,0)))</f>
        <v>18216.212472207873</v>
      </c>
      <c r="M5" s="423">
        <f>L5*(1+INDEX(Assumptions_EG!$C$14:$C$22,MATCH(LegacyFC_Ref[[#This Row],[EnergyConvTech]],Assumptions_EG!$B$14:$B$22,0)))</f>
        <v>18216.212472207873</v>
      </c>
      <c r="N5" s="423">
        <f>M5*(1+INDEX(Assumptions_EG!$C$14:$C$22,MATCH(LegacyFC_Ref[[#This Row],[EnergyConvTech]],Assumptions_EG!$B$14:$B$22,0)))</f>
        <v>18216.212472207873</v>
      </c>
    </row>
    <row r="6" spans="1:14" x14ac:dyDescent="0.35">
      <c r="A6" s="483">
        <v>2020</v>
      </c>
      <c r="B6" s="393" t="s">
        <v>1603</v>
      </c>
      <c r="C6" s="422" t="s">
        <v>1046</v>
      </c>
      <c r="D6" s="480">
        <f>INDEX(RegionalFCsRef[],MATCH(LegacyFC_Ref[[#This Row],[EnergyConvTech]],RegionalFCsRef[EnergyConvTech],0),MATCH(LegacyFC_Ref[[#This Row],[SubGeography1]],RegionalFCsRef[#Headers],0))</f>
        <v>4783.4825046733322</v>
      </c>
      <c r="E6" s="423">
        <f>D6*(1+INDEX(Assumptions_EG!$C$14:$C$22,MATCH(LegacyFC_Ref[[#This Row],[EnergyConvTech]],Assumptions_EG!$B$14:$B$22,0)))</f>
        <v>4783.4825046733322</v>
      </c>
      <c r="F6" s="423">
        <f>E6*(1+INDEX(Assumptions_EG!$C$14:$C$22,MATCH(LegacyFC_Ref[[#This Row],[EnergyConvTech]],Assumptions_EG!$B$14:$B$22,0)))</f>
        <v>4783.4825046733322</v>
      </c>
      <c r="G6" s="423">
        <f>F6*(1+INDEX(Assumptions_EG!$C$14:$C$22,MATCH(LegacyFC_Ref[[#This Row],[EnergyConvTech]],Assumptions_EG!$B$14:$B$22,0)))</f>
        <v>4783.4825046733322</v>
      </c>
      <c r="H6" s="423">
        <f>G6*(1+INDEX(Assumptions_EG!$C$14:$C$22,MATCH(LegacyFC_Ref[[#This Row],[EnergyConvTech]],Assumptions_EG!$B$14:$B$22,0)))</f>
        <v>4783.4825046733322</v>
      </c>
      <c r="I6" s="423">
        <f>H6*(1+INDEX(Assumptions_EG!$C$14:$C$22,MATCH(LegacyFC_Ref[[#This Row],[EnergyConvTech]],Assumptions_EG!$B$14:$B$22,0)))</f>
        <v>4783.4825046733322</v>
      </c>
      <c r="J6" s="423">
        <f>I6*(1+INDEX(Assumptions_EG!$C$14:$C$22,MATCH(LegacyFC_Ref[[#This Row],[EnergyConvTech]],Assumptions_EG!$B$14:$B$22,0)))</f>
        <v>4783.4825046733322</v>
      </c>
      <c r="K6" s="423">
        <f>J6*(1+INDEX(Assumptions_EG!$C$14:$C$22,MATCH(LegacyFC_Ref[[#This Row],[EnergyConvTech]],Assumptions_EG!$B$14:$B$22,0)))</f>
        <v>4783.4825046733322</v>
      </c>
      <c r="L6" s="423">
        <f>K6*(1+INDEX(Assumptions_EG!$C$14:$C$22,MATCH(LegacyFC_Ref[[#This Row],[EnergyConvTech]],Assumptions_EG!$B$14:$B$22,0)))</f>
        <v>4783.4825046733322</v>
      </c>
      <c r="M6" s="423">
        <f>L6*(1+INDEX(Assumptions_EG!$C$14:$C$22,MATCH(LegacyFC_Ref[[#This Row],[EnergyConvTech]],Assumptions_EG!$B$14:$B$22,0)))</f>
        <v>4783.4825046733322</v>
      </c>
      <c r="N6" s="423">
        <f>M6*(1+INDEX(Assumptions_EG!$C$14:$C$22,MATCH(LegacyFC_Ref[[#This Row],[EnergyConvTech]],Assumptions_EG!$B$14:$B$22,0)))</f>
        <v>4783.4825046733322</v>
      </c>
    </row>
    <row r="7" spans="1:14" x14ac:dyDescent="0.35">
      <c r="A7" s="482">
        <v>2020</v>
      </c>
      <c r="B7" s="422" t="s">
        <v>1605</v>
      </c>
      <c r="C7" s="422" t="s">
        <v>1046</v>
      </c>
      <c r="D7" s="480">
        <f>INDEX(RegionalFCsRef[],MATCH(LegacyFC_Ref[[#This Row],[EnergyConvTech]],RegionalFCsRef[EnergyConvTech],0),MATCH(LegacyFC_Ref[[#This Row],[SubGeography1]],RegionalFCsRef[#Headers],0))</f>
        <v>12023.270348024485</v>
      </c>
      <c r="E7" s="423">
        <f>D7*(1+INDEX(Assumptions_EG!$C$14:$C$22,MATCH(LegacyFC_Ref[[#This Row],[EnergyConvTech]],Assumptions_EG!$B$14:$B$22,0)))</f>
        <v>12023.270348024485</v>
      </c>
      <c r="F7" s="423">
        <f>E7*(1+INDEX(Assumptions_EG!$C$14:$C$22,MATCH(LegacyFC_Ref[[#This Row],[EnergyConvTech]],Assumptions_EG!$B$14:$B$22,0)))</f>
        <v>12023.270348024485</v>
      </c>
      <c r="G7" s="423">
        <f>F7*(1+INDEX(Assumptions_EG!$C$14:$C$22,MATCH(LegacyFC_Ref[[#This Row],[EnergyConvTech]],Assumptions_EG!$B$14:$B$22,0)))</f>
        <v>12023.270348024485</v>
      </c>
      <c r="H7" s="423">
        <f>G7*(1+INDEX(Assumptions_EG!$C$14:$C$22,MATCH(LegacyFC_Ref[[#This Row],[EnergyConvTech]],Assumptions_EG!$B$14:$B$22,0)))</f>
        <v>12023.270348024485</v>
      </c>
      <c r="I7" s="423">
        <f>H7*(1+INDEX(Assumptions_EG!$C$14:$C$22,MATCH(LegacyFC_Ref[[#This Row],[EnergyConvTech]],Assumptions_EG!$B$14:$B$22,0)))</f>
        <v>12023.270348024485</v>
      </c>
      <c r="J7" s="423">
        <f>I7*(1+INDEX(Assumptions_EG!$C$14:$C$22,MATCH(LegacyFC_Ref[[#This Row],[EnergyConvTech]],Assumptions_EG!$B$14:$B$22,0)))</f>
        <v>12023.270348024485</v>
      </c>
      <c r="K7" s="423">
        <f>J7*(1+INDEX(Assumptions_EG!$C$14:$C$22,MATCH(LegacyFC_Ref[[#This Row],[EnergyConvTech]],Assumptions_EG!$B$14:$B$22,0)))</f>
        <v>12023.270348024485</v>
      </c>
      <c r="L7" s="423">
        <f>K7*(1+INDEX(Assumptions_EG!$C$14:$C$22,MATCH(LegacyFC_Ref[[#This Row],[EnergyConvTech]],Assumptions_EG!$B$14:$B$22,0)))</f>
        <v>12023.270348024485</v>
      </c>
      <c r="M7" s="423">
        <f>L7*(1+INDEX(Assumptions_EG!$C$14:$C$22,MATCH(LegacyFC_Ref[[#This Row],[EnergyConvTech]],Assumptions_EG!$B$14:$B$22,0)))</f>
        <v>12023.270348024485</v>
      </c>
      <c r="N7" s="423">
        <f>M7*(1+INDEX(Assumptions_EG!$C$14:$C$22,MATCH(LegacyFC_Ref[[#This Row],[EnergyConvTech]],Assumptions_EG!$B$14:$B$22,0)))</f>
        <v>12023.270348024485</v>
      </c>
    </row>
    <row r="8" spans="1:14" x14ac:dyDescent="0.35">
      <c r="A8" s="483">
        <v>2020</v>
      </c>
      <c r="B8" s="393" t="s">
        <v>1636</v>
      </c>
      <c r="C8" s="422" t="s">
        <v>1046</v>
      </c>
      <c r="D8" s="480">
        <f>INDEX(RegionalFCsRef[],MATCH(LegacyFC_Ref[[#This Row],[EnergyConvTech]],RegionalFCsRef[EnergyConvTech],0),MATCH(LegacyFC_Ref[[#This Row],[SubGeography1]],RegionalFCsRef[#Headers],0))</f>
        <v>8940.0285185740213</v>
      </c>
      <c r="E8" s="423">
        <f>D8*(1+INDEX(Assumptions_EG!$C$14:$C$22,MATCH(LegacyFC_Ref[[#This Row],[EnergyConvTech]],Assumptions_EG!$B$14:$B$22,0)))</f>
        <v>8582.4273778310599</v>
      </c>
      <c r="F8" s="423">
        <f>E8*(1+INDEX(Assumptions_EG!$C$14:$C$22,MATCH(LegacyFC_Ref[[#This Row],[EnergyConvTech]],Assumptions_EG!$B$14:$B$22,0)))</f>
        <v>8239.130282717817</v>
      </c>
      <c r="G8" s="423">
        <f>F8*(1+INDEX(Assumptions_EG!$C$14:$C$22,MATCH(LegacyFC_Ref[[#This Row],[EnergyConvTech]],Assumptions_EG!$B$14:$B$22,0)))</f>
        <v>7909.5650714091043</v>
      </c>
      <c r="H8" s="423">
        <f>G8*(1+INDEX(Assumptions_EG!$C$14:$C$22,MATCH(LegacyFC_Ref[[#This Row],[EnergyConvTech]],Assumptions_EG!$B$14:$B$22,0)))</f>
        <v>7593.1824685527399</v>
      </c>
      <c r="I8" s="423">
        <f>H8*(1+INDEX(Assumptions_EG!$C$14:$C$22,MATCH(LegacyFC_Ref[[#This Row],[EnergyConvTech]],Assumptions_EG!$B$14:$B$22,0)))</f>
        <v>7289.4551698106297</v>
      </c>
      <c r="J8" s="423">
        <f>I8*(1+INDEX(Assumptions_EG!$C$14:$C$22,MATCH(LegacyFC_Ref[[#This Row],[EnergyConvTech]],Assumptions_EG!$B$14:$B$22,0)))</f>
        <v>6997.8769630182042</v>
      </c>
      <c r="K8" s="423">
        <f>J8*(1+INDEX(Assumptions_EG!$C$14:$C$22,MATCH(LegacyFC_Ref[[#This Row],[EnergyConvTech]],Assumptions_EG!$B$14:$B$22,0)))</f>
        <v>6717.9618844974757</v>
      </c>
      <c r="L8" s="423">
        <f>K8*(1+INDEX(Assumptions_EG!$C$14:$C$22,MATCH(LegacyFC_Ref[[#This Row],[EnergyConvTech]],Assumptions_EG!$B$14:$B$22,0)))</f>
        <v>6449.2434091175764</v>
      </c>
      <c r="M8" s="423">
        <f>L8*(1+INDEX(Assumptions_EG!$C$14:$C$22,MATCH(LegacyFC_Ref[[#This Row],[EnergyConvTech]],Assumptions_EG!$B$14:$B$22,0)))</f>
        <v>6191.2736727528736</v>
      </c>
      <c r="N8" s="423">
        <f>M8*(1+INDEX(Assumptions_EG!$C$14:$C$22,MATCH(LegacyFC_Ref[[#This Row],[EnergyConvTech]],Assumptions_EG!$B$14:$B$22,0)))</f>
        <v>5943.6227258427589</v>
      </c>
    </row>
    <row r="9" spans="1:14" x14ac:dyDescent="0.35">
      <c r="A9" s="486">
        <v>2020</v>
      </c>
      <c r="B9" s="428" t="s">
        <v>1606</v>
      </c>
      <c r="C9" s="422" t="s">
        <v>1046</v>
      </c>
      <c r="D9" s="480">
        <f>INDEX(RegionalFCsRef[],MATCH(LegacyFC_Ref[[#This Row],[EnergyConvTech]],RegionalFCsRef[EnergyConvTech],0),MATCH(LegacyFC_Ref[[#This Row],[SubGeography1]],RegionalFCsRef[#Headers],0))</f>
        <v>8177.3076994117473</v>
      </c>
      <c r="E9" s="423">
        <f>D9*(1+INDEX(Assumptions_EG!$C$14:$C$22,MATCH(LegacyFC_Ref[[#This Row],[EnergyConvTech]],Assumptions_EG!$B$14:$B$22,0)))</f>
        <v>7850.2153914352775</v>
      </c>
      <c r="F9" s="423">
        <f>E9*(1+INDEX(Assumptions_EG!$C$14:$C$22,MATCH(LegacyFC_Ref[[#This Row],[EnergyConvTech]],Assumptions_EG!$B$14:$B$22,0)))</f>
        <v>7536.2067757778659</v>
      </c>
      <c r="G9" s="423">
        <f>F9*(1+INDEX(Assumptions_EG!$C$14:$C$22,MATCH(LegacyFC_Ref[[#This Row],[EnergyConvTech]],Assumptions_EG!$B$14:$B$22,0)))</f>
        <v>7234.758504746751</v>
      </c>
      <c r="H9" s="423">
        <f>G9*(1+INDEX(Assumptions_EG!$C$14:$C$22,MATCH(LegacyFC_Ref[[#This Row],[EnergyConvTech]],Assumptions_EG!$B$14:$B$22,0)))</f>
        <v>6945.3681645568804</v>
      </c>
      <c r="I9" s="423">
        <f>H9*(1+INDEX(Assumptions_EG!$C$14:$C$22,MATCH(LegacyFC_Ref[[#This Row],[EnergyConvTech]],Assumptions_EG!$B$14:$B$22,0)))</f>
        <v>6667.553437974605</v>
      </c>
      <c r="J9" s="423">
        <f>I9*(1+INDEX(Assumptions_EG!$C$14:$C$22,MATCH(LegacyFC_Ref[[#This Row],[EnergyConvTech]],Assumptions_EG!$B$14:$B$22,0)))</f>
        <v>6400.8513004556207</v>
      </c>
      <c r="K9" s="423">
        <f>J9*(1+INDEX(Assumptions_EG!$C$14:$C$22,MATCH(LegacyFC_Ref[[#This Row],[EnergyConvTech]],Assumptions_EG!$B$14:$B$22,0)))</f>
        <v>6144.8172484373954</v>
      </c>
      <c r="L9" s="423">
        <f>K9*(1+INDEX(Assumptions_EG!$C$14:$C$22,MATCH(LegacyFC_Ref[[#This Row],[EnergyConvTech]],Assumptions_EG!$B$14:$B$22,0)))</f>
        <v>5899.0245584998993</v>
      </c>
      <c r="M9" s="423">
        <f>L9*(1+INDEX(Assumptions_EG!$C$14:$C$22,MATCH(LegacyFC_Ref[[#This Row],[EnergyConvTech]],Assumptions_EG!$B$14:$B$22,0)))</f>
        <v>5663.0635761599033</v>
      </c>
      <c r="N9" s="423">
        <f>M9*(1+INDEX(Assumptions_EG!$C$14:$C$22,MATCH(LegacyFC_Ref[[#This Row],[EnergyConvTech]],Assumptions_EG!$B$14:$B$22,0)))</f>
        <v>5436.5410331135072</v>
      </c>
    </row>
    <row r="10" spans="1:14" x14ac:dyDescent="0.35">
      <c r="A10" s="482">
        <v>2020</v>
      </c>
      <c r="B10" s="422" t="s">
        <v>1612</v>
      </c>
      <c r="C10" s="422" t="s">
        <v>644</v>
      </c>
      <c r="D10" s="480">
        <f>INDEX(RegionalFCsRef[],MATCH(LegacyFC_Ref[[#This Row],[EnergyConvTech]],RegionalFCsRef[EnergyConvTech],0),MATCH(LegacyFC_Ref[[#This Row],[SubGeography1]],RegionalFCsRef[#Headers],0))</f>
        <v>7765.2625235446321</v>
      </c>
      <c r="E10" s="423">
        <f>D10*(1+INDEX(Assumptions_EG!$C$14:$C$22,MATCH(LegacyFC_Ref[[#This Row],[EnergyConvTech]],Assumptions_EG!$B$14:$B$22,0)))</f>
        <v>7778.6465807959066</v>
      </c>
      <c r="F10" s="423">
        <f>E10*(1+INDEX(Assumptions_EG!$C$14:$C$22,MATCH(LegacyFC_Ref[[#This Row],[EnergyConvTech]],Assumptions_EG!$B$14:$B$22,0)))</f>
        <v>7792.0537065510425</v>
      </c>
      <c r="G10" s="423">
        <f>F10*(1+INDEX(Assumptions_EG!$C$14:$C$22,MATCH(LegacyFC_Ref[[#This Row],[EnergyConvTech]],Assumptions_EG!$B$14:$B$22,0)))</f>
        <v>7805.4839405704688</v>
      </c>
      <c r="H10" s="423">
        <f>G10*(1+INDEX(Assumptions_EG!$C$14:$C$22,MATCH(LegacyFC_Ref[[#This Row],[EnergyConvTech]],Assumptions_EG!$B$14:$B$22,0)))</f>
        <v>7818.9373226831458</v>
      </c>
      <c r="I10" s="423">
        <f>H10*(1+INDEX(Assumptions_EG!$C$14:$C$22,MATCH(LegacyFC_Ref[[#This Row],[EnergyConvTech]],Assumptions_EG!$B$14:$B$22,0)))</f>
        <v>7832.4138927866834</v>
      </c>
      <c r="J10" s="423">
        <f>I10*(1+INDEX(Assumptions_EG!$C$14:$C$22,MATCH(LegacyFC_Ref[[#This Row],[EnergyConvTech]],Assumptions_EG!$B$14:$B$22,0)))</f>
        <v>7845.9136908474557</v>
      </c>
      <c r="K10" s="423">
        <f>J10*(1+INDEX(Assumptions_EG!$C$14:$C$22,MATCH(LegacyFC_Ref[[#This Row],[EnergyConvTech]],Assumptions_EG!$B$14:$B$22,0)))</f>
        <v>7859.4367569007236</v>
      </c>
      <c r="L10" s="423">
        <f>K10*(1+INDEX(Assumptions_EG!$C$14:$C$22,MATCH(LegacyFC_Ref[[#This Row],[EnergyConvTech]],Assumptions_EG!$B$14:$B$22,0)))</f>
        <v>7872.9831310507525</v>
      </c>
      <c r="M10" s="423">
        <f>L10*(1+INDEX(Assumptions_EG!$C$14:$C$22,MATCH(LegacyFC_Ref[[#This Row],[EnergyConvTech]],Assumptions_EG!$B$14:$B$22,0)))</f>
        <v>7886.5528534709292</v>
      </c>
      <c r="N10" s="423">
        <f>M10*(1+INDEX(Assumptions_EG!$C$14:$C$22,MATCH(LegacyFC_Ref[[#This Row],[EnergyConvTech]],Assumptions_EG!$B$14:$B$22,0)))</f>
        <v>7900.1459644038841</v>
      </c>
    </row>
    <row r="11" spans="1:14" x14ac:dyDescent="0.35">
      <c r="A11" s="422">
        <v>2020</v>
      </c>
      <c r="B11" s="422" t="s">
        <v>1613</v>
      </c>
      <c r="C11" s="422" t="s">
        <v>644</v>
      </c>
      <c r="D11" s="480">
        <f>INDEX(RegionalFCsRef[],MATCH(LegacyFC_Ref[[#This Row],[EnergyConvTech]],RegionalFCsRef[EnergyConvTech],0),MATCH(LegacyFC_Ref[[#This Row],[SubGeography1]],RegionalFCsRef[#Headers],0))</f>
        <v>2472.51887629576</v>
      </c>
      <c r="E11" s="423">
        <f>D11*(1+INDEX(Assumptions_EG!$C$14:$C$22,MATCH(LegacyFC_Ref[[#This Row],[EnergyConvTech]],Assumptions_EG!$B$14:$B$22,0)))</f>
        <v>2476.7804623136008</v>
      </c>
      <c r="F11" s="423">
        <f>E11*(1+INDEX(Assumptions_EG!$C$14:$C$22,MATCH(LegacyFC_Ref[[#This Row],[EnergyConvTech]],Assumptions_EG!$B$14:$B$22,0)))</f>
        <v>2481.0493935192017</v>
      </c>
      <c r="G11" s="423">
        <f>F11*(1+INDEX(Assumptions_EG!$C$14:$C$22,MATCH(LegacyFC_Ref[[#This Row],[EnergyConvTech]],Assumptions_EG!$B$14:$B$22,0)))</f>
        <v>2485.3256825725875</v>
      </c>
      <c r="H11" s="423">
        <f>G11*(1+INDEX(Assumptions_EG!$C$14:$C$22,MATCH(LegacyFC_Ref[[#This Row],[EnergyConvTech]],Assumptions_EG!$B$14:$B$22,0)))</f>
        <v>2489.6093421556034</v>
      </c>
      <c r="I11" s="423">
        <f>H11*(1+INDEX(Assumptions_EG!$C$14:$C$22,MATCH(LegacyFC_Ref[[#This Row],[EnergyConvTech]],Assumptions_EG!$B$14:$B$22,0)))</f>
        <v>2493.900384971952</v>
      </c>
      <c r="J11" s="423">
        <f>I11*(1+INDEX(Assumptions_EG!$C$14:$C$22,MATCH(LegacyFC_Ref[[#This Row],[EnergyConvTech]],Assumptions_EG!$B$14:$B$22,0)))</f>
        <v>2498.1988237472328</v>
      </c>
      <c r="K11" s="423">
        <f>J11*(1+INDEX(Assumptions_EG!$C$14:$C$22,MATCH(LegacyFC_Ref[[#This Row],[EnergyConvTech]],Assumptions_EG!$B$14:$B$22,0)))</f>
        <v>2502.5046712289786</v>
      </c>
      <c r="L11" s="423">
        <f>K11*(1+INDEX(Assumptions_EG!$C$14:$C$22,MATCH(LegacyFC_Ref[[#This Row],[EnergyConvTech]],Assumptions_EG!$B$14:$B$22,0)))</f>
        <v>2506.8179401866932</v>
      </c>
      <c r="M11" s="423">
        <f>L11*(1+INDEX(Assumptions_EG!$C$14:$C$22,MATCH(LegacyFC_Ref[[#This Row],[EnergyConvTech]],Assumptions_EG!$B$14:$B$22,0)))</f>
        <v>2511.1386434118904</v>
      </c>
      <c r="N11" s="423">
        <f>M11*(1+INDEX(Assumptions_EG!$C$14:$C$22,MATCH(LegacyFC_Ref[[#This Row],[EnergyConvTech]],Assumptions_EG!$B$14:$B$22,0)))</f>
        <v>2515.4667937181302</v>
      </c>
    </row>
    <row r="12" spans="1:14" x14ac:dyDescent="0.35">
      <c r="A12" s="483">
        <v>2020</v>
      </c>
      <c r="B12" s="393" t="s">
        <v>1604</v>
      </c>
      <c r="C12" s="422" t="s">
        <v>644</v>
      </c>
      <c r="D12" s="480">
        <f>INDEX(RegionalFCsRef[],MATCH(LegacyFC_Ref[[#This Row],[EnergyConvTech]],RegionalFCsRef[EnergyConvTech],0),MATCH(LegacyFC_Ref[[#This Row],[SubGeography1]],RegionalFCsRef[#Headers],0))</f>
        <v>8143.6762367750935</v>
      </c>
      <c r="E12" s="423">
        <f>D12*(1+INDEX(Assumptions_EG!$C$14:$C$22,MATCH(LegacyFC_Ref[[#This Row],[EnergyConvTech]],Assumptions_EG!$B$14:$B$22,0)))</f>
        <v>8143.6762367750935</v>
      </c>
      <c r="F12" s="423">
        <f>E12*(1+INDEX(Assumptions_EG!$C$14:$C$22,MATCH(LegacyFC_Ref[[#This Row],[EnergyConvTech]],Assumptions_EG!$B$14:$B$22,0)))</f>
        <v>8143.6762367750935</v>
      </c>
      <c r="G12" s="423">
        <f>F12*(1+INDEX(Assumptions_EG!$C$14:$C$22,MATCH(LegacyFC_Ref[[#This Row],[EnergyConvTech]],Assumptions_EG!$B$14:$B$22,0)))</f>
        <v>8143.6762367750935</v>
      </c>
      <c r="H12" s="423">
        <f>G12*(1+INDEX(Assumptions_EG!$C$14:$C$22,MATCH(LegacyFC_Ref[[#This Row],[EnergyConvTech]],Assumptions_EG!$B$14:$B$22,0)))</f>
        <v>8143.6762367750935</v>
      </c>
      <c r="I12" s="423">
        <f>H12*(1+INDEX(Assumptions_EG!$C$14:$C$22,MATCH(LegacyFC_Ref[[#This Row],[EnergyConvTech]],Assumptions_EG!$B$14:$B$22,0)))</f>
        <v>8143.6762367750935</v>
      </c>
      <c r="J12" s="423">
        <f>I12*(1+INDEX(Assumptions_EG!$C$14:$C$22,MATCH(LegacyFC_Ref[[#This Row],[EnergyConvTech]],Assumptions_EG!$B$14:$B$22,0)))</f>
        <v>8143.6762367750935</v>
      </c>
      <c r="K12" s="423">
        <f>J12*(1+INDEX(Assumptions_EG!$C$14:$C$22,MATCH(LegacyFC_Ref[[#This Row],[EnergyConvTech]],Assumptions_EG!$B$14:$B$22,0)))</f>
        <v>8143.6762367750935</v>
      </c>
      <c r="L12" s="423">
        <f>K12*(1+INDEX(Assumptions_EG!$C$14:$C$22,MATCH(LegacyFC_Ref[[#This Row],[EnergyConvTech]],Assumptions_EG!$B$14:$B$22,0)))</f>
        <v>8143.6762367750935</v>
      </c>
      <c r="M12" s="423">
        <f>L12*(1+INDEX(Assumptions_EG!$C$14:$C$22,MATCH(LegacyFC_Ref[[#This Row],[EnergyConvTech]],Assumptions_EG!$B$14:$B$22,0)))</f>
        <v>8143.6762367750935</v>
      </c>
      <c r="N12" s="423">
        <f>M12*(1+INDEX(Assumptions_EG!$C$14:$C$22,MATCH(LegacyFC_Ref[[#This Row],[EnergyConvTech]],Assumptions_EG!$B$14:$B$22,0)))</f>
        <v>8143.6762367750935</v>
      </c>
    </row>
    <row r="13" spans="1:14" x14ac:dyDescent="0.35">
      <c r="A13" s="482">
        <v>2020</v>
      </c>
      <c r="B13" s="422" t="s">
        <v>1615</v>
      </c>
      <c r="C13" s="422" t="s">
        <v>644</v>
      </c>
      <c r="D13" s="480" t="e">
        <f>INDEX(RegionalFCsRef[],MATCH(LegacyFC_Ref[[#This Row],[EnergyConvTech]],RegionalFCsRef[EnergyConvTech],0),MATCH(LegacyFC_Ref[[#This Row],[SubGeography1]],RegionalFCsRef[#Headers],0))</f>
        <v>#DIV/0!</v>
      </c>
      <c r="E13" s="423" t="e">
        <f>D13*(1+INDEX(Assumptions_EG!$C$14:$C$22,MATCH(LegacyFC_Ref[[#This Row],[EnergyConvTech]],Assumptions_EG!$B$14:$B$22,0)))</f>
        <v>#DIV/0!</v>
      </c>
      <c r="F13" s="423" t="e">
        <f>E13*(1+INDEX(Assumptions_EG!$C$14:$C$22,MATCH(LegacyFC_Ref[[#This Row],[EnergyConvTech]],Assumptions_EG!$B$14:$B$22,0)))</f>
        <v>#DIV/0!</v>
      </c>
      <c r="G13" s="423" t="e">
        <f>F13*(1+INDEX(Assumptions_EG!$C$14:$C$22,MATCH(LegacyFC_Ref[[#This Row],[EnergyConvTech]],Assumptions_EG!$B$14:$B$22,0)))</f>
        <v>#DIV/0!</v>
      </c>
      <c r="H13" s="423" t="e">
        <f>G13*(1+INDEX(Assumptions_EG!$C$14:$C$22,MATCH(LegacyFC_Ref[[#This Row],[EnergyConvTech]],Assumptions_EG!$B$14:$B$22,0)))</f>
        <v>#DIV/0!</v>
      </c>
      <c r="I13" s="423" t="e">
        <f>H13*(1+INDEX(Assumptions_EG!$C$14:$C$22,MATCH(LegacyFC_Ref[[#This Row],[EnergyConvTech]],Assumptions_EG!$B$14:$B$22,0)))</f>
        <v>#DIV/0!</v>
      </c>
      <c r="J13" s="423" t="e">
        <f>I13*(1+INDEX(Assumptions_EG!$C$14:$C$22,MATCH(LegacyFC_Ref[[#This Row],[EnergyConvTech]],Assumptions_EG!$B$14:$B$22,0)))</f>
        <v>#DIV/0!</v>
      </c>
      <c r="K13" s="423" t="e">
        <f>J13*(1+INDEX(Assumptions_EG!$C$14:$C$22,MATCH(LegacyFC_Ref[[#This Row],[EnergyConvTech]],Assumptions_EG!$B$14:$B$22,0)))</f>
        <v>#DIV/0!</v>
      </c>
      <c r="L13" s="423" t="e">
        <f>K13*(1+INDEX(Assumptions_EG!$C$14:$C$22,MATCH(LegacyFC_Ref[[#This Row],[EnergyConvTech]],Assumptions_EG!$B$14:$B$22,0)))</f>
        <v>#DIV/0!</v>
      </c>
      <c r="M13" s="423" t="e">
        <f>L13*(1+INDEX(Assumptions_EG!$C$14:$C$22,MATCH(LegacyFC_Ref[[#This Row],[EnergyConvTech]],Assumptions_EG!$B$14:$B$22,0)))</f>
        <v>#DIV/0!</v>
      </c>
      <c r="N13" s="423" t="e">
        <f>M13*(1+INDEX(Assumptions_EG!$C$14:$C$22,MATCH(LegacyFC_Ref[[#This Row],[EnergyConvTech]],Assumptions_EG!$B$14:$B$22,0)))</f>
        <v>#DIV/0!</v>
      </c>
    </row>
    <row r="14" spans="1:14" x14ac:dyDescent="0.35">
      <c r="A14" s="483">
        <v>2020</v>
      </c>
      <c r="B14" s="393" t="s">
        <v>1603</v>
      </c>
      <c r="C14" s="422" t="s">
        <v>644</v>
      </c>
      <c r="D14" s="480">
        <f>INDEX(RegionalFCsRef[],MATCH(LegacyFC_Ref[[#This Row],[EnergyConvTech]],RegionalFCsRef[EnergyConvTech],0),MATCH(LegacyFC_Ref[[#This Row],[SubGeography1]],RegionalFCsRef[#Headers],0))</f>
        <v>1819.9453197613475</v>
      </c>
      <c r="E14" s="423">
        <f>D14*(1+INDEX(Assumptions_EG!$C$14:$C$22,MATCH(LegacyFC_Ref[[#This Row],[EnergyConvTech]],Assumptions_EG!$B$14:$B$22,0)))</f>
        <v>1819.9453197613475</v>
      </c>
      <c r="F14" s="423">
        <f>E14*(1+INDEX(Assumptions_EG!$C$14:$C$22,MATCH(LegacyFC_Ref[[#This Row],[EnergyConvTech]],Assumptions_EG!$B$14:$B$22,0)))</f>
        <v>1819.9453197613475</v>
      </c>
      <c r="G14" s="423">
        <f>F14*(1+INDEX(Assumptions_EG!$C$14:$C$22,MATCH(LegacyFC_Ref[[#This Row],[EnergyConvTech]],Assumptions_EG!$B$14:$B$22,0)))</f>
        <v>1819.9453197613475</v>
      </c>
      <c r="H14" s="423">
        <f>G14*(1+INDEX(Assumptions_EG!$C$14:$C$22,MATCH(LegacyFC_Ref[[#This Row],[EnergyConvTech]],Assumptions_EG!$B$14:$B$22,0)))</f>
        <v>1819.9453197613475</v>
      </c>
      <c r="I14" s="423">
        <f>H14*(1+INDEX(Assumptions_EG!$C$14:$C$22,MATCH(LegacyFC_Ref[[#This Row],[EnergyConvTech]],Assumptions_EG!$B$14:$B$22,0)))</f>
        <v>1819.9453197613475</v>
      </c>
      <c r="J14" s="423">
        <f>I14*(1+INDEX(Assumptions_EG!$C$14:$C$22,MATCH(LegacyFC_Ref[[#This Row],[EnergyConvTech]],Assumptions_EG!$B$14:$B$22,0)))</f>
        <v>1819.9453197613475</v>
      </c>
      <c r="K14" s="423">
        <f>J14*(1+INDEX(Assumptions_EG!$C$14:$C$22,MATCH(LegacyFC_Ref[[#This Row],[EnergyConvTech]],Assumptions_EG!$B$14:$B$22,0)))</f>
        <v>1819.9453197613475</v>
      </c>
      <c r="L14" s="423">
        <f>K14*(1+INDEX(Assumptions_EG!$C$14:$C$22,MATCH(LegacyFC_Ref[[#This Row],[EnergyConvTech]],Assumptions_EG!$B$14:$B$22,0)))</f>
        <v>1819.9453197613475</v>
      </c>
      <c r="M14" s="423">
        <f>L14*(1+INDEX(Assumptions_EG!$C$14:$C$22,MATCH(LegacyFC_Ref[[#This Row],[EnergyConvTech]],Assumptions_EG!$B$14:$B$22,0)))</f>
        <v>1819.9453197613475</v>
      </c>
      <c r="N14" s="423">
        <f>M14*(1+INDEX(Assumptions_EG!$C$14:$C$22,MATCH(LegacyFC_Ref[[#This Row],[EnergyConvTech]],Assumptions_EG!$B$14:$B$22,0)))</f>
        <v>1819.9453197613475</v>
      </c>
    </row>
    <row r="15" spans="1:14" x14ac:dyDescent="0.35">
      <c r="A15" s="482">
        <v>2020</v>
      </c>
      <c r="B15" s="422" t="s">
        <v>1605</v>
      </c>
      <c r="C15" s="422" t="s">
        <v>644</v>
      </c>
      <c r="D15" s="480">
        <f>INDEX(RegionalFCsRef[],MATCH(LegacyFC_Ref[[#This Row],[EnergyConvTech]],RegionalFCsRef[EnergyConvTech],0),MATCH(LegacyFC_Ref[[#This Row],[SubGeography1]],RegionalFCsRef[#Headers],0))</f>
        <v>14598.416471112962</v>
      </c>
      <c r="E15" s="423">
        <f>D15*(1+INDEX(Assumptions_EG!$C$14:$C$22,MATCH(LegacyFC_Ref[[#This Row],[EnergyConvTech]],Assumptions_EG!$B$14:$B$22,0)))</f>
        <v>14598.416471112962</v>
      </c>
      <c r="F15" s="423">
        <f>E15*(1+INDEX(Assumptions_EG!$C$14:$C$22,MATCH(LegacyFC_Ref[[#This Row],[EnergyConvTech]],Assumptions_EG!$B$14:$B$22,0)))</f>
        <v>14598.416471112962</v>
      </c>
      <c r="G15" s="423">
        <f>F15*(1+INDEX(Assumptions_EG!$C$14:$C$22,MATCH(LegacyFC_Ref[[#This Row],[EnergyConvTech]],Assumptions_EG!$B$14:$B$22,0)))</f>
        <v>14598.416471112962</v>
      </c>
      <c r="H15" s="423">
        <f>G15*(1+INDEX(Assumptions_EG!$C$14:$C$22,MATCH(LegacyFC_Ref[[#This Row],[EnergyConvTech]],Assumptions_EG!$B$14:$B$22,0)))</f>
        <v>14598.416471112962</v>
      </c>
      <c r="I15" s="423">
        <f>H15*(1+INDEX(Assumptions_EG!$C$14:$C$22,MATCH(LegacyFC_Ref[[#This Row],[EnergyConvTech]],Assumptions_EG!$B$14:$B$22,0)))</f>
        <v>14598.416471112962</v>
      </c>
      <c r="J15" s="423">
        <f>I15*(1+INDEX(Assumptions_EG!$C$14:$C$22,MATCH(LegacyFC_Ref[[#This Row],[EnergyConvTech]],Assumptions_EG!$B$14:$B$22,0)))</f>
        <v>14598.416471112962</v>
      </c>
      <c r="K15" s="423">
        <f>J15*(1+INDEX(Assumptions_EG!$C$14:$C$22,MATCH(LegacyFC_Ref[[#This Row],[EnergyConvTech]],Assumptions_EG!$B$14:$B$22,0)))</f>
        <v>14598.416471112962</v>
      </c>
      <c r="L15" s="423">
        <f>K15*(1+INDEX(Assumptions_EG!$C$14:$C$22,MATCH(LegacyFC_Ref[[#This Row],[EnergyConvTech]],Assumptions_EG!$B$14:$B$22,0)))</f>
        <v>14598.416471112962</v>
      </c>
      <c r="M15" s="423">
        <f>L15*(1+INDEX(Assumptions_EG!$C$14:$C$22,MATCH(LegacyFC_Ref[[#This Row],[EnergyConvTech]],Assumptions_EG!$B$14:$B$22,0)))</f>
        <v>14598.416471112962</v>
      </c>
      <c r="N15" s="423">
        <f>M15*(1+INDEX(Assumptions_EG!$C$14:$C$22,MATCH(LegacyFC_Ref[[#This Row],[EnergyConvTech]],Assumptions_EG!$B$14:$B$22,0)))</f>
        <v>14598.416471112962</v>
      </c>
    </row>
    <row r="16" spans="1:14" x14ac:dyDescent="0.35">
      <c r="A16" s="483">
        <v>2020</v>
      </c>
      <c r="B16" s="393" t="s">
        <v>1636</v>
      </c>
      <c r="C16" s="422" t="s">
        <v>644</v>
      </c>
      <c r="D16" s="480">
        <f>INDEX(RegionalFCsRef[],MATCH(LegacyFC_Ref[[#This Row],[EnergyConvTech]],RegionalFCsRef[EnergyConvTech],0),MATCH(LegacyFC_Ref[[#This Row],[SubGeography1]],RegionalFCsRef[#Headers],0))</f>
        <v>15808.731754424425</v>
      </c>
      <c r="E16" s="423">
        <f>D16*(1+INDEX(Assumptions_EG!$C$14:$C$22,MATCH(LegacyFC_Ref[[#This Row],[EnergyConvTech]],Assumptions_EG!$B$14:$B$22,0)))</f>
        <v>15176.382484247448</v>
      </c>
      <c r="F16" s="423">
        <f>E16*(1+INDEX(Assumptions_EG!$C$14:$C$22,MATCH(LegacyFC_Ref[[#This Row],[EnergyConvTech]],Assumptions_EG!$B$14:$B$22,0)))</f>
        <v>14569.327184877549</v>
      </c>
      <c r="G16" s="423">
        <f>F16*(1+INDEX(Assumptions_EG!$C$14:$C$22,MATCH(LegacyFC_Ref[[#This Row],[EnergyConvTech]],Assumptions_EG!$B$14:$B$22,0)))</f>
        <v>13986.554097482447</v>
      </c>
      <c r="H16" s="423">
        <f>G16*(1+INDEX(Assumptions_EG!$C$14:$C$22,MATCH(LegacyFC_Ref[[#This Row],[EnergyConvTech]],Assumptions_EG!$B$14:$B$22,0)))</f>
        <v>13427.09193358315</v>
      </c>
      <c r="I16" s="423">
        <f>H16*(1+INDEX(Assumptions_EG!$C$14:$C$22,MATCH(LegacyFC_Ref[[#This Row],[EnergyConvTech]],Assumptions_EG!$B$14:$B$22,0)))</f>
        <v>12890.008256239824</v>
      </c>
      <c r="J16" s="423">
        <f>I16*(1+INDEX(Assumptions_EG!$C$14:$C$22,MATCH(LegacyFC_Ref[[#This Row],[EnergyConvTech]],Assumptions_EG!$B$14:$B$22,0)))</f>
        <v>12374.40792599023</v>
      </c>
      <c r="K16" s="423">
        <f>J16*(1+INDEX(Assumptions_EG!$C$14:$C$22,MATCH(LegacyFC_Ref[[#This Row],[EnergyConvTech]],Assumptions_EG!$B$14:$B$22,0)))</f>
        <v>11879.431608950621</v>
      </c>
      <c r="L16" s="423">
        <f>K16*(1+INDEX(Assumptions_EG!$C$14:$C$22,MATCH(LegacyFC_Ref[[#This Row],[EnergyConvTech]],Assumptions_EG!$B$14:$B$22,0)))</f>
        <v>11404.254344592595</v>
      </c>
      <c r="M16" s="423">
        <f>L16*(1+INDEX(Assumptions_EG!$C$14:$C$22,MATCH(LegacyFC_Ref[[#This Row],[EnergyConvTech]],Assumptions_EG!$B$14:$B$22,0)))</f>
        <v>10948.08417080889</v>
      </c>
      <c r="N16" s="423">
        <f>M16*(1+INDEX(Assumptions_EG!$C$14:$C$22,MATCH(LegacyFC_Ref[[#This Row],[EnergyConvTech]],Assumptions_EG!$B$14:$B$22,0)))</f>
        <v>10510.160803976534</v>
      </c>
    </row>
    <row r="17" spans="1:14" x14ac:dyDescent="0.35">
      <c r="A17" s="486">
        <v>2020</v>
      </c>
      <c r="B17" s="428" t="s">
        <v>1606</v>
      </c>
      <c r="C17" s="422" t="s">
        <v>644</v>
      </c>
      <c r="D17" s="480" t="e">
        <f>INDEX(RegionalFCsRef[],MATCH(LegacyFC_Ref[[#This Row],[EnergyConvTech]],RegionalFCsRef[EnergyConvTech],0),MATCH(LegacyFC_Ref[[#This Row],[SubGeography1]],RegionalFCsRef[#Headers],0))</f>
        <v>#DIV/0!</v>
      </c>
      <c r="E17" s="423" t="e">
        <f>D17*(1+INDEX(Assumptions_EG!$C$14:$C$22,MATCH(LegacyFC_Ref[[#This Row],[EnergyConvTech]],Assumptions_EG!$B$14:$B$22,0)))</f>
        <v>#DIV/0!</v>
      </c>
      <c r="F17" s="423" t="e">
        <f>E17*(1+INDEX(Assumptions_EG!$C$14:$C$22,MATCH(LegacyFC_Ref[[#This Row],[EnergyConvTech]],Assumptions_EG!$B$14:$B$22,0)))</f>
        <v>#DIV/0!</v>
      </c>
      <c r="G17" s="423" t="e">
        <f>F17*(1+INDEX(Assumptions_EG!$C$14:$C$22,MATCH(LegacyFC_Ref[[#This Row],[EnergyConvTech]],Assumptions_EG!$B$14:$B$22,0)))</f>
        <v>#DIV/0!</v>
      </c>
      <c r="H17" s="423" t="e">
        <f>G17*(1+INDEX(Assumptions_EG!$C$14:$C$22,MATCH(LegacyFC_Ref[[#This Row],[EnergyConvTech]],Assumptions_EG!$B$14:$B$22,0)))</f>
        <v>#DIV/0!</v>
      </c>
      <c r="I17" s="423" t="e">
        <f>H17*(1+INDEX(Assumptions_EG!$C$14:$C$22,MATCH(LegacyFC_Ref[[#This Row],[EnergyConvTech]],Assumptions_EG!$B$14:$B$22,0)))</f>
        <v>#DIV/0!</v>
      </c>
      <c r="J17" s="423" t="e">
        <f>I17*(1+INDEX(Assumptions_EG!$C$14:$C$22,MATCH(LegacyFC_Ref[[#This Row],[EnergyConvTech]],Assumptions_EG!$B$14:$B$22,0)))</f>
        <v>#DIV/0!</v>
      </c>
      <c r="K17" s="423" t="e">
        <f>J17*(1+INDEX(Assumptions_EG!$C$14:$C$22,MATCH(LegacyFC_Ref[[#This Row],[EnergyConvTech]],Assumptions_EG!$B$14:$B$22,0)))</f>
        <v>#DIV/0!</v>
      </c>
      <c r="L17" s="423" t="e">
        <f>K17*(1+INDEX(Assumptions_EG!$C$14:$C$22,MATCH(LegacyFC_Ref[[#This Row],[EnergyConvTech]],Assumptions_EG!$B$14:$B$22,0)))</f>
        <v>#DIV/0!</v>
      </c>
      <c r="M17" s="423" t="e">
        <f>L17*(1+INDEX(Assumptions_EG!$C$14:$C$22,MATCH(LegacyFC_Ref[[#This Row],[EnergyConvTech]],Assumptions_EG!$B$14:$B$22,0)))</f>
        <v>#DIV/0!</v>
      </c>
      <c r="N17" s="423" t="e">
        <f>M17*(1+INDEX(Assumptions_EG!$C$14:$C$22,MATCH(LegacyFC_Ref[[#This Row],[EnergyConvTech]],Assumptions_EG!$B$14:$B$22,0)))</f>
        <v>#DIV/0!</v>
      </c>
    </row>
    <row r="18" spans="1:14" x14ac:dyDescent="0.35">
      <c r="A18" s="482">
        <v>2020</v>
      </c>
      <c r="B18" s="422" t="s">
        <v>1612</v>
      </c>
      <c r="C18" s="422" t="s">
        <v>628</v>
      </c>
      <c r="D18" s="480">
        <f>INDEX(RegionalFCsRef[],MATCH(LegacyFC_Ref[[#This Row],[EnergyConvTech]],RegionalFCsRef[EnergyConvTech],0),MATCH(LegacyFC_Ref[[#This Row],[SubGeography1]],RegionalFCsRef[#Headers],0))</f>
        <v>9193.1674726616548</v>
      </c>
      <c r="E18" s="423">
        <f>D18*(1+INDEX(Assumptions_EG!$C$14:$C$22,MATCH(LegacyFC_Ref[[#This Row],[EnergyConvTech]],Assumptions_EG!$B$14:$B$22,0)))</f>
        <v>9209.0126394414765</v>
      </c>
      <c r="F18" s="423">
        <f>E18*(1+INDEX(Assumptions_EG!$C$14:$C$22,MATCH(LegacyFC_Ref[[#This Row],[EnergyConvTech]],Assumptions_EG!$B$14:$B$22,0)))</f>
        <v>9224.8851166462446</v>
      </c>
      <c r="G18" s="423">
        <f>F18*(1+INDEX(Assumptions_EG!$C$14:$C$22,MATCH(LegacyFC_Ref[[#This Row],[EnergyConvTech]],Assumptions_EG!$B$14:$B$22,0)))</f>
        <v>9240.7849513476813</v>
      </c>
      <c r="H18" s="423">
        <f>G18*(1+INDEX(Assumptions_EG!$C$14:$C$22,MATCH(LegacyFC_Ref[[#This Row],[EnergyConvTech]],Assumptions_EG!$B$14:$B$22,0)))</f>
        <v>9256.7121906986431</v>
      </c>
      <c r="I18" s="423">
        <f>H18*(1+INDEX(Assumptions_EG!$C$14:$C$22,MATCH(LegacyFC_Ref[[#This Row],[EnergyConvTech]],Assumptions_EG!$B$14:$B$22,0)))</f>
        <v>9272.666881933259</v>
      </c>
      <c r="J18" s="423">
        <f>I18*(1+INDEX(Assumptions_EG!$C$14:$C$22,MATCH(LegacyFC_Ref[[#This Row],[EnergyConvTech]],Assumptions_EG!$B$14:$B$22,0)))</f>
        <v>9288.6490723670649</v>
      </c>
      <c r="K18" s="423">
        <f>J18*(1+INDEX(Assumptions_EG!$C$14:$C$22,MATCH(LegacyFC_Ref[[#This Row],[EnergyConvTech]],Assumptions_EG!$B$14:$B$22,0)))</f>
        <v>9304.658809397155</v>
      </c>
      <c r="L18" s="423">
        <f>K18*(1+INDEX(Assumptions_EG!$C$14:$C$22,MATCH(LegacyFC_Ref[[#This Row],[EnergyConvTech]],Assumptions_EG!$B$14:$B$22,0)))</f>
        <v>9320.6961405023121</v>
      </c>
      <c r="M18" s="423">
        <f>L18*(1+INDEX(Assumptions_EG!$C$14:$C$22,MATCH(LegacyFC_Ref[[#This Row],[EnergyConvTech]],Assumptions_EG!$B$14:$B$22,0)))</f>
        <v>9336.7611132431521</v>
      </c>
      <c r="N18" s="423">
        <f>M18*(1+INDEX(Assumptions_EG!$C$14:$C$22,MATCH(LegacyFC_Ref[[#This Row],[EnergyConvTech]],Assumptions_EG!$B$14:$B$22,0)))</f>
        <v>9352.8537752622688</v>
      </c>
    </row>
    <row r="19" spans="1:14" x14ac:dyDescent="0.35">
      <c r="A19" s="422">
        <v>2020</v>
      </c>
      <c r="B19" s="422" t="s">
        <v>1613</v>
      </c>
      <c r="C19" s="422" t="s">
        <v>628</v>
      </c>
      <c r="D19" s="480">
        <f>INDEX(RegionalFCsRef[],MATCH(LegacyFC_Ref[[#This Row],[EnergyConvTech]],RegionalFCsRef[EnergyConvTech],0),MATCH(LegacyFC_Ref[[#This Row],[SubGeography1]],RegionalFCsRef[#Headers],0))</f>
        <v>5742.4984906120881</v>
      </c>
      <c r="E19" s="423">
        <f>D19*(1+INDEX(Assumptions_EG!$C$14:$C$22,MATCH(LegacyFC_Ref[[#This Row],[EnergyConvTech]],Assumptions_EG!$B$14:$B$22,0)))</f>
        <v>5752.3961506500682</v>
      </c>
      <c r="F19" s="423">
        <f>E19*(1+INDEX(Assumptions_EG!$C$14:$C$22,MATCH(LegacyFC_Ref[[#This Row],[EnergyConvTech]],Assumptions_EG!$B$14:$B$22,0)))</f>
        <v>5762.310870104674</v>
      </c>
      <c r="G19" s="423">
        <f>F19*(1+INDEX(Assumptions_EG!$C$14:$C$22,MATCH(LegacyFC_Ref[[#This Row],[EnergyConvTech]],Assumptions_EG!$B$14:$B$22,0)))</f>
        <v>5772.2426783791889</v>
      </c>
      <c r="H19" s="423">
        <f>G19*(1+INDEX(Assumptions_EG!$C$14:$C$22,MATCH(LegacyFC_Ref[[#This Row],[EnergyConvTech]],Assumptions_EG!$B$14:$B$22,0)))</f>
        <v>5782.1916049275742</v>
      </c>
      <c r="I19" s="423">
        <f>H19*(1+INDEX(Assumptions_EG!$C$14:$C$22,MATCH(LegacyFC_Ref[[#This Row],[EnergyConvTech]],Assumptions_EG!$B$14:$B$22,0)))</f>
        <v>5792.1576792545584</v>
      </c>
      <c r="J19" s="423">
        <f>I19*(1+INDEX(Assumptions_EG!$C$14:$C$22,MATCH(LegacyFC_Ref[[#This Row],[EnergyConvTech]],Assumptions_EG!$B$14:$B$22,0)))</f>
        <v>5802.1409309157225</v>
      </c>
      <c r="K19" s="423">
        <f>J19*(1+INDEX(Assumptions_EG!$C$14:$C$22,MATCH(LegacyFC_Ref[[#This Row],[EnergyConvTech]],Assumptions_EG!$B$14:$B$22,0)))</f>
        <v>5812.1413895175901</v>
      </c>
      <c r="L19" s="423">
        <f>K19*(1+INDEX(Assumptions_EG!$C$14:$C$22,MATCH(LegacyFC_Ref[[#This Row],[EnergyConvTech]],Assumptions_EG!$B$14:$B$22,0)))</f>
        <v>5822.1590847177131</v>
      </c>
      <c r="M19" s="423">
        <f>L19*(1+INDEX(Assumptions_EG!$C$14:$C$22,MATCH(LegacyFC_Ref[[#This Row],[EnergyConvTech]],Assumptions_EG!$B$14:$B$22,0)))</f>
        <v>5832.1940462247612</v>
      </c>
      <c r="N19" s="423">
        <f>M19*(1+INDEX(Assumptions_EG!$C$14:$C$22,MATCH(LegacyFC_Ref[[#This Row],[EnergyConvTech]],Assumptions_EG!$B$14:$B$22,0)))</f>
        <v>5842.246303798609</v>
      </c>
    </row>
    <row r="20" spans="1:14" x14ac:dyDescent="0.35">
      <c r="A20" s="483">
        <v>2020</v>
      </c>
      <c r="B20" s="393" t="s">
        <v>1604</v>
      </c>
      <c r="C20" s="422" t="s">
        <v>628</v>
      </c>
      <c r="D20" s="480">
        <f>INDEX(RegionalFCsRef[],MATCH(LegacyFC_Ref[[#This Row],[EnergyConvTech]],RegionalFCsRef[EnergyConvTech],0),MATCH(LegacyFC_Ref[[#This Row],[SubGeography1]],RegionalFCsRef[#Headers],0))</f>
        <v>4688.4442946660474</v>
      </c>
      <c r="E20" s="423">
        <f>D20*(1+INDEX(Assumptions_EG!$C$14:$C$22,MATCH(LegacyFC_Ref[[#This Row],[EnergyConvTech]],Assumptions_EG!$B$14:$B$22,0)))</f>
        <v>4688.4442946660474</v>
      </c>
      <c r="F20" s="423">
        <f>E20*(1+INDEX(Assumptions_EG!$C$14:$C$22,MATCH(LegacyFC_Ref[[#This Row],[EnergyConvTech]],Assumptions_EG!$B$14:$B$22,0)))</f>
        <v>4688.4442946660474</v>
      </c>
      <c r="G20" s="423">
        <f>F20*(1+INDEX(Assumptions_EG!$C$14:$C$22,MATCH(LegacyFC_Ref[[#This Row],[EnergyConvTech]],Assumptions_EG!$B$14:$B$22,0)))</f>
        <v>4688.4442946660474</v>
      </c>
      <c r="H20" s="423">
        <f>G20*(1+INDEX(Assumptions_EG!$C$14:$C$22,MATCH(LegacyFC_Ref[[#This Row],[EnergyConvTech]],Assumptions_EG!$B$14:$B$22,0)))</f>
        <v>4688.4442946660474</v>
      </c>
      <c r="I20" s="423">
        <f>H20*(1+INDEX(Assumptions_EG!$C$14:$C$22,MATCH(LegacyFC_Ref[[#This Row],[EnergyConvTech]],Assumptions_EG!$B$14:$B$22,0)))</f>
        <v>4688.4442946660474</v>
      </c>
      <c r="J20" s="423">
        <f>I20*(1+INDEX(Assumptions_EG!$C$14:$C$22,MATCH(LegacyFC_Ref[[#This Row],[EnergyConvTech]],Assumptions_EG!$B$14:$B$22,0)))</f>
        <v>4688.4442946660474</v>
      </c>
      <c r="K20" s="423">
        <f>J20*(1+INDEX(Assumptions_EG!$C$14:$C$22,MATCH(LegacyFC_Ref[[#This Row],[EnergyConvTech]],Assumptions_EG!$B$14:$B$22,0)))</f>
        <v>4688.4442946660474</v>
      </c>
      <c r="L20" s="423">
        <f>K20*(1+INDEX(Assumptions_EG!$C$14:$C$22,MATCH(LegacyFC_Ref[[#This Row],[EnergyConvTech]],Assumptions_EG!$B$14:$B$22,0)))</f>
        <v>4688.4442946660474</v>
      </c>
      <c r="M20" s="423">
        <f>L20*(1+INDEX(Assumptions_EG!$C$14:$C$22,MATCH(LegacyFC_Ref[[#This Row],[EnergyConvTech]],Assumptions_EG!$B$14:$B$22,0)))</f>
        <v>4688.4442946660474</v>
      </c>
      <c r="N20" s="423">
        <f>M20*(1+INDEX(Assumptions_EG!$C$14:$C$22,MATCH(LegacyFC_Ref[[#This Row],[EnergyConvTech]],Assumptions_EG!$B$14:$B$22,0)))</f>
        <v>4688.4442946660474</v>
      </c>
    </row>
    <row r="21" spans="1:14" x14ac:dyDescent="0.35">
      <c r="A21" s="482">
        <v>2020</v>
      </c>
      <c r="B21" s="422" t="s">
        <v>1615</v>
      </c>
      <c r="C21" s="422" t="s">
        <v>628</v>
      </c>
      <c r="D21" s="480">
        <f>INDEX(RegionalFCsRef[],MATCH(LegacyFC_Ref[[#This Row],[EnergyConvTech]],RegionalFCsRef[EnergyConvTech],0),MATCH(LegacyFC_Ref[[#This Row],[SubGeography1]],RegionalFCsRef[#Headers],0))</f>
        <v>15322.738981527909</v>
      </c>
      <c r="E21" s="423">
        <f>D21*(1+INDEX(Assumptions_EG!$C$14:$C$22,MATCH(LegacyFC_Ref[[#This Row],[EnergyConvTech]],Assumptions_EG!$B$14:$B$22,0)))</f>
        <v>15322.738981527909</v>
      </c>
      <c r="F21" s="423">
        <f>E21*(1+INDEX(Assumptions_EG!$C$14:$C$22,MATCH(LegacyFC_Ref[[#This Row],[EnergyConvTech]],Assumptions_EG!$B$14:$B$22,0)))</f>
        <v>15322.738981527909</v>
      </c>
      <c r="G21" s="423">
        <f>F21*(1+INDEX(Assumptions_EG!$C$14:$C$22,MATCH(LegacyFC_Ref[[#This Row],[EnergyConvTech]],Assumptions_EG!$B$14:$B$22,0)))</f>
        <v>15322.738981527909</v>
      </c>
      <c r="H21" s="423">
        <f>G21*(1+INDEX(Assumptions_EG!$C$14:$C$22,MATCH(LegacyFC_Ref[[#This Row],[EnergyConvTech]],Assumptions_EG!$B$14:$B$22,0)))</f>
        <v>15322.738981527909</v>
      </c>
      <c r="I21" s="423">
        <f>H21*(1+INDEX(Assumptions_EG!$C$14:$C$22,MATCH(LegacyFC_Ref[[#This Row],[EnergyConvTech]],Assumptions_EG!$B$14:$B$22,0)))</f>
        <v>15322.738981527909</v>
      </c>
      <c r="J21" s="423">
        <f>I21*(1+INDEX(Assumptions_EG!$C$14:$C$22,MATCH(LegacyFC_Ref[[#This Row],[EnergyConvTech]],Assumptions_EG!$B$14:$B$22,0)))</f>
        <v>15322.738981527909</v>
      </c>
      <c r="K21" s="423">
        <f>J21*(1+INDEX(Assumptions_EG!$C$14:$C$22,MATCH(LegacyFC_Ref[[#This Row],[EnergyConvTech]],Assumptions_EG!$B$14:$B$22,0)))</f>
        <v>15322.738981527909</v>
      </c>
      <c r="L21" s="423">
        <f>K21*(1+INDEX(Assumptions_EG!$C$14:$C$22,MATCH(LegacyFC_Ref[[#This Row],[EnergyConvTech]],Assumptions_EG!$B$14:$B$22,0)))</f>
        <v>15322.738981527909</v>
      </c>
      <c r="M21" s="423">
        <f>L21*(1+INDEX(Assumptions_EG!$C$14:$C$22,MATCH(LegacyFC_Ref[[#This Row],[EnergyConvTech]],Assumptions_EG!$B$14:$B$22,0)))</f>
        <v>15322.738981527909</v>
      </c>
      <c r="N21" s="423">
        <f>M21*(1+INDEX(Assumptions_EG!$C$14:$C$22,MATCH(LegacyFC_Ref[[#This Row],[EnergyConvTech]],Assumptions_EG!$B$14:$B$22,0)))</f>
        <v>15322.738981527909</v>
      </c>
    </row>
    <row r="22" spans="1:14" x14ac:dyDescent="0.35">
      <c r="A22" s="483">
        <v>2020</v>
      </c>
      <c r="B22" s="393" t="s">
        <v>1603</v>
      </c>
      <c r="C22" s="422" t="s">
        <v>628</v>
      </c>
      <c r="D22" s="480">
        <f>INDEX(RegionalFCsRef[],MATCH(LegacyFC_Ref[[#This Row],[EnergyConvTech]],RegionalFCsRef[EnergyConvTech],0),MATCH(LegacyFC_Ref[[#This Row],[SubGeography1]],RegionalFCsRef[#Headers],0))</f>
        <v>2761.0753173085959</v>
      </c>
      <c r="E22" s="423">
        <f>D22*(1+INDEX(Assumptions_EG!$C$14:$C$22,MATCH(LegacyFC_Ref[[#This Row],[EnergyConvTech]],Assumptions_EG!$B$14:$B$22,0)))</f>
        <v>2761.0753173085959</v>
      </c>
      <c r="F22" s="423">
        <f>E22*(1+INDEX(Assumptions_EG!$C$14:$C$22,MATCH(LegacyFC_Ref[[#This Row],[EnergyConvTech]],Assumptions_EG!$B$14:$B$22,0)))</f>
        <v>2761.0753173085959</v>
      </c>
      <c r="G22" s="423">
        <f>F22*(1+INDEX(Assumptions_EG!$C$14:$C$22,MATCH(LegacyFC_Ref[[#This Row],[EnergyConvTech]],Assumptions_EG!$B$14:$B$22,0)))</f>
        <v>2761.0753173085959</v>
      </c>
      <c r="H22" s="423">
        <f>G22*(1+INDEX(Assumptions_EG!$C$14:$C$22,MATCH(LegacyFC_Ref[[#This Row],[EnergyConvTech]],Assumptions_EG!$B$14:$B$22,0)))</f>
        <v>2761.0753173085959</v>
      </c>
      <c r="I22" s="423">
        <f>H22*(1+INDEX(Assumptions_EG!$C$14:$C$22,MATCH(LegacyFC_Ref[[#This Row],[EnergyConvTech]],Assumptions_EG!$B$14:$B$22,0)))</f>
        <v>2761.0753173085959</v>
      </c>
      <c r="J22" s="423">
        <f>I22*(1+INDEX(Assumptions_EG!$C$14:$C$22,MATCH(LegacyFC_Ref[[#This Row],[EnergyConvTech]],Assumptions_EG!$B$14:$B$22,0)))</f>
        <v>2761.0753173085959</v>
      </c>
      <c r="K22" s="423">
        <f>J22*(1+INDEX(Assumptions_EG!$C$14:$C$22,MATCH(LegacyFC_Ref[[#This Row],[EnergyConvTech]],Assumptions_EG!$B$14:$B$22,0)))</f>
        <v>2761.0753173085959</v>
      </c>
      <c r="L22" s="423">
        <f>K22*(1+INDEX(Assumptions_EG!$C$14:$C$22,MATCH(LegacyFC_Ref[[#This Row],[EnergyConvTech]],Assumptions_EG!$B$14:$B$22,0)))</f>
        <v>2761.0753173085959</v>
      </c>
      <c r="M22" s="423">
        <f>L22*(1+INDEX(Assumptions_EG!$C$14:$C$22,MATCH(LegacyFC_Ref[[#This Row],[EnergyConvTech]],Assumptions_EG!$B$14:$B$22,0)))</f>
        <v>2761.0753173085959</v>
      </c>
      <c r="N22" s="423">
        <f>M22*(1+INDEX(Assumptions_EG!$C$14:$C$22,MATCH(LegacyFC_Ref[[#This Row],[EnergyConvTech]],Assumptions_EG!$B$14:$B$22,0)))</f>
        <v>2761.0753173085959</v>
      </c>
    </row>
    <row r="23" spans="1:14" x14ac:dyDescent="0.35">
      <c r="A23" s="482">
        <v>2020</v>
      </c>
      <c r="B23" s="422" t="s">
        <v>1605</v>
      </c>
      <c r="C23" s="422" t="s">
        <v>628</v>
      </c>
      <c r="D23" s="480">
        <f>INDEX(RegionalFCsRef[],MATCH(LegacyFC_Ref[[#This Row],[EnergyConvTech]],RegionalFCsRef[EnergyConvTech],0),MATCH(LegacyFC_Ref[[#This Row],[SubGeography1]],RegionalFCsRef[#Headers],0))</f>
        <v>11616.716581930692</v>
      </c>
      <c r="E23" s="423">
        <f>D23*(1+INDEX(Assumptions_EG!$C$14:$C$22,MATCH(LegacyFC_Ref[[#This Row],[EnergyConvTech]],Assumptions_EG!$B$14:$B$22,0)))</f>
        <v>11616.716581930692</v>
      </c>
      <c r="F23" s="423">
        <f>E23*(1+INDEX(Assumptions_EG!$C$14:$C$22,MATCH(LegacyFC_Ref[[#This Row],[EnergyConvTech]],Assumptions_EG!$B$14:$B$22,0)))</f>
        <v>11616.716581930692</v>
      </c>
      <c r="G23" s="423">
        <f>F23*(1+INDEX(Assumptions_EG!$C$14:$C$22,MATCH(LegacyFC_Ref[[#This Row],[EnergyConvTech]],Assumptions_EG!$B$14:$B$22,0)))</f>
        <v>11616.716581930692</v>
      </c>
      <c r="H23" s="423">
        <f>G23*(1+INDEX(Assumptions_EG!$C$14:$C$22,MATCH(LegacyFC_Ref[[#This Row],[EnergyConvTech]],Assumptions_EG!$B$14:$B$22,0)))</f>
        <v>11616.716581930692</v>
      </c>
      <c r="I23" s="423">
        <f>H23*(1+INDEX(Assumptions_EG!$C$14:$C$22,MATCH(LegacyFC_Ref[[#This Row],[EnergyConvTech]],Assumptions_EG!$B$14:$B$22,0)))</f>
        <v>11616.716581930692</v>
      </c>
      <c r="J23" s="423">
        <f>I23*(1+INDEX(Assumptions_EG!$C$14:$C$22,MATCH(LegacyFC_Ref[[#This Row],[EnergyConvTech]],Assumptions_EG!$B$14:$B$22,0)))</f>
        <v>11616.716581930692</v>
      </c>
      <c r="K23" s="423">
        <f>J23*(1+INDEX(Assumptions_EG!$C$14:$C$22,MATCH(LegacyFC_Ref[[#This Row],[EnergyConvTech]],Assumptions_EG!$B$14:$B$22,0)))</f>
        <v>11616.716581930692</v>
      </c>
      <c r="L23" s="423">
        <f>K23*(1+INDEX(Assumptions_EG!$C$14:$C$22,MATCH(LegacyFC_Ref[[#This Row],[EnergyConvTech]],Assumptions_EG!$B$14:$B$22,0)))</f>
        <v>11616.716581930692</v>
      </c>
      <c r="M23" s="423">
        <f>L23*(1+INDEX(Assumptions_EG!$C$14:$C$22,MATCH(LegacyFC_Ref[[#This Row],[EnergyConvTech]],Assumptions_EG!$B$14:$B$22,0)))</f>
        <v>11616.716581930692</v>
      </c>
      <c r="N23" s="423">
        <f>M23*(1+INDEX(Assumptions_EG!$C$14:$C$22,MATCH(LegacyFC_Ref[[#This Row],[EnergyConvTech]],Assumptions_EG!$B$14:$B$22,0)))</f>
        <v>11616.716581930692</v>
      </c>
    </row>
    <row r="24" spans="1:14" x14ac:dyDescent="0.35">
      <c r="A24" s="483">
        <v>2020</v>
      </c>
      <c r="B24" s="393" t="s">
        <v>1636</v>
      </c>
      <c r="C24" s="422" t="s">
        <v>628</v>
      </c>
      <c r="D24" s="480">
        <f>INDEX(RegionalFCsRef[],MATCH(LegacyFC_Ref[[#This Row],[EnergyConvTech]],RegionalFCsRef[EnergyConvTech],0),MATCH(LegacyFC_Ref[[#This Row],[SubGeography1]],RegionalFCsRef[#Headers],0))</f>
        <v>10793.167282852371</v>
      </c>
      <c r="E24" s="423">
        <f>D24*(1+INDEX(Assumptions_EG!$C$14:$C$22,MATCH(LegacyFC_Ref[[#This Row],[EnergyConvTech]],Assumptions_EG!$B$14:$B$22,0)))</f>
        <v>10361.440591538276</v>
      </c>
      <c r="F24" s="423">
        <f>E24*(1+INDEX(Assumptions_EG!$C$14:$C$22,MATCH(LegacyFC_Ref[[#This Row],[EnergyConvTech]],Assumptions_EG!$B$14:$B$22,0)))</f>
        <v>9946.9829678767437</v>
      </c>
      <c r="G24" s="423">
        <f>F24*(1+INDEX(Assumptions_EG!$C$14:$C$22,MATCH(LegacyFC_Ref[[#This Row],[EnergyConvTech]],Assumptions_EG!$B$14:$B$22,0)))</f>
        <v>9549.1036491616742</v>
      </c>
      <c r="H24" s="423">
        <f>G24*(1+INDEX(Assumptions_EG!$C$14:$C$22,MATCH(LegacyFC_Ref[[#This Row],[EnergyConvTech]],Assumptions_EG!$B$14:$B$22,0)))</f>
        <v>9167.139503195207</v>
      </c>
      <c r="I24" s="423">
        <f>H24*(1+INDEX(Assumptions_EG!$C$14:$C$22,MATCH(LegacyFC_Ref[[#This Row],[EnergyConvTech]],Assumptions_EG!$B$14:$B$22,0)))</f>
        <v>8800.4539230673981</v>
      </c>
      <c r="J24" s="423">
        <f>I24*(1+INDEX(Assumptions_EG!$C$14:$C$22,MATCH(LegacyFC_Ref[[#This Row],[EnergyConvTech]],Assumptions_EG!$B$14:$B$22,0)))</f>
        <v>8448.4357661447011</v>
      </c>
      <c r="K24" s="423">
        <f>J24*(1+INDEX(Assumptions_EG!$C$14:$C$22,MATCH(LegacyFC_Ref[[#This Row],[EnergyConvTech]],Assumptions_EG!$B$14:$B$22,0)))</f>
        <v>8110.4983354989126</v>
      </c>
      <c r="L24" s="423">
        <f>K24*(1+INDEX(Assumptions_EG!$C$14:$C$22,MATCH(LegacyFC_Ref[[#This Row],[EnergyConvTech]],Assumptions_EG!$B$14:$B$22,0)))</f>
        <v>7786.0784020789561</v>
      </c>
      <c r="M24" s="423">
        <f>L24*(1+INDEX(Assumptions_EG!$C$14:$C$22,MATCH(LegacyFC_Ref[[#This Row],[EnergyConvTech]],Assumptions_EG!$B$14:$B$22,0)))</f>
        <v>7474.6352659957975</v>
      </c>
      <c r="N24" s="423">
        <f>M24*(1+INDEX(Assumptions_EG!$C$14:$C$22,MATCH(LegacyFC_Ref[[#This Row],[EnergyConvTech]],Assumptions_EG!$B$14:$B$22,0)))</f>
        <v>7175.649855355965</v>
      </c>
    </row>
    <row r="25" spans="1:14" x14ac:dyDescent="0.35">
      <c r="A25" s="486">
        <v>2020</v>
      </c>
      <c r="B25" s="428" t="s">
        <v>1606</v>
      </c>
      <c r="C25" s="422" t="s">
        <v>628</v>
      </c>
      <c r="D25" s="480">
        <f>INDEX(RegionalFCsRef[],MATCH(LegacyFC_Ref[[#This Row],[EnergyConvTech]],RegionalFCsRef[EnergyConvTech],0),MATCH(LegacyFC_Ref[[#This Row],[SubGeography1]],RegionalFCsRef[#Headers],0))</f>
        <v>7346.1988674099939</v>
      </c>
      <c r="E25" s="423">
        <f>D25*(1+INDEX(Assumptions_EG!$C$14:$C$22,MATCH(LegacyFC_Ref[[#This Row],[EnergyConvTech]],Assumptions_EG!$B$14:$B$22,0)))</f>
        <v>7052.350912713594</v>
      </c>
      <c r="F25" s="423">
        <f>E25*(1+INDEX(Assumptions_EG!$C$14:$C$22,MATCH(LegacyFC_Ref[[#This Row],[EnergyConvTech]],Assumptions_EG!$B$14:$B$22,0)))</f>
        <v>6770.2568762050496</v>
      </c>
      <c r="G25" s="423">
        <f>F25*(1+INDEX(Assumptions_EG!$C$14:$C$22,MATCH(LegacyFC_Ref[[#This Row],[EnergyConvTech]],Assumptions_EG!$B$14:$B$22,0)))</f>
        <v>6499.4466011568475</v>
      </c>
      <c r="H25" s="423">
        <f>G25*(1+INDEX(Assumptions_EG!$C$14:$C$22,MATCH(LegacyFC_Ref[[#This Row],[EnergyConvTech]],Assumptions_EG!$B$14:$B$22,0)))</f>
        <v>6239.4687371105738</v>
      </c>
      <c r="I25" s="423">
        <f>H25*(1+INDEX(Assumptions_EG!$C$14:$C$22,MATCH(LegacyFC_Ref[[#This Row],[EnergyConvTech]],Assumptions_EG!$B$14:$B$22,0)))</f>
        <v>5989.8899876261503</v>
      </c>
      <c r="J25" s="423">
        <f>I25*(1+INDEX(Assumptions_EG!$C$14:$C$22,MATCH(LegacyFC_Ref[[#This Row],[EnergyConvTech]],Assumptions_EG!$B$14:$B$22,0)))</f>
        <v>5750.294388121104</v>
      </c>
      <c r="K25" s="423">
        <f>J25*(1+INDEX(Assumptions_EG!$C$14:$C$22,MATCH(LegacyFC_Ref[[#This Row],[EnergyConvTech]],Assumptions_EG!$B$14:$B$22,0)))</f>
        <v>5520.2826125962592</v>
      </c>
      <c r="L25" s="423">
        <f>K25*(1+INDEX(Assumptions_EG!$C$14:$C$22,MATCH(LegacyFC_Ref[[#This Row],[EnergyConvTech]],Assumptions_EG!$B$14:$B$22,0)))</f>
        <v>5299.4713080924084</v>
      </c>
      <c r="M25" s="423">
        <f>L25*(1+INDEX(Assumptions_EG!$C$14:$C$22,MATCH(LegacyFC_Ref[[#This Row],[EnergyConvTech]],Assumptions_EG!$B$14:$B$22,0)))</f>
        <v>5087.4924557687118</v>
      </c>
      <c r="N25" s="423">
        <f>M25*(1+INDEX(Assumptions_EG!$C$14:$C$22,MATCH(LegacyFC_Ref[[#This Row],[EnergyConvTech]],Assumptions_EG!$B$14:$B$22,0)))</f>
        <v>4883.9927575379634</v>
      </c>
    </row>
    <row r="26" spans="1:14" x14ac:dyDescent="0.35">
      <c r="A26" s="482">
        <v>2020</v>
      </c>
      <c r="B26" s="422" t="s">
        <v>1612</v>
      </c>
      <c r="C26" s="422" t="s">
        <v>1051</v>
      </c>
      <c r="D26" s="480">
        <f>INDEX(RegionalFCsRef[],MATCH(LegacyFC_Ref[[#This Row],[EnergyConvTech]],RegionalFCsRef[EnergyConvTech],0),MATCH(LegacyFC_Ref[[#This Row],[SubGeography1]],RegionalFCsRef[#Headers],0))</f>
        <v>8795.5010709939306</v>
      </c>
      <c r="E26" s="423">
        <f>D26*(1+INDEX(Assumptions_EG!$C$14:$C$22,MATCH(LegacyFC_Ref[[#This Row],[EnergyConvTech]],Assumptions_EG!$B$14:$B$22,0)))</f>
        <v>8810.660827606267</v>
      </c>
      <c r="F26" s="423">
        <f>E26*(1+INDEX(Assumptions_EG!$C$14:$C$22,MATCH(LegacyFC_Ref[[#This Row],[EnergyConvTech]],Assumptions_EG!$B$14:$B$22,0)))</f>
        <v>8825.8467132837577</v>
      </c>
      <c r="G26" s="423">
        <f>F26*(1+INDEX(Assumptions_EG!$C$14:$C$22,MATCH(LegacyFC_Ref[[#This Row],[EnergyConvTech]],Assumptions_EG!$B$14:$B$22,0)))</f>
        <v>8841.0587730619554</v>
      </c>
      <c r="H26" s="423">
        <f>G26*(1+INDEX(Assumptions_EG!$C$14:$C$22,MATCH(LegacyFC_Ref[[#This Row],[EnergyConvTech]],Assumptions_EG!$B$14:$B$22,0)))</f>
        <v>8856.2970520540384</v>
      </c>
      <c r="I26" s="423">
        <f>H26*(1+INDEX(Assumptions_EG!$C$14:$C$22,MATCH(LegacyFC_Ref[[#This Row],[EnergyConvTech]],Assumptions_EG!$B$14:$B$22,0)))</f>
        <v>8871.5615954509412</v>
      </c>
      <c r="J26" s="423">
        <f>I26*(1+INDEX(Assumptions_EG!$C$14:$C$22,MATCH(LegacyFC_Ref[[#This Row],[EnergyConvTech]],Assumptions_EG!$B$14:$B$22,0)))</f>
        <v>8886.8524485214857</v>
      </c>
      <c r="K26" s="423">
        <f>J26*(1+INDEX(Assumptions_EG!$C$14:$C$22,MATCH(LegacyFC_Ref[[#This Row],[EnergyConvTech]],Assumptions_EG!$B$14:$B$22,0)))</f>
        <v>8902.1696566125192</v>
      </c>
      <c r="L26" s="423">
        <f>K26*(1+INDEX(Assumptions_EG!$C$14:$C$22,MATCH(LegacyFC_Ref[[#This Row],[EnergyConvTech]],Assumptions_EG!$B$14:$B$22,0)))</f>
        <v>8917.5132651490494</v>
      </c>
      <c r="M26" s="423">
        <f>L26*(1+INDEX(Assumptions_EG!$C$14:$C$22,MATCH(LegacyFC_Ref[[#This Row],[EnergyConvTech]],Assumptions_EG!$B$14:$B$22,0)))</f>
        <v>8932.8833196343767</v>
      </c>
      <c r="N26" s="423">
        <f>M26*(1+INDEX(Assumptions_EG!$C$14:$C$22,MATCH(LegacyFC_Ref[[#This Row],[EnergyConvTech]],Assumptions_EG!$B$14:$B$22,0)))</f>
        <v>8948.2798656502309</v>
      </c>
    </row>
    <row r="27" spans="1:14" x14ac:dyDescent="0.35">
      <c r="A27" s="422">
        <v>2020</v>
      </c>
      <c r="B27" s="422" t="s">
        <v>1613</v>
      </c>
      <c r="C27" s="422" t="s">
        <v>1051</v>
      </c>
      <c r="D27" s="480">
        <f>INDEX(RegionalFCsRef[],MATCH(LegacyFC_Ref[[#This Row],[EnergyConvTech]],RegionalFCsRef[EnergyConvTech],0),MATCH(LegacyFC_Ref[[#This Row],[SubGeography1]],RegionalFCsRef[#Headers],0))</f>
        <v>4210.7317541352131</v>
      </c>
      <c r="E27" s="423">
        <f>D27*(1+INDEX(Assumptions_EG!$C$14:$C$22,MATCH(LegacyFC_Ref[[#This Row],[EnergyConvTech]],Assumptions_EG!$B$14:$B$22,0)))</f>
        <v>4217.9892904639892</v>
      </c>
      <c r="F27" s="423">
        <f>E27*(1+INDEX(Assumptions_EG!$C$14:$C$22,MATCH(LegacyFC_Ref[[#This Row],[EnergyConvTech]],Assumptions_EG!$B$14:$B$22,0)))</f>
        <v>4225.2593357429041</v>
      </c>
      <c r="G27" s="423">
        <f>F27*(1+INDEX(Assumptions_EG!$C$14:$C$22,MATCH(LegacyFC_Ref[[#This Row],[EnergyConvTech]],Assumptions_EG!$B$14:$B$22,0)))</f>
        <v>4232.5419115321447</v>
      </c>
      <c r="H27" s="423">
        <f>G27*(1+INDEX(Assumptions_EG!$C$14:$C$22,MATCH(LegacyFC_Ref[[#This Row],[EnergyConvTech]],Assumptions_EG!$B$14:$B$22,0)))</f>
        <v>4239.8370394290578</v>
      </c>
      <c r="I27" s="423">
        <f>H27*(1+INDEX(Assumptions_EG!$C$14:$C$22,MATCH(LegacyFC_Ref[[#This Row],[EnergyConvTech]],Assumptions_EG!$B$14:$B$22,0)))</f>
        <v>4247.1447410682149</v>
      </c>
      <c r="J27" s="423">
        <f>I27*(1+INDEX(Assumptions_EG!$C$14:$C$22,MATCH(LegacyFC_Ref[[#This Row],[EnergyConvTech]],Assumptions_EG!$B$14:$B$22,0)))</f>
        <v>4254.4650381214769</v>
      </c>
      <c r="K27" s="423">
        <f>J27*(1+INDEX(Assumptions_EG!$C$14:$C$22,MATCH(LegacyFC_Ref[[#This Row],[EnergyConvTech]],Assumptions_EG!$B$14:$B$22,0)))</f>
        <v>4261.7979522980568</v>
      </c>
      <c r="L27" s="423">
        <f>K27*(1+INDEX(Assumptions_EG!$C$14:$C$22,MATCH(LegacyFC_Ref[[#This Row],[EnergyConvTech]],Assumptions_EG!$B$14:$B$22,0)))</f>
        <v>4269.1435053445857</v>
      </c>
      <c r="M27" s="423">
        <f>L27*(1+INDEX(Assumptions_EG!$C$14:$C$22,MATCH(LegacyFC_Ref[[#This Row],[EnergyConvTech]],Assumptions_EG!$B$14:$B$22,0)))</f>
        <v>4276.5017190451781</v>
      </c>
      <c r="N27" s="423">
        <f>M27*(1+INDEX(Assumptions_EG!$C$14:$C$22,MATCH(LegacyFC_Ref[[#This Row],[EnergyConvTech]],Assumptions_EG!$B$14:$B$22,0)))</f>
        <v>4283.8726152214931</v>
      </c>
    </row>
    <row r="28" spans="1:14" x14ac:dyDescent="0.35">
      <c r="A28" s="483">
        <v>2020</v>
      </c>
      <c r="B28" s="393" t="s">
        <v>1604</v>
      </c>
      <c r="C28" s="422" t="s">
        <v>1051</v>
      </c>
      <c r="D28" s="480">
        <f>INDEX(RegionalFCsRef[],MATCH(LegacyFC_Ref[[#This Row],[EnergyConvTech]],RegionalFCsRef[EnergyConvTech],0),MATCH(LegacyFC_Ref[[#This Row],[SubGeography1]],RegionalFCsRef[#Headers],0))</f>
        <v>4080.9585671288087</v>
      </c>
      <c r="E28" s="423">
        <f>D28*(1+INDEX(Assumptions_EG!$C$14:$C$22,MATCH(LegacyFC_Ref[[#This Row],[EnergyConvTech]],Assumptions_EG!$B$14:$B$22,0)))</f>
        <v>4080.9585671288087</v>
      </c>
      <c r="F28" s="423">
        <f>E28*(1+INDEX(Assumptions_EG!$C$14:$C$22,MATCH(LegacyFC_Ref[[#This Row],[EnergyConvTech]],Assumptions_EG!$B$14:$B$22,0)))</f>
        <v>4080.9585671288087</v>
      </c>
      <c r="G28" s="423">
        <f>F28*(1+INDEX(Assumptions_EG!$C$14:$C$22,MATCH(LegacyFC_Ref[[#This Row],[EnergyConvTech]],Assumptions_EG!$B$14:$B$22,0)))</f>
        <v>4080.9585671288087</v>
      </c>
      <c r="H28" s="423">
        <f>G28*(1+INDEX(Assumptions_EG!$C$14:$C$22,MATCH(LegacyFC_Ref[[#This Row],[EnergyConvTech]],Assumptions_EG!$B$14:$B$22,0)))</f>
        <v>4080.9585671288087</v>
      </c>
      <c r="I28" s="423">
        <f>H28*(1+INDEX(Assumptions_EG!$C$14:$C$22,MATCH(LegacyFC_Ref[[#This Row],[EnergyConvTech]],Assumptions_EG!$B$14:$B$22,0)))</f>
        <v>4080.9585671288087</v>
      </c>
      <c r="J28" s="423">
        <f>I28*(1+INDEX(Assumptions_EG!$C$14:$C$22,MATCH(LegacyFC_Ref[[#This Row],[EnergyConvTech]],Assumptions_EG!$B$14:$B$22,0)))</f>
        <v>4080.9585671288087</v>
      </c>
      <c r="K28" s="423">
        <f>J28*(1+INDEX(Assumptions_EG!$C$14:$C$22,MATCH(LegacyFC_Ref[[#This Row],[EnergyConvTech]],Assumptions_EG!$B$14:$B$22,0)))</f>
        <v>4080.9585671288087</v>
      </c>
      <c r="L28" s="423">
        <f>K28*(1+INDEX(Assumptions_EG!$C$14:$C$22,MATCH(LegacyFC_Ref[[#This Row],[EnergyConvTech]],Assumptions_EG!$B$14:$B$22,0)))</f>
        <v>4080.9585671288087</v>
      </c>
      <c r="M28" s="423">
        <f>L28*(1+INDEX(Assumptions_EG!$C$14:$C$22,MATCH(LegacyFC_Ref[[#This Row],[EnergyConvTech]],Assumptions_EG!$B$14:$B$22,0)))</f>
        <v>4080.9585671288087</v>
      </c>
      <c r="N28" s="423">
        <f>M28*(1+INDEX(Assumptions_EG!$C$14:$C$22,MATCH(LegacyFC_Ref[[#This Row],[EnergyConvTech]],Assumptions_EG!$B$14:$B$22,0)))</f>
        <v>4080.9585671288087</v>
      </c>
    </row>
    <row r="29" spans="1:14" x14ac:dyDescent="0.35">
      <c r="A29" s="482">
        <v>2020</v>
      </c>
      <c r="B29" s="422" t="s">
        <v>1615</v>
      </c>
      <c r="C29" s="422" t="s">
        <v>1051</v>
      </c>
      <c r="D29" s="480">
        <f>INDEX(RegionalFCsRef[],MATCH(LegacyFC_Ref[[#This Row],[EnergyConvTech]],RegionalFCsRef[EnergyConvTech],0),MATCH(LegacyFC_Ref[[#This Row],[SubGeography1]],RegionalFCsRef[#Headers],0))</f>
        <v>19116.166827077381</v>
      </c>
      <c r="E29" s="423">
        <f>D29*(1+INDEX(Assumptions_EG!$C$14:$C$22,MATCH(LegacyFC_Ref[[#This Row],[EnergyConvTech]],Assumptions_EG!$B$14:$B$22,0)))</f>
        <v>19116.166827077381</v>
      </c>
      <c r="F29" s="423">
        <f>E29*(1+INDEX(Assumptions_EG!$C$14:$C$22,MATCH(LegacyFC_Ref[[#This Row],[EnergyConvTech]],Assumptions_EG!$B$14:$B$22,0)))</f>
        <v>19116.166827077381</v>
      </c>
      <c r="G29" s="423">
        <f>F29*(1+INDEX(Assumptions_EG!$C$14:$C$22,MATCH(LegacyFC_Ref[[#This Row],[EnergyConvTech]],Assumptions_EG!$B$14:$B$22,0)))</f>
        <v>19116.166827077381</v>
      </c>
      <c r="H29" s="423">
        <f>G29*(1+INDEX(Assumptions_EG!$C$14:$C$22,MATCH(LegacyFC_Ref[[#This Row],[EnergyConvTech]],Assumptions_EG!$B$14:$B$22,0)))</f>
        <v>19116.166827077381</v>
      </c>
      <c r="I29" s="423">
        <f>H29*(1+INDEX(Assumptions_EG!$C$14:$C$22,MATCH(LegacyFC_Ref[[#This Row],[EnergyConvTech]],Assumptions_EG!$B$14:$B$22,0)))</f>
        <v>19116.166827077381</v>
      </c>
      <c r="J29" s="423">
        <f>I29*(1+INDEX(Assumptions_EG!$C$14:$C$22,MATCH(LegacyFC_Ref[[#This Row],[EnergyConvTech]],Assumptions_EG!$B$14:$B$22,0)))</f>
        <v>19116.166827077381</v>
      </c>
      <c r="K29" s="423">
        <f>J29*(1+INDEX(Assumptions_EG!$C$14:$C$22,MATCH(LegacyFC_Ref[[#This Row],[EnergyConvTech]],Assumptions_EG!$B$14:$B$22,0)))</f>
        <v>19116.166827077381</v>
      </c>
      <c r="L29" s="423">
        <f>K29*(1+INDEX(Assumptions_EG!$C$14:$C$22,MATCH(LegacyFC_Ref[[#This Row],[EnergyConvTech]],Assumptions_EG!$B$14:$B$22,0)))</f>
        <v>19116.166827077381</v>
      </c>
      <c r="M29" s="423">
        <f>L29*(1+INDEX(Assumptions_EG!$C$14:$C$22,MATCH(LegacyFC_Ref[[#This Row],[EnergyConvTech]],Assumptions_EG!$B$14:$B$22,0)))</f>
        <v>19116.166827077381</v>
      </c>
      <c r="N29" s="423">
        <f>M29*(1+INDEX(Assumptions_EG!$C$14:$C$22,MATCH(LegacyFC_Ref[[#This Row],[EnergyConvTech]],Assumptions_EG!$B$14:$B$22,0)))</f>
        <v>19116.166827077381</v>
      </c>
    </row>
    <row r="30" spans="1:14" x14ac:dyDescent="0.35">
      <c r="A30" s="483">
        <v>2020</v>
      </c>
      <c r="B30" s="393" t="s">
        <v>1603</v>
      </c>
      <c r="C30" s="422" t="s">
        <v>1051</v>
      </c>
      <c r="D30" s="480">
        <f>INDEX(RegionalFCsRef[],MATCH(LegacyFC_Ref[[#This Row],[EnergyConvTech]],RegionalFCsRef[EnergyConvTech],0),MATCH(LegacyFC_Ref[[#This Row],[SubGeography1]],RegionalFCsRef[#Headers],0))</f>
        <v>2977.1068963922471</v>
      </c>
      <c r="E30" s="423">
        <f>D30*(1+INDEX(Assumptions_EG!$C$14:$C$22,MATCH(LegacyFC_Ref[[#This Row],[EnergyConvTech]],Assumptions_EG!$B$14:$B$22,0)))</f>
        <v>2977.1068963922471</v>
      </c>
      <c r="F30" s="423">
        <f>E30*(1+INDEX(Assumptions_EG!$C$14:$C$22,MATCH(LegacyFC_Ref[[#This Row],[EnergyConvTech]],Assumptions_EG!$B$14:$B$22,0)))</f>
        <v>2977.1068963922471</v>
      </c>
      <c r="G30" s="423">
        <f>F30*(1+INDEX(Assumptions_EG!$C$14:$C$22,MATCH(LegacyFC_Ref[[#This Row],[EnergyConvTech]],Assumptions_EG!$B$14:$B$22,0)))</f>
        <v>2977.1068963922471</v>
      </c>
      <c r="H30" s="423">
        <f>G30*(1+INDEX(Assumptions_EG!$C$14:$C$22,MATCH(LegacyFC_Ref[[#This Row],[EnergyConvTech]],Assumptions_EG!$B$14:$B$22,0)))</f>
        <v>2977.1068963922471</v>
      </c>
      <c r="I30" s="423">
        <f>H30*(1+INDEX(Assumptions_EG!$C$14:$C$22,MATCH(LegacyFC_Ref[[#This Row],[EnergyConvTech]],Assumptions_EG!$B$14:$B$22,0)))</f>
        <v>2977.1068963922471</v>
      </c>
      <c r="J30" s="423">
        <f>I30*(1+INDEX(Assumptions_EG!$C$14:$C$22,MATCH(LegacyFC_Ref[[#This Row],[EnergyConvTech]],Assumptions_EG!$B$14:$B$22,0)))</f>
        <v>2977.1068963922471</v>
      </c>
      <c r="K30" s="423">
        <f>J30*(1+INDEX(Assumptions_EG!$C$14:$C$22,MATCH(LegacyFC_Ref[[#This Row],[EnergyConvTech]],Assumptions_EG!$B$14:$B$22,0)))</f>
        <v>2977.1068963922471</v>
      </c>
      <c r="L30" s="423">
        <f>K30*(1+INDEX(Assumptions_EG!$C$14:$C$22,MATCH(LegacyFC_Ref[[#This Row],[EnergyConvTech]],Assumptions_EG!$B$14:$B$22,0)))</f>
        <v>2977.1068963922471</v>
      </c>
      <c r="M30" s="423">
        <f>L30*(1+INDEX(Assumptions_EG!$C$14:$C$22,MATCH(LegacyFC_Ref[[#This Row],[EnergyConvTech]],Assumptions_EG!$B$14:$B$22,0)))</f>
        <v>2977.1068963922471</v>
      </c>
      <c r="N30" s="423">
        <f>M30*(1+INDEX(Assumptions_EG!$C$14:$C$22,MATCH(LegacyFC_Ref[[#This Row],[EnergyConvTech]],Assumptions_EG!$B$14:$B$22,0)))</f>
        <v>2977.1068963922471</v>
      </c>
    </row>
    <row r="31" spans="1:14" x14ac:dyDescent="0.35">
      <c r="A31" s="482">
        <v>2020</v>
      </c>
      <c r="B31" s="422" t="s">
        <v>1605</v>
      </c>
      <c r="C31" s="422" t="s">
        <v>1051</v>
      </c>
      <c r="D31" s="480">
        <f>INDEX(RegionalFCsRef[],MATCH(LegacyFC_Ref[[#This Row],[EnergyConvTech]],RegionalFCsRef[EnergyConvTech],0),MATCH(LegacyFC_Ref[[#This Row],[SubGeography1]],RegionalFCsRef[#Headers],0))</f>
        <v>9522.7857316091431</v>
      </c>
      <c r="E31" s="423">
        <f>D31*(1+INDEX(Assumptions_EG!$C$14:$C$22,MATCH(LegacyFC_Ref[[#This Row],[EnergyConvTech]],Assumptions_EG!$B$14:$B$22,0)))</f>
        <v>9522.7857316091431</v>
      </c>
      <c r="F31" s="423">
        <f>E31*(1+INDEX(Assumptions_EG!$C$14:$C$22,MATCH(LegacyFC_Ref[[#This Row],[EnergyConvTech]],Assumptions_EG!$B$14:$B$22,0)))</f>
        <v>9522.7857316091431</v>
      </c>
      <c r="G31" s="423">
        <f>F31*(1+INDEX(Assumptions_EG!$C$14:$C$22,MATCH(LegacyFC_Ref[[#This Row],[EnergyConvTech]],Assumptions_EG!$B$14:$B$22,0)))</f>
        <v>9522.7857316091431</v>
      </c>
      <c r="H31" s="423">
        <f>G31*(1+INDEX(Assumptions_EG!$C$14:$C$22,MATCH(LegacyFC_Ref[[#This Row],[EnergyConvTech]],Assumptions_EG!$B$14:$B$22,0)))</f>
        <v>9522.7857316091431</v>
      </c>
      <c r="I31" s="423">
        <f>H31*(1+INDEX(Assumptions_EG!$C$14:$C$22,MATCH(LegacyFC_Ref[[#This Row],[EnergyConvTech]],Assumptions_EG!$B$14:$B$22,0)))</f>
        <v>9522.7857316091431</v>
      </c>
      <c r="J31" s="423">
        <f>I31*(1+INDEX(Assumptions_EG!$C$14:$C$22,MATCH(LegacyFC_Ref[[#This Row],[EnergyConvTech]],Assumptions_EG!$B$14:$B$22,0)))</f>
        <v>9522.7857316091431</v>
      </c>
      <c r="K31" s="423">
        <f>J31*(1+INDEX(Assumptions_EG!$C$14:$C$22,MATCH(LegacyFC_Ref[[#This Row],[EnergyConvTech]],Assumptions_EG!$B$14:$B$22,0)))</f>
        <v>9522.7857316091431</v>
      </c>
      <c r="L31" s="423">
        <f>K31*(1+INDEX(Assumptions_EG!$C$14:$C$22,MATCH(LegacyFC_Ref[[#This Row],[EnergyConvTech]],Assumptions_EG!$B$14:$B$22,0)))</f>
        <v>9522.7857316091431</v>
      </c>
      <c r="M31" s="423">
        <f>L31*(1+INDEX(Assumptions_EG!$C$14:$C$22,MATCH(LegacyFC_Ref[[#This Row],[EnergyConvTech]],Assumptions_EG!$B$14:$B$22,0)))</f>
        <v>9522.7857316091431</v>
      </c>
      <c r="N31" s="423">
        <f>M31*(1+INDEX(Assumptions_EG!$C$14:$C$22,MATCH(LegacyFC_Ref[[#This Row],[EnergyConvTech]],Assumptions_EG!$B$14:$B$22,0)))</f>
        <v>9522.7857316091431</v>
      </c>
    </row>
    <row r="32" spans="1:14" x14ac:dyDescent="0.35">
      <c r="A32" s="483">
        <v>2020</v>
      </c>
      <c r="B32" s="393" t="s">
        <v>1636</v>
      </c>
      <c r="C32" s="422" t="s">
        <v>1051</v>
      </c>
      <c r="D32" s="480">
        <f>INDEX(RegionalFCsRef[],MATCH(LegacyFC_Ref[[#This Row],[EnergyConvTech]],RegionalFCsRef[EnergyConvTech],0),MATCH(LegacyFC_Ref[[#This Row],[SubGeography1]],RegionalFCsRef[#Headers],0))</f>
        <v>8691.5050276236143</v>
      </c>
      <c r="E32" s="423">
        <f>D32*(1+INDEX(Assumptions_EG!$C$14:$C$22,MATCH(LegacyFC_Ref[[#This Row],[EnergyConvTech]],Assumptions_EG!$B$14:$B$22,0)))</f>
        <v>8343.8448265186689</v>
      </c>
      <c r="F32" s="423">
        <f>E32*(1+INDEX(Assumptions_EG!$C$14:$C$22,MATCH(LegacyFC_Ref[[#This Row],[EnergyConvTech]],Assumptions_EG!$B$14:$B$22,0)))</f>
        <v>8010.0910334579221</v>
      </c>
      <c r="G32" s="423">
        <f>F32*(1+INDEX(Assumptions_EG!$C$14:$C$22,MATCH(LegacyFC_Ref[[#This Row],[EnergyConvTech]],Assumptions_EG!$B$14:$B$22,0)))</f>
        <v>7689.6873921196047</v>
      </c>
      <c r="H32" s="423">
        <f>G32*(1+INDEX(Assumptions_EG!$C$14:$C$22,MATCH(LegacyFC_Ref[[#This Row],[EnergyConvTech]],Assumptions_EG!$B$14:$B$22,0)))</f>
        <v>7382.09989643482</v>
      </c>
      <c r="I32" s="423">
        <f>H32*(1+INDEX(Assumptions_EG!$C$14:$C$22,MATCH(LegacyFC_Ref[[#This Row],[EnergyConvTech]],Assumptions_EG!$B$14:$B$22,0)))</f>
        <v>7086.8159005774269</v>
      </c>
      <c r="J32" s="423">
        <f>I32*(1+INDEX(Assumptions_EG!$C$14:$C$22,MATCH(LegacyFC_Ref[[#This Row],[EnergyConvTech]],Assumptions_EG!$B$14:$B$22,0)))</f>
        <v>6803.3432645543298</v>
      </c>
      <c r="K32" s="423">
        <f>J32*(1+INDEX(Assumptions_EG!$C$14:$C$22,MATCH(LegacyFC_Ref[[#This Row],[EnergyConvTech]],Assumptions_EG!$B$14:$B$22,0)))</f>
        <v>6531.2095339721564</v>
      </c>
      <c r="L32" s="423">
        <f>K32*(1+INDEX(Assumptions_EG!$C$14:$C$22,MATCH(LegacyFC_Ref[[#This Row],[EnergyConvTech]],Assumptions_EG!$B$14:$B$22,0)))</f>
        <v>6269.9611526132703</v>
      </c>
      <c r="M32" s="423">
        <f>L32*(1+INDEX(Assumptions_EG!$C$14:$C$22,MATCH(LegacyFC_Ref[[#This Row],[EnergyConvTech]],Assumptions_EG!$B$14:$B$22,0)))</f>
        <v>6019.1627065087396</v>
      </c>
      <c r="N32" s="423">
        <f>M32*(1+INDEX(Assumptions_EG!$C$14:$C$22,MATCH(LegacyFC_Ref[[#This Row],[EnergyConvTech]],Assumptions_EG!$B$14:$B$22,0)))</f>
        <v>5778.3961982483897</v>
      </c>
    </row>
    <row r="33" spans="1:14" x14ac:dyDescent="0.35">
      <c r="A33" s="486">
        <v>2020</v>
      </c>
      <c r="B33" s="428" t="s">
        <v>1606</v>
      </c>
      <c r="C33" s="422" t="s">
        <v>1051</v>
      </c>
      <c r="D33" s="480">
        <f>INDEX(RegionalFCsRef[],MATCH(LegacyFC_Ref[[#This Row],[EnergyConvTech]],RegionalFCsRef[EnergyConvTech],0),MATCH(LegacyFC_Ref[[#This Row],[SubGeography1]],RegionalFCsRef[#Headers],0))</f>
        <v>5886.0846098324755</v>
      </c>
      <c r="E33" s="423">
        <f>D33*(1+INDEX(Assumptions_EG!$C$14:$C$22,MATCH(LegacyFC_Ref[[#This Row],[EnergyConvTech]],Assumptions_EG!$B$14:$B$22,0)))</f>
        <v>5650.6412254391762</v>
      </c>
      <c r="F33" s="423">
        <f>E33*(1+INDEX(Assumptions_EG!$C$14:$C$22,MATCH(LegacyFC_Ref[[#This Row],[EnergyConvTech]],Assumptions_EG!$B$14:$B$22,0)))</f>
        <v>5424.6155764216091</v>
      </c>
      <c r="G33" s="423">
        <f>F33*(1+INDEX(Assumptions_EG!$C$14:$C$22,MATCH(LegacyFC_Ref[[#This Row],[EnergyConvTech]],Assumptions_EG!$B$14:$B$22,0)))</f>
        <v>5207.6309533647445</v>
      </c>
      <c r="H33" s="423">
        <f>G33*(1+INDEX(Assumptions_EG!$C$14:$C$22,MATCH(LegacyFC_Ref[[#This Row],[EnergyConvTech]],Assumptions_EG!$B$14:$B$22,0)))</f>
        <v>4999.3257152301549</v>
      </c>
      <c r="I33" s="423">
        <f>H33*(1+INDEX(Assumptions_EG!$C$14:$C$22,MATCH(LegacyFC_Ref[[#This Row],[EnergyConvTech]],Assumptions_EG!$B$14:$B$22,0)))</f>
        <v>4799.3526866209486</v>
      </c>
      <c r="J33" s="423">
        <f>I33*(1+INDEX(Assumptions_EG!$C$14:$C$22,MATCH(LegacyFC_Ref[[#This Row],[EnergyConvTech]],Assumptions_EG!$B$14:$B$22,0)))</f>
        <v>4607.3785791561104</v>
      </c>
      <c r="K33" s="423">
        <f>J33*(1+INDEX(Assumptions_EG!$C$14:$C$22,MATCH(LegacyFC_Ref[[#This Row],[EnergyConvTech]],Assumptions_EG!$B$14:$B$22,0)))</f>
        <v>4423.0834359898654</v>
      </c>
      <c r="L33" s="423">
        <f>K33*(1+INDEX(Assumptions_EG!$C$14:$C$22,MATCH(LegacyFC_Ref[[#This Row],[EnergyConvTech]],Assumptions_EG!$B$14:$B$22,0)))</f>
        <v>4246.160098550271</v>
      </c>
      <c r="M33" s="423">
        <f>L33*(1+INDEX(Assumptions_EG!$C$14:$C$22,MATCH(LegacyFC_Ref[[#This Row],[EnergyConvTech]],Assumptions_EG!$B$14:$B$22,0)))</f>
        <v>4076.31369460826</v>
      </c>
      <c r="N33" s="423">
        <f>M33*(1+INDEX(Assumptions_EG!$C$14:$C$22,MATCH(LegacyFC_Ref[[#This Row],[EnergyConvTech]],Assumptions_EG!$B$14:$B$22,0)))</f>
        <v>3913.2611468239293</v>
      </c>
    </row>
    <row r="34" spans="1:14" x14ac:dyDescent="0.35">
      <c r="A34" s="482">
        <v>2020</v>
      </c>
      <c r="B34" s="422" t="s">
        <v>1612</v>
      </c>
      <c r="C34" s="422" t="s">
        <v>1054</v>
      </c>
      <c r="D34" s="480">
        <f>INDEX(RegionalFCsRef[],MATCH(LegacyFC_Ref[[#This Row],[EnergyConvTech]],RegionalFCsRef[EnergyConvTech],0),MATCH(LegacyFC_Ref[[#This Row],[SubGeography1]],RegionalFCsRef[#Headers],0))</f>
        <v>6800.9876604058645</v>
      </c>
      <c r="E34" s="423">
        <f>D34*(1+INDEX(Assumptions_EG!$C$14:$C$22,MATCH(LegacyFC_Ref[[#This Row],[EnergyConvTech]],Assumptions_EG!$B$14:$B$22,0)))</f>
        <v>6812.7097120346525</v>
      </c>
      <c r="F34" s="423">
        <f>E34*(1+INDEX(Assumptions_EG!$C$14:$C$22,MATCH(LegacyFC_Ref[[#This Row],[EnergyConvTech]],Assumptions_EG!$B$14:$B$22,0)))</f>
        <v>6824.4519675663514</v>
      </c>
      <c r="G34" s="423">
        <f>F34*(1+INDEX(Assumptions_EG!$C$14:$C$22,MATCH(LegacyFC_Ref[[#This Row],[EnergyConvTech]],Assumptions_EG!$B$14:$B$22,0)))</f>
        <v>6836.21446182402</v>
      </c>
      <c r="H34" s="423">
        <f>G34*(1+INDEX(Assumptions_EG!$C$14:$C$22,MATCH(LegacyFC_Ref[[#This Row],[EnergyConvTech]],Assumptions_EG!$B$14:$B$22,0)))</f>
        <v>6847.9972296907372</v>
      </c>
      <c r="I34" s="423">
        <f>H34*(1+INDEX(Assumptions_EG!$C$14:$C$22,MATCH(LegacyFC_Ref[[#This Row],[EnergyConvTech]],Assumptions_EG!$B$14:$B$22,0)))</f>
        <v>6859.8003061097061</v>
      </c>
      <c r="J34" s="423">
        <f>I34*(1+INDEX(Assumptions_EG!$C$14:$C$22,MATCH(LegacyFC_Ref[[#This Row],[EnergyConvTech]],Assumptions_EG!$B$14:$B$22,0)))</f>
        <v>6871.6237260843563</v>
      </c>
      <c r="K34" s="423">
        <f>J34*(1+INDEX(Assumptions_EG!$C$14:$C$22,MATCH(LegacyFC_Ref[[#This Row],[EnergyConvTech]],Assumptions_EG!$B$14:$B$22,0)))</f>
        <v>6883.4675246784509</v>
      </c>
      <c r="L34" s="423">
        <f>K34*(1+INDEX(Assumptions_EG!$C$14:$C$22,MATCH(LegacyFC_Ref[[#This Row],[EnergyConvTech]],Assumptions_EG!$B$14:$B$22,0)))</f>
        <v>6895.3317370161858</v>
      </c>
      <c r="M34" s="423">
        <f>L34*(1+INDEX(Assumptions_EG!$C$14:$C$22,MATCH(LegacyFC_Ref[[#This Row],[EnergyConvTech]],Assumptions_EG!$B$14:$B$22,0)))</f>
        <v>6907.2163982822967</v>
      </c>
      <c r="N34" s="423">
        <f>M34*(1+INDEX(Assumptions_EG!$C$14:$C$22,MATCH(LegacyFC_Ref[[#This Row],[EnergyConvTech]],Assumptions_EG!$B$14:$B$22,0)))</f>
        <v>6919.1215437221645</v>
      </c>
    </row>
    <row r="35" spans="1:14" x14ac:dyDescent="0.35">
      <c r="A35" s="422">
        <v>2020</v>
      </c>
      <c r="B35" s="422" t="s">
        <v>1613</v>
      </c>
      <c r="C35" s="422" t="s">
        <v>1054</v>
      </c>
      <c r="D35" s="480">
        <f>INDEX(RegionalFCsRef[],MATCH(LegacyFC_Ref[[#This Row],[EnergyConvTech]],RegionalFCsRef[EnergyConvTech],0),MATCH(LegacyFC_Ref[[#This Row],[SubGeography1]],RegionalFCsRef[#Headers],0))</f>
        <v>2377.9140900012894</v>
      </c>
      <c r="E35" s="423">
        <f>D35*(1+INDEX(Assumptions_EG!$C$14:$C$22,MATCH(LegacyFC_Ref[[#This Row],[EnergyConvTech]],Assumptions_EG!$B$14:$B$22,0)))</f>
        <v>2382.0126170276058</v>
      </c>
      <c r="F35" s="423">
        <f>E35*(1+INDEX(Assumptions_EG!$C$14:$C$22,MATCH(LegacyFC_Ref[[#This Row],[EnergyConvTech]],Assumptions_EG!$B$14:$B$22,0)))</f>
        <v>2386.1182081963384</v>
      </c>
      <c r="G35" s="423">
        <f>F35*(1+INDEX(Assumptions_EG!$C$14:$C$22,MATCH(LegacyFC_Ref[[#This Row],[EnergyConvTech]],Assumptions_EG!$B$14:$B$22,0)))</f>
        <v>2390.2308756831076</v>
      </c>
      <c r="H35" s="423">
        <f>G35*(1+INDEX(Assumptions_EG!$C$14:$C$22,MATCH(LegacyFC_Ref[[#This Row],[EnergyConvTech]],Assumptions_EG!$B$14:$B$22,0)))</f>
        <v>2394.3506316845187</v>
      </c>
      <c r="I35" s="423">
        <f>H35*(1+INDEX(Assumptions_EG!$C$14:$C$22,MATCH(LegacyFC_Ref[[#This Row],[EnergyConvTech]],Assumptions_EG!$B$14:$B$22,0)))</f>
        <v>2398.4774884181998</v>
      </c>
      <c r="J35" s="423">
        <f>I35*(1+INDEX(Assumptions_EG!$C$14:$C$22,MATCH(LegacyFC_Ref[[#This Row],[EnergyConvTech]],Assumptions_EG!$B$14:$B$22,0)))</f>
        <v>2402.6114581228362</v>
      </c>
      <c r="K35" s="423">
        <f>J35*(1+INDEX(Assumptions_EG!$C$14:$C$22,MATCH(LegacyFC_Ref[[#This Row],[EnergyConvTech]],Assumptions_EG!$B$14:$B$22,0)))</f>
        <v>2406.7525530582084</v>
      </c>
      <c r="L35" s="423">
        <f>K35*(1+INDEX(Assumptions_EG!$C$14:$C$22,MATCH(LegacyFC_Ref[[#This Row],[EnergyConvTech]],Assumptions_EG!$B$14:$B$22,0)))</f>
        <v>2410.9007855052264</v>
      </c>
      <c r="M35" s="423">
        <f>L35*(1+INDEX(Assumptions_EG!$C$14:$C$22,MATCH(LegacyFC_Ref[[#This Row],[EnergyConvTech]],Assumptions_EG!$B$14:$B$22,0)))</f>
        <v>2415.0561677659689</v>
      </c>
      <c r="N35" s="423">
        <f>M35*(1+INDEX(Assumptions_EG!$C$14:$C$22,MATCH(LegacyFC_Ref[[#This Row],[EnergyConvTech]],Assumptions_EG!$B$14:$B$22,0)))</f>
        <v>2419.2187121637171</v>
      </c>
    </row>
    <row r="36" spans="1:14" x14ac:dyDescent="0.35">
      <c r="A36" s="483">
        <v>2020</v>
      </c>
      <c r="B36" s="393" t="s">
        <v>1604</v>
      </c>
      <c r="C36" s="422" t="s">
        <v>1054</v>
      </c>
      <c r="D36" s="480">
        <f>INDEX(RegionalFCsRef[],MATCH(LegacyFC_Ref[[#This Row],[EnergyConvTech]],RegionalFCsRef[EnergyConvTech],0),MATCH(LegacyFC_Ref[[#This Row],[SubGeography1]],RegionalFCsRef[#Headers],0))</f>
        <v>9489.1171240127242</v>
      </c>
      <c r="E36" s="479">
        <f>D36*(1+INDEX(Assumptions_EG!$C$14:$C$22,MATCH(LegacyFC_Ref[[#This Row],[EnergyConvTech]],Assumptions_EG!$B$14:$B$22,0)))</f>
        <v>9489.1171240127242</v>
      </c>
      <c r="F36" s="479">
        <f>E36*(1+INDEX(Assumptions_EG!$C$14:$C$22,MATCH(LegacyFC_Ref[[#This Row],[EnergyConvTech]],Assumptions_EG!$B$14:$B$22,0)))</f>
        <v>9489.1171240127242</v>
      </c>
      <c r="G36" s="479">
        <f>F36*(1+INDEX(Assumptions_EG!$C$14:$C$22,MATCH(LegacyFC_Ref[[#This Row],[EnergyConvTech]],Assumptions_EG!$B$14:$B$22,0)))</f>
        <v>9489.1171240127242</v>
      </c>
      <c r="H36" s="479">
        <f>G36*(1+INDEX(Assumptions_EG!$C$14:$C$22,MATCH(LegacyFC_Ref[[#This Row],[EnergyConvTech]],Assumptions_EG!$B$14:$B$22,0)))</f>
        <v>9489.1171240127242</v>
      </c>
      <c r="I36" s="479">
        <f>H36*(1+INDEX(Assumptions_EG!$C$14:$C$22,MATCH(LegacyFC_Ref[[#This Row],[EnergyConvTech]],Assumptions_EG!$B$14:$B$22,0)))</f>
        <v>9489.1171240127242</v>
      </c>
      <c r="J36" s="479">
        <f>I36*(1+INDEX(Assumptions_EG!$C$14:$C$22,MATCH(LegacyFC_Ref[[#This Row],[EnergyConvTech]],Assumptions_EG!$B$14:$B$22,0)))</f>
        <v>9489.1171240127242</v>
      </c>
      <c r="K36" s="479">
        <f>J36*(1+INDEX(Assumptions_EG!$C$14:$C$22,MATCH(LegacyFC_Ref[[#This Row],[EnergyConvTech]],Assumptions_EG!$B$14:$B$22,0)))</f>
        <v>9489.1171240127242</v>
      </c>
      <c r="L36" s="479">
        <f>K36*(1+INDEX(Assumptions_EG!$C$14:$C$22,MATCH(LegacyFC_Ref[[#This Row],[EnergyConvTech]],Assumptions_EG!$B$14:$B$22,0)))</f>
        <v>9489.1171240127242</v>
      </c>
      <c r="M36" s="479">
        <f>L36*(1+INDEX(Assumptions_EG!$C$14:$C$22,MATCH(LegacyFC_Ref[[#This Row],[EnergyConvTech]],Assumptions_EG!$B$14:$B$22,0)))</f>
        <v>9489.1171240127242</v>
      </c>
      <c r="N36" s="479">
        <f>M36*(1+INDEX(Assumptions_EG!$C$14:$C$22,MATCH(LegacyFC_Ref[[#This Row],[EnergyConvTech]],Assumptions_EG!$B$14:$B$22,0)))</f>
        <v>9489.1171240127242</v>
      </c>
    </row>
    <row r="37" spans="1:14" x14ac:dyDescent="0.35">
      <c r="A37" s="482">
        <v>2020</v>
      </c>
      <c r="B37" s="422" t="s">
        <v>1615</v>
      </c>
      <c r="C37" s="422" t="s">
        <v>1054</v>
      </c>
      <c r="D37" s="480" t="e">
        <f>INDEX(RegionalFCsRef[],MATCH(LegacyFC_Ref[[#This Row],[EnergyConvTech]],RegionalFCsRef[EnergyConvTech],0),MATCH(LegacyFC_Ref[[#This Row],[SubGeography1]],RegionalFCsRef[#Headers],0))</f>
        <v>#DIV/0!</v>
      </c>
      <c r="E37" s="423" t="e">
        <f>D37*(1+INDEX(Assumptions_EG!$C$14:$C$22,MATCH(LegacyFC_Ref[[#This Row],[EnergyConvTech]],Assumptions_EG!$B$14:$B$22,0)))</f>
        <v>#DIV/0!</v>
      </c>
      <c r="F37" s="423" t="e">
        <f>E37*(1+INDEX(Assumptions_EG!$C$14:$C$22,MATCH(LegacyFC_Ref[[#This Row],[EnergyConvTech]],Assumptions_EG!$B$14:$B$22,0)))</f>
        <v>#DIV/0!</v>
      </c>
      <c r="G37" s="423" t="e">
        <f>F37*(1+INDEX(Assumptions_EG!$C$14:$C$22,MATCH(LegacyFC_Ref[[#This Row],[EnergyConvTech]],Assumptions_EG!$B$14:$B$22,0)))</f>
        <v>#DIV/0!</v>
      </c>
      <c r="H37" s="423" t="e">
        <f>G37*(1+INDEX(Assumptions_EG!$C$14:$C$22,MATCH(LegacyFC_Ref[[#This Row],[EnergyConvTech]],Assumptions_EG!$B$14:$B$22,0)))</f>
        <v>#DIV/0!</v>
      </c>
      <c r="I37" s="423" t="e">
        <f>H37*(1+INDEX(Assumptions_EG!$C$14:$C$22,MATCH(LegacyFC_Ref[[#This Row],[EnergyConvTech]],Assumptions_EG!$B$14:$B$22,0)))</f>
        <v>#DIV/0!</v>
      </c>
      <c r="J37" s="423" t="e">
        <f>I37*(1+INDEX(Assumptions_EG!$C$14:$C$22,MATCH(LegacyFC_Ref[[#This Row],[EnergyConvTech]],Assumptions_EG!$B$14:$B$22,0)))</f>
        <v>#DIV/0!</v>
      </c>
      <c r="K37" s="423" t="e">
        <f>J37*(1+INDEX(Assumptions_EG!$C$14:$C$22,MATCH(LegacyFC_Ref[[#This Row],[EnergyConvTech]],Assumptions_EG!$B$14:$B$22,0)))</f>
        <v>#DIV/0!</v>
      </c>
      <c r="L37" s="423" t="e">
        <f>K37*(1+INDEX(Assumptions_EG!$C$14:$C$22,MATCH(LegacyFC_Ref[[#This Row],[EnergyConvTech]],Assumptions_EG!$B$14:$B$22,0)))</f>
        <v>#DIV/0!</v>
      </c>
      <c r="M37" s="423" t="e">
        <f>L37*(1+INDEX(Assumptions_EG!$C$14:$C$22,MATCH(LegacyFC_Ref[[#This Row],[EnergyConvTech]],Assumptions_EG!$B$14:$B$22,0)))</f>
        <v>#DIV/0!</v>
      </c>
      <c r="N37" s="423" t="e">
        <f>M37*(1+INDEX(Assumptions_EG!$C$14:$C$22,MATCH(LegacyFC_Ref[[#This Row],[EnergyConvTech]],Assumptions_EG!$B$14:$B$22,0)))</f>
        <v>#DIV/0!</v>
      </c>
    </row>
    <row r="38" spans="1:14" x14ac:dyDescent="0.35">
      <c r="A38" s="483">
        <v>2020</v>
      </c>
      <c r="B38" s="393" t="s">
        <v>1603</v>
      </c>
      <c r="C38" s="422" t="s">
        <v>1054</v>
      </c>
      <c r="D38" s="480">
        <f>INDEX(RegionalFCsRef[],MATCH(LegacyFC_Ref[[#This Row],[EnergyConvTech]],RegionalFCsRef[EnergyConvTech],0),MATCH(LegacyFC_Ref[[#This Row],[SubGeography1]],RegionalFCsRef[#Headers],0))</f>
        <v>7111.1111111111113</v>
      </c>
      <c r="E38" s="479">
        <f>D38*(1+INDEX(Assumptions_EG!$C$14:$C$22,MATCH(LegacyFC_Ref[[#This Row],[EnergyConvTech]],Assumptions_EG!$B$14:$B$22,0)))</f>
        <v>7111.1111111111113</v>
      </c>
      <c r="F38" s="479">
        <f>E38*(1+INDEX(Assumptions_EG!$C$14:$C$22,MATCH(LegacyFC_Ref[[#This Row],[EnergyConvTech]],Assumptions_EG!$B$14:$B$22,0)))</f>
        <v>7111.1111111111113</v>
      </c>
      <c r="G38" s="479">
        <f>F38*(1+INDEX(Assumptions_EG!$C$14:$C$22,MATCH(LegacyFC_Ref[[#This Row],[EnergyConvTech]],Assumptions_EG!$B$14:$B$22,0)))</f>
        <v>7111.1111111111113</v>
      </c>
      <c r="H38" s="479">
        <f>G38*(1+INDEX(Assumptions_EG!$C$14:$C$22,MATCH(LegacyFC_Ref[[#This Row],[EnergyConvTech]],Assumptions_EG!$B$14:$B$22,0)))</f>
        <v>7111.1111111111113</v>
      </c>
      <c r="I38" s="479">
        <f>H38*(1+INDEX(Assumptions_EG!$C$14:$C$22,MATCH(LegacyFC_Ref[[#This Row],[EnergyConvTech]],Assumptions_EG!$B$14:$B$22,0)))</f>
        <v>7111.1111111111113</v>
      </c>
      <c r="J38" s="479">
        <f>I38*(1+INDEX(Assumptions_EG!$C$14:$C$22,MATCH(LegacyFC_Ref[[#This Row],[EnergyConvTech]],Assumptions_EG!$B$14:$B$22,0)))</f>
        <v>7111.1111111111113</v>
      </c>
      <c r="K38" s="479">
        <f>J38*(1+INDEX(Assumptions_EG!$C$14:$C$22,MATCH(LegacyFC_Ref[[#This Row],[EnergyConvTech]],Assumptions_EG!$B$14:$B$22,0)))</f>
        <v>7111.1111111111113</v>
      </c>
      <c r="L38" s="479">
        <f>K38*(1+INDEX(Assumptions_EG!$C$14:$C$22,MATCH(LegacyFC_Ref[[#This Row],[EnergyConvTech]],Assumptions_EG!$B$14:$B$22,0)))</f>
        <v>7111.1111111111113</v>
      </c>
      <c r="M38" s="479">
        <f>L38*(1+INDEX(Assumptions_EG!$C$14:$C$22,MATCH(LegacyFC_Ref[[#This Row],[EnergyConvTech]],Assumptions_EG!$B$14:$B$22,0)))</f>
        <v>7111.1111111111113</v>
      </c>
      <c r="N38" s="479">
        <f>M38*(1+INDEX(Assumptions_EG!$C$14:$C$22,MATCH(LegacyFC_Ref[[#This Row],[EnergyConvTech]],Assumptions_EG!$B$14:$B$22,0)))</f>
        <v>7111.1111111111113</v>
      </c>
    </row>
    <row r="39" spans="1:14" x14ac:dyDescent="0.35">
      <c r="A39" s="482">
        <v>2020</v>
      </c>
      <c r="B39" s="422" t="s">
        <v>1605</v>
      </c>
      <c r="C39" s="422" t="s">
        <v>1054</v>
      </c>
      <c r="D39" s="480">
        <f>INDEX(RegionalFCsRef[],MATCH(LegacyFC_Ref[[#This Row],[EnergyConvTech]],RegionalFCsRef[EnergyConvTech],0),MATCH(LegacyFC_Ref[[#This Row],[SubGeography1]],RegionalFCsRef[#Headers],0))</f>
        <v>13398.066756076199</v>
      </c>
      <c r="E39" s="423">
        <f>D39*(1+INDEX(Assumptions_EG!$C$14:$C$22,MATCH(LegacyFC_Ref[[#This Row],[EnergyConvTech]],Assumptions_EG!$B$14:$B$22,0)))</f>
        <v>13398.066756076199</v>
      </c>
      <c r="F39" s="423">
        <f>E39*(1+INDEX(Assumptions_EG!$C$14:$C$22,MATCH(LegacyFC_Ref[[#This Row],[EnergyConvTech]],Assumptions_EG!$B$14:$B$22,0)))</f>
        <v>13398.066756076199</v>
      </c>
      <c r="G39" s="423">
        <f>F39*(1+INDEX(Assumptions_EG!$C$14:$C$22,MATCH(LegacyFC_Ref[[#This Row],[EnergyConvTech]],Assumptions_EG!$B$14:$B$22,0)))</f>
        <v>13398.066756076199</v>
      </c>
      <c r="H39" s="423">
        <f>G39*(1+INDEX(Assumptions_EG!$C$14:$C$22,MATCH(LegacyFC_Ref[[#This Row],[EnergyConvTech]],Assumptions_EG!$B$14:$B$22,0)))</f>
        <v>13398.066756076199</v>
      </c>
      <c r="I39" s="423">
        <f>H39*(1+INDEX(Assumptions_EG!$C$14:$C$22,MATCH(LegacyFC_Ref[[#This Row],[EnergyConvTech]],Assumptions_EG!$B$14:$B$22,0)))</f>
        <v>13398.066756076199</v>
      </c>
      <c r="J39" s="423">
        <f>I39*(1+INDEX(Assumptions_EG!$C$14:$C$22,MATCH(LegacyFC_Ref[[#This Row],[EnergyConvTech]],Assumptions_EG!$B$14:$B$22,0)))</f>
        <v>13398.066756076199</v>
      </c>
      <c r="K39" s="423">
        <f>J39*(1+INDEX(Assumptions_EG!$C$14:$C$22,MATCH(LegacyFC_Ref[[#This Row],[EnergyConvTech]],Assumptions_EG!$B$14:$B$22,0)))</f>
        <v>13398.066756076199</v>
      </c>
      <c r="L39" s="423">
        <f>K39*(1+INDEX(Assumptions_EG!$C$14:$C$22,MATCH(LegacyFC_Ref[[#This Row],[EnergyConvTech]],Assumptions_EG!$B$14:$B$22,0)))</f>
        <v>13398.066756076199</v>
      </c>
      <c r="M39" s="423">
        <f>L39*(1+INDEX(Assumptions_EG!$C$14:$C$22,MATCH(LegacyFC_Ref[[#This Row],[EnergyConvTech]],Assumptions_EG!$B$14:$B$22,0)))</f>
        <v>13398.066756076199</v>
      </c>
      <c r="N39" s="423">
        <f>M39*(1+INDEX(Assumptions_EG!$C$14:$C$22,MATCH(LegacyFC_Ref[[#This Row],[EnergyConvTech]],Assumptions_EG!$B$14:$B$22,0)))</f>
        <v>13398.066756076199</v>
      </c>
    </row>
    <row r="40" spans="1:14" x14ac:dyDescent="0.35">
      <c r="A40" s="483">
        <v>2020</v>
      </c>
      <c r="B40" s="393" t="s">
        <v>1636</v>
      </c>
      <c r="C40" s="422" t="s">
        <v>1054</v>
      </c>
      <c r="D40" s="480">
        <f>INDEX(RegionalFCsRef[],MATCH(LegacyFC_Ref[[#This Row],[EnergyConvTech]],RegionalFCsRef[EnergyConvTech],0),MATCH(LegacyFC_Ref[[#This Row],[SubGeography1]],RegionalFCsRef[#Headers],0))</f>
        <v>12207.727097566041</v>
      </c>
      <c r="E40" s="479">
        <f>D40*(1+INDEX(Assumptions_EG!$C$14:$C$22,MATCH(LegacyFC_Ref[[#This Row],[EnergyConvTech]],Assumptions_EG!$B$14:$B$22,0)))</f>
        <v>11719.418013663399</v>
      </c>
      <c r="F40" s="479">
        <f>E40*(1+INDEX(Assumptions_EG!$C$14:$C$22,MATCH(LegacyFC_Ref[[#This Row],[EnergyConvTech]],Assumptions_EG!$B$14:$B$22,0)))</f>
        <v>11250.641293116862</v>
      </c>
      <c r="G40" s="479">
        <f>F40*(1+INDEX(Assumptions_EG!$C$14:$C$22,MATCH(LegacyFC_Ref[[#This Row],[EnergyConvTech]],Assumptions_EG!$B$14:$B$22,0)))</f>
        <v>10800.615641392187</v>
      </c>
      <c r="H40" s="479">
        <f>G40*(1+INDEX(Assumptions_EG!$C$14:$C$22,MATCH(LegacyFC_Ref[[#This Row],[EnergyConvTech]],Assumptions_EG!$B$14:$B$22,0)))</f>
        <v>10368.5910157365</v>
      </c>
      <c r="I40" s="479">
        <f>H40*(1+INDEX(Assumptions_EG!$C$14:$C$22,MATCH(LegacyFC_Ref[[#This Row],[EnergyConvTech]],Assumptions_EG!$B$14:$B$22,0)))</f>
        <v>9953.8473751070396</v>
      </c>
      <c r="J40" s="479">
        <f>I40*(1+INDEX(Assumptions_EG!$C$14:$C$22,MATCH(LegacyFC_Ref[[#This Row],[EnergyConvTech]],Assumptions_EG!$B$14:$B$22,0)))</f>
        <v>9555.6934801027583</v>
      </c>
      <c r="K40" s="479">
        <f>J40*(1+INDEX(Assumptions_EG!$C$14:$C$22,MATCH(LegacyFC_Ref[[#This Row],[EnergyConvTech]],Assumptions_EG!$B$14:$B$22,0)))</f>
        <v>9173.4657408986477</v>
      </c>
      <c r="L40" s="479">
        <f>K40*(1+INDEX(Assumptions_EG!$C$14:$C$22,MATCH(LegacyFC_Ref[[#This Row],[EnergyConvTech]],Assumptions_EG!$B$14:$B$22,0)))</f>
        <v>8806.5271112627015</v>
      </c>
      <c r="M40" s="479">
        <f>L40*(1+INDEX(Assumptions_EG!$C$14:$C$22,MATCH(LegacyFC_Ref[[#This Row],[EnergyConvTech]],Assumptions_EG!$B$14:$B$22,0)))</f>
        <v>8454.2660268121926</v>
      </c>
      <c r="N40" s="479">
        <f>M40*(1+INDEX(Assumptions_EG!$C$14:$C$22,MATCH(LegacyFC_Ref[[#This Row],[EnergyConvTech]],Assumptions_EG!$B$14:$B$22,0)))</f>
        <v>8116.0953857397044</v>
      </c>
    </row>
    <row r="41" spans="1:14" x14ac:dyDescent="0.35">
      <c r="A41" s="486">
        <v>2020</v>
      </c>
      <c r="B41" s="428" t="s">
        <v>1606</v>
      </c>
      <c r="C41" s="422" t="s">
        <v>1054</v>
      </c>
      <c r="D41" s="480" t="e">
        <f>INDEX(RegionalFCsRef[],MATCH(LegacyFC_Ref[[#This Row],[EnergyConvTech]],RegionalFCsRef[EnergyConvTech],0),MATCH(LegacyFC_Ref[[#This Row],[SubGeography1]],RegionalFCsRef[#Headers],0))</f>
        <v>#DIV/0!</v>
      </c>
      <c r="E41" s="430" t="e">
        <f>D41*(1+INDEX(Assumptions_EG!$C$14:$C$22,MATCH(LegacyFC_Ref[[#This Row],[EnergyConvTech]],Assumptions_EG!$B$14:$B$22,0)))</f>
        <v>#DIV/0!</v>
      </c>
      <c r="F41" s="430" t="e">
        <f>E41*(1+INDEX(Assumptions_EG!$C$14:$C$22,MATCH(LegacyFC_Ref[[#This Row],[EnergyConvTech]],Assumptions_EG!$B$14:$B$22,0)))</f>
        <v>#DIV/0!</v>
      </c>
      <c r="G41" s="430" t="e">
        <f>F41*(1+INDEX(Assumptions_EG!$C$14:$C$22,MATCH(LegacyFC_Ref[[#This Row],[EnergyConvTech]],Assumptions_EG!$B$14:$B$22,0)))</f>
        <v>#DIV/0!</v>
      </c>
      <c r="H41" s="430" t="e">
        <f>G41*(1+INDEX(Assumptions_EG!$C$14:$C$22,MATCH(LegacyFC_Ref[[#This Row],[EnergyConvTech]],Assumptions_EG!$B$14:$B$22,0)))</f>
        <v>#DIV/0!</v>
      </c>
      <c r="I41" s="430" t="e">
        <f>H41*(1+INDEX(Assumptions_EG!$C$14:$C$22,MATCH(LegacyFC_Ref[[#This Row],[EnergyConvTech]],Assumptions_EG!$B$14:$B$22,0)))</f>
        <v>#DIV/0!</v>
      </c>
      <c r="J41" s="430" t="e">
        <f>I41*(1+INDEX(Assumptions_EG!$C$14:$C$22,MATCH(LegacyFC_Ref[[#This Row],[EnergyConvTech]],Assumptions_EG!$B$14:$B$22,0)))</f>
        <v>#DIV/0!</v>
      </c>
      <c r="K41" s="430" t="e">
        <f>J41*(1+INDEX(Assumptions_EG!$C$14:$C$22,MATCH(LegacyFC_Ref[[#This Row],[EnergyConvTech]],Assumptions_EG!$B$14:$B$22,0)))</f>
        <v>#DIV/0!</v>
      </c>
      <c r="L41" s="430" t="e">
        <f>K41*(1+INDEX(Assumptions_EG!$C$14:$C$22,MATCH(LegacyFC_Ref[[#This Row],[EnergyConvTech]],Assumptions_EG!$B$14:$B$22,0)))</f>
        <v>#DIV/0!</v>
      </c>
      <c r="M41" s="430" t="e">
        <f>L41*(1+INDEX(Assumptions_EG!$C$14:$C$22,MATCH(LegacyFC_Ref[[#This Row],[EnergyConvTech]],Assumptions_EG!$B$14:$B$22,0)))</f>
        <v>#DIV/0!</v>
      </c>
      <c r="N41" s="430" t="e">
        <f>M41*(1+INDEX(Assumptions_EG!$C$14:$C$22,MATCH(LegacyFC_Ref[[#This Row],[EnergyConvTech]],Assumptions_EG!$B$14:$B$22,0)))</f>
        <v>#DIV/0!</v>
      </c>
    </row>
  </sheetData>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workbookViewId="0"/>
  </sheetViews>
  <sheetFormatPr defaultColWidth="8.7265625" defaultRowHeight="14.5" x14ac:dyDescent="0.35"/>
  <cols>
    <col min="1" max="1" width="10" style="304" bestFit="1" customWidth="1"/>
    <col min="2" max="2" width="16.7265625" style="304" bestFit="1" customWidth="1"/>
    <col min="3" max="3" width="16.453125" style="304" bestFit="1" customWidth="1"/>
    <col min="4" max="4" width="11.7265625" style="304" bestFit="1" customWidth="1"/>
    <col min="5" max="5" width="10.7265625" style="304" bestFit="1" customWidth="1"/>
    <col min="6" max="7" width="11.7265625" style="304" bestFit="1" customWidth="1"/>
    <col min="8" max="16384" width="8.7265625" style="304"/>
  </cols>
  <sheetData>
    <row r="1" spans="1:14" x14ac:dyDescent="0.35">
      <c r="A1" s="484" t="s">
        <v>1619</v>
      </c>
      <c r="B1" s="485" t="s">
        <v>1561</v>
      </c>
      <c r="C1" s="485" t="s">
        <v>1563</v>
      </c>
      <c r="D1" s="484" t="s">
        <v>1473</v>
      </c>
      <c r="E1" s="485" t="s">
        <v>1474</v>
      </c>
      <c r="F1" s="484" t="s">
        <v>1475</v>
      </c>
      <c r="G1" s="485" t="s">
        <v>1476</v>
      </c>
      <c r="H1" s="484" t="s">
        <v>1477</v>
      </c>
      <c r="I1" s="485" t="s">
        <v>1478</v>
      </c>
      <c r="J1" s="484" t="s">
        <v>1479</v>
      </c>
      <c r="K1" s="485" t="s">
        <v>1480</v>
      </c>
      <c r="L1" s="484" t="s">
        <v>1481</v>
      </c>
      <c r="M1" s="485" t="s">
        <v>1482</v>
      </c>
      <c r="N1" s="484" t="s">
        <v>1483</v>
      </c>
    </row>
    <row r="2" spans="1:14" x14ac:dyDescent="0.35">
      <c r="A2" s="482">
        <v>2020</v>
      </c>
      <c r="B2" s="422" t="s">
        <v>1612</v>
      </c>
      <c r="C2" s="422" t="s">
        <v>1046</v>
      </c>
      <c r="D2" s="480">
        <f>INDEX(RegionalFCsPRS[],MATCH(LegacyFC_PRS[[#This Row],[EnergyConvTech]],RegionalFCsPRS[EnergyConvTech],0),MATCH(LegacyFC_PRS[[#This Row],[SubGeography1]],RegionalFCsPRS[#Headers],0))</f>
        <v>9569.1781470381666</v>
      </c>
      <c r="E2" s="423">
        <f>D2*(1+INDEX(Assumptions_EG!$C$14:$C$22,MATCH(LegacyFC_PRS[[#This Row],[EnergyConvTech]],Assumptions_EG!$B$14:$B$22,0)))</f>
        <v>9585.6713985900969</v>
      </c>
      <c r="F2" s="423">
        <f>E2*(1+INDEX(Assumptions_EG!$C$14:$C$22,MATCH(LegacyFC_PRS[[#This Row],[EnergyConvTech]],Assumptions_EG!$B$14:$B$22,0)))</f>
        <v>9602.1930775934325</v>
      </c>
      <c r="G2" s="423">
        <f>F2*(1+INDEX(Assumptions_EG!$C$14:$C$22,MATCH(LegacyFC_PRS[[#This Row],[EnergyConvTech]],Assumptions_EG!$B$14:$B$22,0)))</f>
        <v>9618.7432330451811</v>
      </c>
      <c r="H2" s="423">
        <f>G2*(1+INDEX(Assumptions_EG!$C$14:$C$22,MATCH(LegacyFC_PRS[[#This Row],[EnergyConvTech]],Assumptions_EG!$B$14:$B$22,0)))</f>
        <v>9635.3219140268029</v>
      </c>
      <c r="I2" s="423">
        <f>H2*(1+INDEX(Assumptions_EG!$C$14:$C$22,MATCH(LegacyFC_PRS[[#This Row],[EnergyConvTech]],Assumptions_EG!$B$14:$B$22,0)))</f>
        <v>9651.9291697043518</v>
      </c>
      <c r="J2" s="423">
        <f>I2*(1+INDEX(Assumptions_EG!$C$14:$C$22,MATCH(LegacyFC_PRS[[#This Row],[EnergyConvTech]],Assumptions_EG!$B$14:$B$22,0)))</f>
        <v>9668.5650493286248</v>
      </c>
      <c r="K2" s="423">
        <f>J2*(1+INDEX(Assumptions_EG!$C$14:$C$22,MATCH(LegacyFC_PRS[[#This Row],[EnergyConvTech]],Assumptions_EG!$B$14:$B$22,0)))</f>
        <v>9685.2296022353075</v>
      </c>
      <c r="L2" s="423">
        <f>K2*(1+INDEX(Assumptions_EG!$C$14:$C$22,MATCH(LegacyFC_PRS[[#This Row],[EnergyConvTech]],Assumptions_EG!$B$14:$B$22,0)))</f>
        <v>9701.9228778451179</v>
      </c>
      <c r="M2" s="423">
        <f>L2*(1+INDEX(Assumptions_EG!$C$14:$C$22,MATCH(LegacyFC_PRS[[#This Row],[EnergyConvTech]],Assumptions_EG!$B$14:$B$22,0)))</f>
        <v>9718.6449256639535</v>
      </c>
      <c r="N2" s="423">
        <f>M2*(1+INDEX(Assumptions_EG!$C$14:$C$22,MATCH(LegacyFC_PRS[[#This Row],[EnergyConvTech]],Assumptions_EG!$B$14:$B$22,0)))</f>
        <v>9735.3957952830424</v>
      </c>
    </row>
    <row r="3" spans="1:14" x14ac:dyDescent="0.35">
      <c r="A3" s="482">
        <v>2020</v>
      </c>
      <c r="B3" s="422" t="s">
        <v>1613</v>
      </c>
      <c r="C3" s="422" t="s">
        <v>1046</v>
      </c>
      <c r="D3" s="480">
        <f>INDEX(RegionalFCsPRS[],MATCH(LegacyFC_PRS[[#This Row],[EnergyConvTech]],RegionalFCsPRS[EnergyConvTech],0),MATCH(LegacyFC_PRS[[#This Row],[SubGeography1]],RegionalFCsPRS[#Headers],0))</f>
        <v>3071.533602770714</v>
      </c>
      <c r="E3" s="423">
        <f>D3*(1+INDEX(Assumptions_EG!$C$14:$C$22,MATCH(LegacyFC_PRS[[#This Row],[EnergyConvTech]],Assumptions_EG!$B$14:$B$22,0)))</f>
        <v>3076.8276390591268</v>
      </c>
      <c r="F3" s="423">
        <f>E3*(1+INDEX(Assumptions_EG!$C$14:$C$22,MATCH(LegacyFC_PRS[[#This Row],[EnergyConvTech]],Assumptions_EG!$B$14:$B$22,0)))</f>
        <v>3082.1308000467443</v>
      </c>
      <c r="G3" s="423">
        <f>F3*(1+INDEX(Assumptions_EG!$C$14:$C$22,MATCH(LegacyFC_PRS[[#This Row],[EnergyConvTech]],Assumptions_EG!$B$14:$B$22,0)))</f>
        <v>3087.443101460723</v>
      </c>
      <c r="H3" s="423">
        <f>G3*(1+INDEX(Assumptions_EG!$C$14:$C$22,MATCH(LegacyFC_PRS[[#This Row],[EnergyConvTech]],Assumptions_EG!$B$14:$B$22,0)))</f>
        <v>3092.7645590553261</v>
      </c>
      <c r="I3" s="423">
        <f>H3*(1+INDEX(Assumptions_EG!$C$14:$C$22,MATCH(LegacyFC_PRS[[#This Row],[EnergyConvTech]],Assumptions_EG!$B$14:$B$22,0)))</f>
        <v>3098.0951886119706</v>
      </c>
      <c r="J3" s="423">
        <f>I3*(1+INDEX(Assumptions_EG!$C$14:$C$22,MATCH(LegacyFC_PRS[[#This Row],[EnergyConvTech]],Assumptions_EG!$B$14:$B$22,0)))</f>
        <v>3103.4350059392737</v>
      </c>
      <c r="K3" s="423">
        <f>J3*(1+INDEX(Assumptions_EG!$C$14:$C$22,MATCH(LegacyFC_PRS[[#This Row],[EnergyConvTech]],Assumptions_EG!$B$14:$B$22,0)))</f>
        <v>3108.7840268731006</v>
      </c>
      <c r="L3" s="423">
        <f>K3*(1+INDEX(Assumptions_EG!$C$14:$C$22,MATCH(LegacyFC_PRS[[#This Row],[EnergyConvTech]],Assumptions_EG!$B$14:$B$22,0)))</f>
        <v>3114.1422672766103</v>
      </c>
      <c r="M3" s="423">
        <f>L3*(1+INDEX(Assumptions_EG!$C$14:$C$22,MATCH(LegacyFC_PRS[[#This Row],[EnergyConvTech]],Assumptions_EG!$B$14:$B$22,0)))</f>
        <v>3119.5097430403039</v>
      </c>
      <c r="N3" s="423">
        <f>M3*(1+INDEX(Assumptions_EG!$C$14:$C$22,MATCH(LegacyFC_PRS[[#This Row],[EnergyConvTech]],Assumptions_EG!$B$14:$B$22,0)))</f>
        <v>3124.8864700820704</v>
      </c>
    </row>
    <row r="4" spans="1:14" x14ac:dyDescent="0.35">
      <c r="A4" s="482">
        <v>2020</v>
      </c>
      <c r="B4" s="422" t="s">
        <v>1604</v>
      </c>
      <c r="C4" s="422" t="s">
        <v>1046</v>
      </c>
      <c r="D4" s="480">
        <f>INDEX(RegionalFCsPRS[],MATCH(LegacyFC_PRS[[#This Row],[EnergyConvTech]],RegionalFCsPRS[EnergyConvTech],0),MATCH(LegacyFC_PRS[[#This Row],[SubGeography1]],RegionalFCsPRS[#Headers],0))</f>
        <v>11576.617455650492</v>
      </c>
      <c r="E4" s="423">
        <f>D4*(1+INDEX(Assumptions_EG!$C$14:$C$22,MATCH(LegacyFC_PRS[[#This Row],[EnergyConvTech]],Assumptions_EG!$B$14:$B$22,0)))</f>
        <v>11576.617455650492</v>
      </c>
      <c r="F4" s="423">
        <f>E4*(1+INDEX(Assumptions_EG!$C$14:$C$22,MATCH(LegacyFC_PRS[[#This Row],[EnergyConvTech]],Assumptions_EG!$B$14:$B$22,0)))</f>
        <v>11576.617455650492</v>
      </c>
      <c r="G4" s="423">
        <f>F4*(1+INDEX(Assumptions_EG!$C$14:$C$22,MATCH(LegacyFC_PRS[[#This Row],[EnergyConvTech]],Assumptions_EG!$B$14:$B$22,0)))</f>
        <v>11576.617455650492</v>
      </c>
      <c r="H4" s="423">
        <f>G4*(1+INDEX(Assumptions_EG!$C$14:$C$22,MATCH(LegacyFC_PRS[[#This Row],[EnergyConvTech]],Assumptions_EG!$B$14:$B$22,0)))</f>
        <v>11576.617455650492</v>
      </c>
      <c r="I4" s="423">
        <f>H4*(1+INDEX(Assumptions_EG!$C$14:$C$22,MATCH(LegacyFC_PRS[[#This Row],[EnergyConvTech]],Assumptions_EG!$B$14:$B$22,0)))</f>
        <v>11576.617455650492</v>
      </c>
      <c r="J4" s="423">
        <f>I4*(1+INDEX(Assumptions_EG!$C$14:$C$22,MATCH(LegacyFC_PRS[[#This Row],[EnergyConvTech]],Assumptions_EG!$B$14:$B$22,0)))</f>
        <v>11576.617455650492</v>
      </c>
      <c r="K4" s="423">
        <f>J4*(1+INDEX(Assumptions_EG!$C$14:$C$22,MATCH(LegacyFC_PRS[[#This Row],[EnergyConvTech]],Assumptions_EG!$B$14:$B$22,0)))</f>
        <v>11576.617455650492</v>
      </c>
      <c r="L4" s="423">
        <f>K4*(1+INDEX(Assumptions_EG!$C$14:$C$22,MATCH(LegacyFC_PRS[[#This Row],[EnergyConvTech]],Assumptions_EG!$B$14:$B$22,0)))</f>
        <v>11576.617455650492</v>
      </c>
      <c r="M4" s="423">
        <f>L4*(1+INDEX(Assumptions_EG!$C$14:$C$22,MATCH(LegacyFC_PRS[[#This Row],[EnergyConvTech]],Assumptions_EG!$B$14:$B$22,0)))</f>
        <v>11576.617455650492</v>
      </c>
      <c r="N4" s="423">
        <f>M4*(1+INDEX(Assumptions_EG!$C$14:$C$22,MATCH(LegacyFC_PRS[[#This Row],[EnergyConvTech]],Assumptions_EG!$B$14:$B$22,0)))</f>
        <v>11576.617455650492</v>
      </c>
    </row>
    <row r="5" spans="1:14" x14ac:dyDescent="0.35">
      <c r="A5" s="482">
        <v>2020</v>
      </c>
      <c r="B5" s="422" t="s">
        <v>1615</v>
      </c>
      <c r="C5" s="422" t="s">
        <v>1046</v>
      </c>
      <c r="D5" s="480">
        <f>INDEX(RegionalFCsPRS[],MATCH(LegacyFC_PRS[[#This Row],[EnergyConvTech]],RegionalFCsPRS[EnergyConvTech],0),MATCH(LegacyFC_PRS[[#This Row],[SubGeography1]],RegionalFCsPRS[#Headers],0))</f>
        <v>18216.212472207873</v>
      </c>
      <c r="E5" s="423">
        <f>D5*(1+INDEX(Assumptions_EG!$C$14:$C$22,MATCH(LegacyFC_PRS[[#This Row],[EnergyConvTech]],Assumptions_EG!$B$14:$B$22,0)))</f>
        <v>18216.212472207873</v>
      </c>
      <c r="F5" s="423">
        <f>E5*(1+INDEX(Assumptions_EG!$C$14:$C$22,MATCH(LegacyFC_PRS[[#This Row],[EnergyConvTech]],Assumptions_EG!$B$14:$B$22,0)))</f>
        <v>18216.212472207873</v>
      </c>
      <c r="G5" s="423">
        <f>F5*(1+INDEX(Assumptions_EG!$C$14:$C$22,MATCH(LegacyFC_PRS[[#This Row],[EnergyConvTech]],Assumptions_EG!$B$14:$B$22,0)))</f>
        <v>18216.212472207873</v>
      </c>
      <c r="H5" s="423">
        <f>G5*(1+INDEX(Assumptions_EG!$C$14:$C$22,MATCH(LegacyFC_PRS[[#This Row],[EnergyConvTech]],Assumptions_EG!$B$14:$B$22,0)))</f>
        <v>18216.212472207873</v>
      </c>
      <c r="I5" s="423">
        <f>H5*(1+INDEX(Assumptions_EG!$C$14:$C$22,MATCH(LegacyFC_PRS[[#This Row],[EnergyConvTech]],Assumptions_EG!$B$14:$B$22,0)))</f>
        <v>18216.212472207873</v>
      </c>
      <c r="J5" s="423">
        <f>I5*(1+INDEX(Assumptions_EG!$C$14:$C$22,MATCH(LegacyFC_PRS[[#This Row],[EnergyConvTech]],Assumptions_EG!$B$14:$B$22,0)))</f>
        <v>18216.212472207873</v>
      </c>
      <c r="K5" s="423">
        <f>J5*(1+INDEX(Assumptions_EG!$C$14:$C$22,MATCH(LegacyFC_PRS[[#This Row],[EnergyConvTech]],Assumptions_EG!$B$14:$B$22,0)))</f>
        <v>18216.212472207873</v>
      </c>
      <c r="L5" s="423">
        <f>K5*(1+INDEX(Assumptions_EG!$C$14:$C$22,MATCH(LegacyFC_PRS[[#This Row],[EnergyConvTech]],Assumptions_EG!$B$14:$B$22,0)))</f>
        <v>18216.212472207873</v>
      </c>
      <c r="M5" s="423">
        <f>L5*(1+INDEX(Assumptions_EG!$C$14:$C$22,MATCH(LegacyFC_PRS[[#This Row],[EnergyConvTech]],Assumptions_EG!$B$14:$B$22,0)))</f>
        <v>18216.212472207873</v>
      </c>
      <c r="N5" s="423">
        <f>M5*(1+INDEX(Assumptions_EG!$C$14:$C$22,MATCH(LegacyFC_PRS[[#This Row],[EnergyConvTech]],Assumptions_EG!$B$14:$B$22,0)))</f>
        <v>18216.212472207873</v>
      </c>
    </row>
    <row r="6" spans="1:14" x14ac:dyDescent="0.35">
      <c r="A6" s="482">
        <v>2020</v>
      </c>
      <c r="B6" s="422" t="s">
        <v>1603</v>
      </c>
      <c r="C6" s="422" t="s">
        <v>1046</v>
      </c>
      <c r="D6" s="480">
        <f>INDEX(RegionalFCsPRS[],MATCH(LegacyFC_PRS[[#This Row],[EnergyConvTech]],RegionalFCsPRS[EnergyConvTech],0),MATCH(LegacyFC_PRS[[#This Row],[SubGeography1]],RegionalFCsPRS[#Headers],0))</f>
        <v>4783.4825046733322</v>
      </c>
      <c r="E6" s="423">
        <f>D6*(1+INDEX(Assumptions_EG!$C$14:$C$22,MATCH(LegacyFC_PRS[[#This Row],[EnergyConvTech]],Assumptions_EG!$B$14:$B$22,0)))</f>
        <v>4783.4825046733322</v>
      </c>
      <c r="F6" s="423">
        <f>E6*(1+INDEX(Assumptions_EG!$C$14:$C$22,MATCH(LegacyFC_PRS[[#This Row],[EnergyConvTech]],Assumptions_EG!$B$14:$B$22,0)))</f>
        <v>4783.4825046733322</v>
      </c>
      <c r="G6" s="423">
        <f>F6*(1+INDEX(Assumptions_EG!$C$14:$C$22,MATCH(LegacyFC_PRS[[#This Row],[EnergyConvTech]],Assumptions_EG!$B$14:$B$22,0)))</f>
        <v>4783.4825046733322</v>
      </c>
      <c r="H6" s="423">
        <f>G6*(1+INDEX(Assumptions_EG!$C$14:$C$22,MATCH(LegacyFC_PRS[[#This Row],[EnergyConvTech]],Assumptions_EG!$B$14:$B$22,0)))</f>
        <v>4783.4825046733322</v>
      </c>
      <c r="I6" s="423">
        <f>H6*(1+INDEX(Assumptions_EG!$C$14:$C$22,MATCH(LegacyFC_PRS[[#This Row],[EnergyConvTech]],Assumptions_EG!$B$14:$B$22,0)))</f>
        <v>4783.4825046733322</v>
      </c>
      <c r="J6" s="423">
        <f>I6*(1+INDEX(Assumptions_EG!$C$14:$C$22,MATCH(LegacyFC_PRS[[#This Row],[EnergyConvTech]],Assumptions_EG!$B$14:$B$22,0)))</f>
        <v>4783.4825046733322</v>
      </c>
      <c r="K6" s="423">
        <f>J6*(1+INDEX(Assumptions_EG!$C$14:$C$22,MATCH(LegacyFC_PRS[[#This Row],[EnergyConvTech]],Assumptions_EG!$B$14:$B$22,0)))</f>
        <v>4783.4825046733322</v>
      </c>
      <c r="L6" s="423">
        <f>K6*(1+INDEX(Assumptions_EG!$C$14:$C$22,MATCH(LegacyFC_PRS[[#This Row],[EnergyConvTech]],Assumptions_EG!$B$14:$B$22,0)))</f>
        <v>4783.4825046733322</v>
      </c>
      <c r="M6" s="423">
        <f>L6*(1+INDEX(Assumptions_EG!$C$14:$C$22,MATCH(LegacyFC_PRS[[#This Row],[EnergyConvTech]],Assumptions_EG!$B$14:$B$22,0)))</f>
        <v>4783.4825046733322</v>
      </c>
      <c r="N6" s="423">
        <f>M6*(1+INDEX(Assumptions_EG!$C$14:$C$22,MATCH(LegacyFC_PRS[[#This Row],[EnergyConvTech]],Assumptions_EG!$B$14:$B$22,0)))</f>
        <v>4783.4825046733322</v>
      </c>
    </row>
    <row r="7" spans="1:14" x14ac:dyDescent="0.35">
      <c r="A7" s="482">
        <v>2020</v>
      </c>
      <c r="B7" s="422" t="s">
        <v>1605</v>
      </c>
      <c r="C7" s="422" t="s">
        <v>1046</v>
      </c>
      <c r="D7" s="480">
        <f>INDEX(RegionalFCsPRS[],MATCH(LegacyFC_PRS[[#This Row],[EnergyConvTech]],RegionalFCsPRS[EnergyConvTech],0),MATCH(LegacyFC_PRS[[#This Row],[SubGeography1]],RegionalFCsPRS[#Headers],0))</f>
        <v>12023.270348024485</v>
      </c>
      <c r="E7" s="423">
        <f>D7*(1+INDEX(Assumptions_EG!$C$14:$C$22,MATCH(LegacyFC_PRS[[#This Row],[EnergyConvTech]],Assumptions_EG!$B$14:$B$22,0)))</f>
        <v>12023.270348024485</v>
      </c>
      <c r="F7" s="423">
        <f>E7*(1+INDEX(Assumptions_EG!$C$14:$C$22,MATCH(LegacyFC_PRS[[#This Row],[EnergyConvTech]],Assumptions_EG!$B$14:$B$22,0)))</f>
        <v>12023.270348024485</v>
      </c>
      <c r="G7" s="423">
        <f>F7*(1+INDEX(Assumptions_EG!$C$14:$C$22,MATCH(LegacyFC_PRS[[#This Row],[EnergyConvTech]],Assumptions_EG!$B$14:$B$22,0)))</f>
        <v>12023.270348024485</v>
      </c>
      <c r="H7" s="423">
        <f>G7*(1+INDEX(Assumptions_EG!$C$14:$C$22,MATCH(LegacyFC_PRS[[#This Row],[EnergyConvTech]],Assumptions_EG!$B$14:$B$22,0)))</f>
        <v>12023.270348024485</v>
      </c>
      <c r="I7" s="423">
        <f>H7*(1+INDEX(Assumptions_EG!$C$14:$C$22,MATCH(LegacyFC_PRS[[#This Row],[EnergyConvTech]],Assumptions_EG!$B$14:$B$22,0)))</f>
        <v>12023.270348024485</v>
      </c>
      <c r="J7" s="423">
        <f>I7*(1+INDEX(Assumptions_EG!$C$14:$C$22,MATCH(LegacyFC_PRS[[#This Row],[EnergyConvTech]],Assumptions_EG!$B$14:$B$22,0)))</f>
        <v>12023.270348024485</v>
      </c>
      <c r="K7" s="423">
        <f>J7*(1+INDEX(Assumptions_EG!$C$14:$C$22,MATCH(LegacyFC_PRS[[#This Row],[EnergyConvTech]],Assumptions_EG!$B$14:$B$22,0)))</f>
        <v>12023.270348024485</v>
      </c>
      <c r="L7" s="423">
        <f>K7*(1+INDEX(Assumptions_EG!$C$14:$C$22,MATCH(LegacyFC_PRS[[#This Row],[EnergyConvTech]],Assumptions_EG!$B$14:$B$22,0)))</f>
        <v>12023.270348024485</v>
      </c>
      <c r="M7" s="423">
        <f>L7*(1+INDEX(Assumptions_EG!$C$14:$C$22,MATCH(LegacyFC_PRS[[#This Row],[EnergyConvTech]],Assumptions_EG!$B$14:$B$22,0)))</f>
        <v>12023.270348024485</v>
      </c>
      <c r="N7" s="423">
        <f>M7*(1+INDEX(Assumptions_EG!$C$14:$C$22,MATCH(LegacyFC_PRS[[#This Row],[EnergyConvTech]],Assumptions_EG!$B$14:$B$22,0)))</f>
        <v>12023.270348024485</v>
      </c>
    </row>
    <row r="8" spans="1:14" x14ac:dyDescent="0.35">
      <c r="A8" s="482">
        <v>2020</v>
      </c>
      <c r="B8" s="422" t="s">
        <v>1636</v>
      </c>
      <c r="C8" s="422" t="s">
        <v>1046</v>
      </c>
      <c r="D8" s="480">
        <f>INDEX(RegionalFCsPRS[],MATCH(LegacyFC_PRS[[#This Row],[EnergyConvTech]],RegionalFCsPRS[EnergyConvTech],0),MATCH(LegacyFC_PRS[[#This Row],[SubGeography1]],RegionalFCsPRS[#Headers],0))</f>
        <v>8940.0285185740213</v>
      </c>
      <c r="E8" s="423">
        <f>D8*(1+INDEX(Assumptions_EG!$C$14:$C$22,MATCH(LegacyFC_PRS[[#This Row],[EnergyConvTech]],Assumptions_EG!$B$14:$B$22,0)))</f>
        <v>8582.4273778310599</v>
      </c>
      <c r="F8" s="423">
        <f>E8*(1+INDEX(Assumptions_EG!$C$14:$C$22,MATCH(LegacyFC_PRS[[#This Row],[EnergyConvTech]],Assumptions_EG!$B$14:$B$22,0)))</f>
        <v>8239.130282717817</v>
      </c>
      <c r="G8" s="423">
        <f>F8*(1+INDEX(Assumptions_EG!$C$14:$C$22,MATCH(LegacyFC_PRS[[#This Row],[EnergyConvTech]],Assumptions_EG!$B$14:$B$22,0)))</f>
        <v>7909.5650714091043</v>
      </c>
      <c r="H8" s="423">
        <f>G8*(1+INDEX(Assumptions_EG!$C$14:$C$22,MATCH(LegacyFC_PRS[[#This Row],[EnergyConvTech]],Assumptions_EG!$B$14:$B$22,0)))</f>
        <v>7593.1824685527399</v>
      </c>
      <c r="I8" s="423">
        <f>H8*(1+INDEX(Assumptions_EG!$C$14:$C$22,MATCH(LegacyFC_PRS[[#This Row],[EnergyConvTech]],Assumptions_EG!$B$14:$B$22,0)))</f>
        <v>7289.4551698106297</v>
      </c>
      <c r="J8" s="423">
        <f>I8*(1+INDEX(Assumptions_EG!$C$14:$C$22,MATCH(LegacyFC_PRS[[#This Row],[EnergyConvTech]],Assumptions_EG!$B$14:$B$22,0)))</f>
        <v>6997.8769630182042</v>
      </c>
      <c r="K8" s="423">
        <f>J8*(1+INDEX(Assumptions_EG!$C$14:$C$22,MATCH(LegacyFC_PRS[[#This Row],[EnergyConvTech]],Assumptions_EG!$B$14:$B$22,0)))</f>
        <v>6717.9618844974757</v>
      </c>
      <c r="L8" s="423">
        <f>K8*(1+INDEX(Assumptions_EG!$C$14:$C$22,MATCH(LegacyFC_PRS[[#This Row],[EnergyConvTech]],Assumptions_EG!$B$14:$B$22,0)))</f>
        <v>6449.2434091175764</v>
      </c>
      <c r="M8" s="423">
        <f>L8*(1+INDEX(Assumptions_EG!$C$14:$C$22,MATCH(LegacyFC_PRS[[#This Row],[EnergyConvTech]],Assumptions_EG!$B$14:$B$22,0)))</f>
        <v>6191.2736727528736</v>
      </c>
      <c r="N8" s="423">
        <f>M8*(1+INDEX(Assumptions_EG!$C$14:$C$22,MATCH(LegacyFC_PRS[[#This Row],[EnergyConvTech]],Assumptions_EG!$B$14:$B$22,0)))</f>
        <v>5943.6227258427589</v>
      </c>
    </row>
    <row r="9" spans="1:14" x14ac:dyDescent="0.35">
      <c r="A9" s="482">
        <v>2020</v>
      </c>
      <c r="B9" s="422" t="s">
        <v>1606</v>
      </c>
      <c r="C9" s="422" t="s">
        <v>1046</v>
      </c>
      <c r="D9" s="480">
        <f>INDEX(RegionalFCsPRS[],MATCH(LegacyFC_PRS[[#This Row],[EnergyConvTech]],RegionalFCsPRS[EnergyConvTech],0),MATCH(LegacyFC_PRS[[#This Row],[SubGeography1]],RegionalFCsPRS[#Headers],0))</f>
        <v>8177.3076994117473</v>
      </c>
      <c r="E9" s="423">
        <f>D9*(1+INDEX(Assumptions_EG!$C$14:$C$22,MATCH(LegacyFC_PRS[[#This Row],[EnergyConvTech]],Assumptions_EG!$B$14:$B$22,0)))</f>
        <v>7850.2153914352775</v>
      </c>
      <c r="F9" s="423">
        <f>E9*(1+INDEX(Assumptions_EG!$C$14:$C$22,MATCH(LegacyFC_PRS[[#This Row],[EnergyConvTech]],Assumptions_EG!$B$14:$B$22,0)))</f>
        <v>7536.2067757778659</v>
      </c>
      <c r="G9" s="423">
        <f>F9*(1+INDEX(Assumptions_EG!$C$14:$C$22,MATCH(LegacyFC_PRS[[#This Row],[EnergyConvTech]],Assumptions_EG!$B$14:$B$22,0)))</f>
        <v>7234.758504746751</v>
      </c>
      <c r="H9" s="423">
        <f>G9*(1+INDEX(Assumptions_EG!$C$14:$C$22,MATCH(LegacyFC_PRS[[#This Row],[EnergyConvTech]],Assumptions_EG!$B$14:$B$22,0)))</f>
        <v>6945.3681645568804</v>
      </c>
      <c r="I9" s="423">
        <f>H9*(1+INDEX(Assumptions_EG!$C$14:$C$22,MATCH(LegacyFC_PRS[[#This Row],[EnergyConvTech]],Assumptions_EG!$B$14:$B$22,0)))</f>
        <v>6667.553437974605</v>
      </c>
      <c r="J9" s="423">
        <f>I9*(1+INDEX(Assumptions_EG!$C$14:$C$22,MATCH(LegacyFC_PRS[[#This Row],[EnergyConvTech]],Assumptions_EG!$B$14:$B$22,0)))</f>
        <v>6400.8513004556207</v>
      </c>
      <c r="K9" s="423">
        <f>J9*(1+INDEX(Assumptions_EG!$C$14:$C$22,MATCH(LegacyFC_PRS[[#This Row],[EnergyConvTech]],Assumptions_EG!$B$14:$B$22,0)))</f>
        <v>6144.8172484373954</v>
      </c>
      <c r="L9" s="423">
        <f>K9*(1+INDEX(Assumptions_EG!$C$14:$C$22,MATCH(LegacyFC_PRS[[#This Row],[EnergyConvTech]],Assumptions_EG!$B$14:$B$22,0)))</f>
        <v>5899.0245584998993</v>
      </c>
      <c r="M9" s="423">
        <f>L9*(1+INDEX(Assumptions_EG!$C$14:$C$22,MATCH(LegacyFC_PRS[[#This Row],[EnergyConvTech]],Assumptions_EG!$B$14:$B$22,0)))</f>
        <v>5663.0635761599033</v>
      </c>
      <c r="N9" s="423">
        <f>M9*(1+INDEX(Assumptions_EG!$C$14:$C$22,MATCH(LegacyFC_PRS[[#This Row],[EnergyConvTech]],Assumptions_EG!$B$14:$B$22,0)))</f>
        <v>5436.5410331135072</v>
      </c>
    </row>
    <row r="10" spans="1:14" x14ac:dyDescent="0.35">
      <c r="A10" s="482">
        <v>2020</v>
      </c>
      <c r="B10" s="422" t="s">
        <v>1612</v>
      </c>
      <c r="C10" s="422" t="s">
        <v>644</v>
      </c>
      <c r="D10" s="480">
        <f>INDEX(RegionalFCsPRS[],MATCH(LegacyFC_PRS[[#This Row],[EnergyConvTech]],RegionalFCsPRS[EnergyConvTech],0),MATCH(LegacyFC_PRS[[#This Row],[SubGeography1]],RegionalFCsPRS[#Headers],0))</f>
        <v>7832.0987824112553</v>
      </c>
      <c r="E10" s="423">
        <f>D10*(1+INDEX(Assumptions_EG!$C$14:$C$22,MATCH(LegacyFC_PRS[[#This Row],[EnergyConvTech]],Assumptions_EG!$B$14:$B$22,0)))</f>
        <v>7845.5980373538405</v>
      </c>
      <c r="F10" s="423">
        <f>E10*(1+INDEX(Assumptions_EG!$C$14:$C$22,MATCH(LegacyFC_PRS[[#This Row],[EnergyConvTech]],Assumptions_EG!$B$14:$B$22,0)))</f>
        <v>7859.120559352813</v>
      </c>
      <c r="G10" s="423">
        <f>F10*(1+INDEX(Assumptions_EG!$C$14:$C$22,MATCH(LegacyFC_PRS[[#This Row],[EnergyConvTech]],Assumptions_EG!$B$14:$B$22,0)))</f>
        <v>7872.6663885108246</v>
      </c>
      <c r="H10" s="423">
        <f>G10*(1+INDEX(Assumptions_EG!$C$14:$C$22,MATCH(LegacyFC_PRS[[#This Row],[EnergyConvTech]],Assumptions_EG!$B$14:$B$22,0)))</f>
        <v>7886.2355649996471</v>
      </c>
      <c r="I10" s="423">
        <f>H10*(1+INDEX(Assumptions_EG!$C$14:$C$22,MATCH(LegacyFC_PRS[[#This Row],[EnergyConvTech]],Assumptions_EG!$B$14:$B$22,0)))</f>
        <v>7899.8281290602908</v>
      </c>
      <c r="J10" s="423">
        <f>I10*(1+INDEX(Assumptions_EG!$C$14:$C$22,MATCH(LegacyFC_PRS[[#This Row],[EnergyConvTech]],Assumptions_EG!$B$14:$B$22,0)))</f>
        <v>7913.4441210031246</v>
      </c>
      <c r="K10" s="423">
        <f>J10*(1+INDEX(Assumptions_EG!$C$14:$C$22,MATCH(LegacyFC_PRS[[#This Row],[EnergyConvTech]],Assumptions_EG!$B$14:$B$22,0)))</f>
        <v>7927.0835812079958</v>
      </c>
      <c r="L10" s="423">
        <f>K10*(1+INDEX(Assumptions_EG!$C$14:$C$22,MATCH(LegacyFC_PRS[[#This Row],[EnergyConvTech]],Assumptions_EG!$B$14:$B$22,0)))</f>
        <v>7940.7465501243505</v>
      </c>
      <c r="M10" s="423">
        <f>L10*(1+INDEX(Assumptions_EG!$C$14:$C$22,MATCH(LegacyFC_PRS[[#This Row],[EnergyConvTech]],Assumptions_EG!$B$14:$B$22,0)))</f>
        <v>7954.4330682713526</v>
      </c>
      <c r="N10" s="423">
        <f>M10*(1+INDEX(Assumptions_EG!$C$14:$C$22,MATCH(LegacyFC_PRS[[#This Row],[EnergyConvTech]],Assumptions_EG!$B$14:$B$22,0)))</f>
        <v>7968.1431762380025</v>
      </c>
    </row>
    <row r="11" spans="1:14" x14ac:dyDescent="0.35">
      <c r="A11" s="482">
        <v>2020</v>
      </c>
      <c r="B11" s="422" t="s">
        <v>1613</v>
      </c>
      <c r="C11" s="422" t="s">
        <v>644</v>
      </c>
      <c r="D11" s="480">
        <f>INDEX(RegionalFCsPRS[],MATCH(LegacyFC_PRS[[#This Row],[EnergyConvTech]],RegionalFCsPRS[EnergyConvTech],0),MATCH(LegacyFC_PRS[[#This Row],[SubGeography1]],RegionalFCsPRS[#Headers],0))</f>
        <v>2472.51887629576</v>
      </c>
      <c r="E11" s="423">
        <f>D11*(1+INDEX(Assumptions_EG!$C$14:$C$22,MATCH(LegacyFC_PRS[[#This Row],[EnergyConvTech]],Assumptions_EG!$B$14:$B$22,0)))</f>
        <v>2476.7804623136008</v>
      </c>
      <c r="F11" s="423">
        <f>E11*(1+INDEX(Assumptions_EG!$C$14:$C$22,MATCH(LegacyFC_PRS[[#This Row],[EnergyConvTech]],Assumptions_EG!$B$14:$B$22,0)))</f>
        <v>2481.0493935192017</v>
      </c>
      <c r="G11" s="423">
        <f>F11*(1+INDEX(Assumptions_EG!$C$14:$C$22,MATCH(LegacyFC_PRS[[#This Row],[EnergyConvTech]],Assumptions_EG!$B$14:$B$22,0)))</f>
        <v>2485.3256825725875</v>
      </c>
      <c r="H11" s="423">
        <f>G11*(1+INDEX(Assumptions_EG!$C$14:$C$22,MATCH(LegacyFC_PRS[[#This Row],[EnergyConvTech]],Assumptions_EG!$B$14:$B$22,0)))</f>
        <v>2489.6093421556034</v>
      </c>
      <c r="I11" s="423">
        <f>H11*(1+INDEX(Assumptions_EG!$C$14:$C$22,MATCH(LegacyFC_PRS[[#This Row],[EnergyConvTech]],Assumptions_EG!$B$14:$B$22,0)))</f>
        <v>2493.900384971952</v>
      </c>
      <c r="J11" s="423">
        <f>I11*(1+INDEX(Assumptions_EG!$C$14:$C$22,MATCH(LegacyFC_PRS[[#This Row],[EnergyConvTech]],Assumptions_EG!$B$14:$B$22,0)))</f>
        <v>2498.1988237472328</v>
      </c>
      <c r="K11" s="423">
        <f>J11*(1+INDEX(Assumptions_EG!$C$14:$C$22,MATCH(LegacyFC_PRS[[#This Row],[EnergyConvTech]],Assumptions_EG!$B$14:$B$22,0)))</f>
        <v>2502.5046712289786</v>
      </c>
      <c r="L11" s="423">
        <f>K11*(1+INDEX(Assumptions_EG!$C$14:$C$22,MATCH(LegacyFC_PRS[[#This Row],[EnergyConvTech]],Assumptions_EG!$B$14:$B$22,0)))</f>
        <v>2506.8179401866932</v>
      </c>
      <c r="M11" s="423">
        <f>L11*(1+INDEX(Assumptions_EG!$C$14:$C$22,MATCH(LegacyFC_PRS[[#This Row],[EnergyConvTech]],Assumptions_EG!$B$14:$B$22,0)))</f>
        <v>2511.1386434118904</v>
      </c>
      <c r="N11" s="423">
        <f>M11*(1+INDEX(Assumptions_EG!$C$14:$C$22,MATCH(LegacyFC_PRS[[#This Row],[EnergyConvTech]],Assumptions_EG!$B$14:$B$22,0)))</f>
        <v>2515.4667937181302</v>
      </c>
    </row>
    <row r="12" spans="1:14" x14ac:dyDescent="0.35">
      <c r="A12" s="482">
        <v>2020</v>
      </c>
      <c r="B12" s="422" t="s">
        <v>1604</v>
      </c>
      <c r="C12" s="422" t="s">
        <v>644</v>
      </c>
      <c r="D12" s="480">
        <f>INDEX(RegionalFCsPRS[],MATCH(LegacyFC_PRS[[#This Row],[EnergyConvTech]],RegionalFCsPRS[EnergyConvTech],0),MATCH(LegacyFC_PRS[[#This Row],[SubGeography1]],RegionalFCsPRS[#Headers],0))</f>
        <v>8143.6762367750935</v>
      </c>
      <c r="E12" s="423">
        <f>D12*(1+INDEX(Assumptions_EG!$C$14:$C$22,MATCH(LegacyFC_PRS[[#This Row],[EnergyConvTech]],Assumptions_EG!$B$14:$B$22,0)))</f>
        <v>8143.6762367750935</v>
      </c>
      <c r="F12" s="423">
        <f>E12*(1+INDEX(Assumptions_EG!$C$14:$C$22,MATCH(LegacyFC_PRS[[#This Row],[EnergyConvTech]],Assumptions_EG!$B$14:$B$22,0)))</f>
        <v>8143.6762367750935</v>
      </c>
      <c r="G12" s="423">
        <f>F12*(1+INDEX(Assumptions_EG!$C$14:$C$22,MATCH(LegacyFC_PRS[[#This Row],[EnergyConvTech]],Assumptions_EG!$B$14:$B$22,0)))</f>
        <v>8143.6762367750935</v>
      </c>
      <c r="H12" s="423">
        <f>G12*(1+INDEX(Assumptions_EG!$C$14:$C$22,MATCH(LegacyFC_PRS[[#This Row],[EnergyConvTech]],Assumptions_EG!$B$14:$B$22,0)))</f>
        <v>8143.6762367750935</v>
      </c>
      <c r="I12" s="423">
        <f>H12*(1+INDEX(Assumptions_EG!$C$14:$C$22,MATCH(LegacyFC_PRS[[#This Row],[EnergyConvTech]],Assumptions_EG!$B$14:$B$22,0)))</f>
        <v>8143.6762367750935</v>
      </c>
      <c r="J12" s="423">
        <f>I12*(1+INDEX(Assumptions_EG!$C$14:$C$22,MATCH(LegacyFC_PRS[[#This Row],[EnergyConvTech]],Assumptions_EG!$B$14:$B$22,0)))</f>
        <v>8143.6762367750935</v>
      </c>
      <c r="K12" s="423">
        <f>J12*(1+INDEX(Assumptions_EG!$C$14:$C$22,MATCH(LegacyFC_PRS[[#This Row],[EnergyConvTech]],Assumptions_EG!$B$14:$B$22,0)))</f>
        <v>8143.6762367750935</v>
      </c>
      <c r="L12" s="423">
        <f>K12*(1+INDEX(Assumptions_EG!$C$14:$C$22,MATCH(LegacyFC_PRS[[#This Row],[EnergyConvTech]],Assumptions_EG!$B$14:$B$22,0)))</f>
        <v>8143.6762367750935</v>
      </c>
      <c r="M12" s="423">
        <f>L12*(1+INDEX(Assumptions_EG!$C$14:$C$22,MATCH(LegacyFC_PRS[[#This Row],[EnergyConvTech]],Assumptions_EG!$B$14:$B$22,0)))</f>
        <v>8143.6762367750935</v>
      </c>
      <c r="N12" s="423">
        <f>M12*(1+INDEX(Assumptions_EG!$C$14:$C$22,MATCH(LegacyFC_PRS[[#This Row],[EnergyConvTech]],Assumptions_EG!$B$14:$B$22,0)))</f>
        <v>8143.6762367750935</v>
      </c>
    </row>
    <row r="13" spans="1:14" x14ac:dyDescent="0.35">
      <c r="A13" s="482">
        <v>2020</v>
      </c>
      <c r="B13" s="422" t="s">
        <v>1615</v>
      </c>
      <c r="C13" s="422" t="s">
        <v>644</v>
      </c>
      <c r="D13" s="480" t="e">
        <f>INDEX(RegionalFCsPRS[],MATCH(LegacyFC_PRS[[#This Row],[EnergyConvTech]],RegionalFCsPRS[EnergyConvTech],0),MATCH(LegacyFC_PRS[[#This Row],[SubGeography1]],RegionalFCsPRS[#Headers],0))</f>
        <v>#DIV/0!</v>
      </c>
      <c r="E13" s="423" t="e">
        <f>D13*(1+INDEX(Assumptions_EG!$C$14:$C$22,MATCH(LegacyFC_PRS[[#This Row],[EnergyConvTech]],Assumptions_EG!$B$14:$B$22,0)))</f>
        <v>#DIV/0!</v>
      </c>
      <c r="F13" s="423" t="e">
        <f>E13*(1+INDEX(Assumptions_EG!$C$14:$C$22,MATCH(LegacyFC_PRS[[#This Row],[EnergyConvTech]],Assumptions_EG!$B$14:$B$22,0)))</f>
        <v>#DIV/0!</v>
      </c>
      <c r="G13" s="423" t="e">
        <f>F13*(1+INDEX(Assumptions_EG!$C$14:$C$22,MATCH(LegacyFC_PRS[[#This Row],[EnergyConvTech]],Assumptions_EG!$B$14:$B$22,0)))</f>
        <v>#DIV/0!</v>
      </c>
      <c r="H13" s="423" t="e">
        <f>G13*(1+INDEX(Assumptions_EG!$C$14:$C$22,MATCH(LegacyFC_PRS[[#This Row],[EnergyConvTech]],Assumptions_EG!$B$14:$B$22,0)))</f>
        <v>#DIV/0!</v>
      </c>
      <c r="I13" s="423" t="e">
        <f>H13*(1+INDEX(Assumptions_EG!$C$14:$C$22,MATCH(LegacyFC_PRS[[#This Row],[EnergyConvTech]],Assumptions_EG!$B$14:$B$22,0)))</f>
        <v>#DIV/0!</v>
      </c>
      <c r="J13" s="423" t="e">
        <f>I13*(1+INDEX(Assumptions_EG!$C$14:$C$22,MATCH(LegacyFC_PRS[[#This Row],[EnergyConvTech]],Assumptions_EG!$B$14:$B$22,0)))</f>
        <v>#DIV/0!</v>
      </c>
      <c r="K13" s="423" t="e">
        <f>J13*(1+INDEX(Assumptions_EG!$C$14:$C$22,MATCH(LegacyFC_PRS[[#This Row],[EnergyConvTech]],Assumptions_EG!$B$14:$B$22,0)))</f>
        <v>#DIV/0!</v>
      </c>
      <c r="L13" s="423" t="e">
        <f>K13*(1+INDEX(Assumptions_EG!$C$14:$C$22,MATCH(LegacyFC_PRS[[#This Row],[EnergyConvTech]],Assumptions_EG!$B$14:$B$22,0)))</f>
        <v>#DIV/0!</v>
      </c>
      <c r="M13" s="423" t="e">
        <f>L13*(1+INDEX(Assumptions_EG!$C$14:$C$22,MATCH(LegacyFC_PRS[[#This Row],[EnergyConvTech]],Assumptions_EG!$B$14:$B$22,0)))</f>
        <v>#DIV/0!</v>
      </c>
      <c r="N13" s="423" t="e">
        <f>M13*(1+INDEX(Assumptions_EG!$C$14:$C$22,MATCH(LegacyFC_PRS[[#This Row],[EnergyConvTech]],Assumptions_EG!$B$14:$B$22,0)))</f>
        <v>#DIV/0!</v>
      </c>
    </row>
    <row r="14" spans="1:14" x14ac:dyDescent="0.35">
      <c r="A14" s="482">
        <v>2020</v>
      </c>
      <c r="B14" s="422" t="s">
        <v>1603</v>
      </c>
      <c r="C14" s="422" t="s">
        <v>644</v>
      </c>
      <c r="D14" s="480">
        <f>INDEX(RegionalFCsPRS[],MATCH(LegacyFC_PRS[[#This Row],[EnergyConvTech]],RegionalFCsPRS[EnergyConvTech],0),MATCH(LegacyFC_PRS[[#This Row],[SubGeography1]],RegionalFCsPRS[#Headers],0))</f>
        <v>1819.9453197613475</v>
      </c>
      <c r="E14" s="423">
        <f>D14*(1+INDEX(Assumptions_EG!$C$14:$C$22,MATCH(LegacyFC_PRS[[#This Row],[EnergyConvTech]],Assumptions_EG!$B$14:$B$22,0)))</f>
        <v>1819.9453197613475</v>
      </c>
      <c r="F14" s="423">
        <f>E14*(1+INDEX(Assumptions_EG!$C$14:$C$22,MATCH(LegacyFC_PRS[[#This Row],[EnergyConvTech]],Assumptions_EG!$B$14:$B$22,0)))</f>
        <v>1819.9453197613475</v>
      </c>
      <c r="G14" s="423">
        <f>F14*(1+INDEX(Assumptions_EG!$C$14:$C$22,MATCH(LegacyFC_PRS[[#This Row],[EnergyConvTech]],Assumptions_EG!$B$14:$B$22,0)))</f>
        <v>1819.9453197613475</v>
      </c>
      <c r="H14" s="423">
        <f>G14*(1+INDEX(Assumptions_EG!$C$14:$C$22,MATCH(LegacyFC_PRS[[#This Row],[EnergyConvTech]],Assumptions_EG!$B$14:$B$22,0)))</f>
        <v>1819.9453197613475</v>
      </c>
      <c r="I14" s="423">
        <f>H14*(1+INDEX(Assumptions_EG!$C$14:$C$22,MATCH(LegacyFC_PRS[[#This Row],[EnergyConvTech]],Assumptions_EG!$B$14:$B$22,0)))</f>
        <v>1819.9453197613475</v>
      </c>
      <c r="J14" s="423">
        <f>I14*(1+INDEX(Assumptions_EG!$C$14:$C$22,MATCH(LegacyFC_PRS[[#This Row],[EnergyConvTech]],Assumptions_EG!$B$14:$B$22,0)))</f>
        <v>1819.9453197613475</v>
      </c>
      <c r="K14" s="423">
        <f>J14*(1+INDEX(Assumptions_EG!$C$14:$C$22,MATCH(LegacyFC_PRS[[#This Row],[EnergyConvTech]],Assumptions_EG!$B$14:$B$22,0)))</f>
        <v>1819.9453197613475</v>
      </c>
      <c r="L14" s="423">
        <f>K14*(1+INDEX(Assumptions_EG!$C$14:$C$22,MATCH(LegacyFC_PRS[[#This Row],[EnergyConvTech]],Assumptions_EG!$B$14:$B$22,0)))</f>
        <v>1819.9453197613475</v>
      </c>
      <c r="M14" s="423">
        <f>L14*(1+INDEX(Assumptions_EG!$C$14:$C$22,MATCH(LegacyFC_PRS[[#This Row],[EnergyConvTech]],Assumptions_EG!$B$14:$B$22,0)))</f>
        <v>1819.9453197613475</v>
      </c>
      <c r="N14" s="423">
        <f>M14*(1+INDEX(Assumptions_EG!$C$14:$C$22,MATCH(LegacyFC_PRS[[#This Row],[EnergyConvTech]],Assumptions_EG!$B$14:$B$22,0)))</f>
        <v>1819.9453197613475</v>
      </c>
    </row>
    <row r="15" spans="1:14" x14ac:dyDescent="0.35">
      <c r="A15" s="482">
        <v>2020</v>
      </c>
      <c r="B15" s="422" t="s">
        <v>1605</v>
      </c>
      <c r="C15" s="422" t="s">
        <v>644</v>
      </c>
      <c r="D15" s="480">
        <f>INDEX(RegionalFCsPRS[],MATCH(LegacyFC_PRS[[#This Row],[EnergyConvTech]],RegionalFCsPRS[EnergyConvTech],0),MATCH(LegacyFC_PRS[[#This Row],[SubGeography1]],RegionalFCsPRS[#Headers],0))</f>
        <v>14598.416471112962</v>
      </c>
      <c r="E15" s="423">
        <f>D15*(1+INDEX(Assumptions_EG!$C$14:$C$22,MATCH(LegacyFC_PRS[[#This Row],[EnergyConvTech]],Assumptions_EG!$B$14:$B$22,0)))</f>
        <v>14598.416471112962</v>
      </c>
      <c r="F15" s="423">
        <f>E15*(1+INDEX(Assumptions_EG!$C$14:$C$22,MATCH(LegacyFC_PRS[[#This Row],[EnergyConvTech]],Assumptions_EG!$B$14:$B$22,0)))</f>
        <v>14598.416471112962</v>
      </c>
      <c r="G15" s="423">
        <f>F15*(1+INDEX(Assumptions_EG!$C$14:$C$22,MATCH(LegacyFC_PRS[[#This Row],[EnergyConvTech]],Assumptions_EG!$B$14:$B$22,0)))</f>
        <v>14598.416471112962</v>
      </c>
      <c r="H15" s="423">
        <f>G15*(1+INDEX(Assumptions_EG!$C$14:$C$22,MATCH(LegacyFC_PRS[[#This Row],[EnergyConvTech]],Assumptions_EG!$B$14:$B$22,0)))</f>
        <v>14598.416471112962</v>
      </c>
      <c r="I15" s="423">
        <f>H15*(1+INDEX(Assumptions_EG!$C$14:$C$22,MATCH(LegacyFC_PRS[[#This Row],[EnergyConvTech]],Assumptions_EG!$B$14:$B$22,0)))</f>
        <v>14598.416471112962</v>
      </c>
      <c r="J15" s="423">
        <f>I15*(1+INDEX(Assumptions_EG!$C$14:$C$22,MATCH(LegacyFC_PRS[[#This Row],[EnergyConvTech]],Assumptions_EG!$B$14:$B$22,0)))</f>
        <v>14598.416471112962</v>
      </c>
      <c r="K15" s="423">
        <f>J15*(1+INDEX(Assumptions_EG!$C$14:$C$22,MATCH(LegacyFC_PRS[[#This Row],[EnergyConvTech]],Assumptions_EG!$B$14:$B$22,0)))</f>
        <v>14598.416471112962</v>
      </c>
      <c r="L15" s="423">
        <f>K15*(1+INDEX(Assumptions_EG!$C$14:$C$22,MATCH(LegacyFC_PRS[[#This Row],[EnergyConvTech]],Assumptions_EG!$B$14:$B$22,0)))</f>
        <v>14598.416471112962</v>
      </c>
      <c r="M15" s="423">
        <f>L15*(1+INDEX(Assumptions_EG!$C$14:$C$22,MATCH(LegacyFC_PRS[[#This Row],[EnergyConvTech]],Assumptions_EG!$B$14:$B$22,0)))</f>
        <v>14598.416471112962</v>
      </c>
      <c r="N15" s="423">
        <f>M15*(1+INDEX(Assumptions_EG!$C$14:$C$22,MATCH(LegacyFC_PRS[[#This Row],[EnergyConvTech]],Assumptions_EG!$B$14:$B$22,0)))</f>
        <v>14598.416471112962</v>
      </c>
    </row>
    <row r="16" spans="1:14" x14ac:dyDescent="0.35">
      <c r="A16" s="482">
        <v>2020</v>
      </c>
      <c r="B16" s="422" t="s">
        <v>1636</v>
      </c>
      <c r="C16" s="422" t="s">
        <v>644</v>
      </c>
      <c r="D16" s="480">
        <f>INDEX(RegionalFCsPRS[],MATCH(LegacyFC_PRS[[#This Row],[EnergyConvTech]],RegionalFCsPRS[EnergyConvTech],0),MATCH(LegacyFC_PRS[[#This Row],[SubGeography1]],RegionalFCsPRS[#Headers],0))</f>
        <v>15808.731754424425</v>
      </c>
      <c r="E16" s="423">
        <f>D16*(1+INDEX(Assumptions_EG!$C$14:$C$22,MATCH(LegacyFC_PRS[[#This Row],[EnergyConvTech]],Assumptions_EG!$B$14:$B$22,0)))</f>
        <v>15176.382484247448</v>
      </c>
      <c r="F16" s="423">
        <f>E16*(1+INDEX(Assumptions_EG!$C$14:$C$22,MATCH(LegacyFC_PRS[[#This Row],[EnergyConvTech]],Assumptions_EG!$B$14:$B$22,0)))</f>
        <v>14569.327184877549</v>
      </c>
      <c r="G16" s="423">
        <f>F16*(1+INDEX(Assumptions_EG!$C$14:$C$22,MATCH(LegacyFC_PRS[[#This Row],[EnergyConvTech]],Assumptions_EG!$B$14:$B$22,0)))</f>
        <v>13986.554097482447</v>
      </c>
      <c r="H16" s="423">
        <f>G16*(1+INDEX(Assumptions_EG!$C$14:$C$22,MATCH(LegacyFC_PRS[[#This Row],[EnergyConvTech]],Assumptions_EG!$B$14:$B$22,0)))</f>
        <v>13427.09193358315</v>
      </c>
      <c r="I16" s="423">
        <f>H16*(1+INDEX(Assumptions_EG!$C$14:$C$22,MATCH(LegacyFC_PRS[[#This Row],[EnergyConvTech]],Assumptions_EG!$B$14:$B$22,0)))</f>
        <v>12890.008256239824</v>
      </c>
      <c r="J16" s="423">
        <f>I16*(1+INDEX(Assumptions_EG!$C$14:$C$22,MATCH(LegacyFC_PRS[[#This Row],[EnergyConvTech]],Assumptions_EG!$B$14:$B$22,0)))</f>
        <v>12374.40792599023</v>
      </c>
      <c r="K16" s="423">
        <f>J16*(1+INDEX(Assumptions_EG!$C$14:$C$22,MATCH(LegacyFC_PRS[[#This Row],[EnergyConvTech]],Assumptions_EG!$B$14:$B$22,0)))</f>
        <v>11879.431608950621</v>
      </c>
      <c r="L16" s="423">
        <f>K16*(1+INDEX(Assumptions_EG!$C$14:$C$22,MATCH(LegacyFC_PRS[[#This Row],[EnergyConvTech]],Assumptions_EG!$B$14:$B$22,0)))</f>
        <v>11404.254344592595</v>
      </c>
      <c r="M16" s="423">
        <f>L16*(1+INDEX(Assumptions_EG!$C$14:$C$22,MATCH(LegacyFC_PRS[[#This Row],[EnergyConvTech]],Assumptions_EG!$B$14:$B$22,0)))</f>
        <v>10948.08417080889</v>
      </c>
      <c r="N16" s="423">
        <f>M16*(1+INDEX(Assumptions_EG!$C$14:$C$22,MATCH(LegacyFC_PRS[[#This Row],[EnergyConvTech]],Assumptions_EG!$B$14:$B$22,0)))</f>
        <v>10510.160803976534</v>
      </c>
    </row>
    <row r="17" spans="1:14" x14ac:dyDescent="0.35">
      <c r="A17" s="482">
        <v>2020</v>
      </c>
      <c r="B17" s="422" t="s">
        <v>1606</v>
      </c>
      <c r="C17" s="422" t="s">
        <v>644</v>
      </c>
      <c r="D17" s="480" t="e">
        <f>INDEX(RegionalFCsPRS[],MATCH(LegacyFC_PRS[[#This Row],[EnergyConvTech]],RegionalFCsPRS[EnergyConvTech],0),MATCH(LegacyFC_PRS[[#This Row],[SubGeography1]],RegionalFCsPRS[#Headers],0))</f>
        <v>#DIV/0!</v>
      </c>
      <c r="E17" s="423" t="e">
        <f>D17*(1+INDEX(Assumptions_EG!$C$14:$C$22,MATCH(LegacyFC_PRS[[#This Row],[EnergyConvTech]],Assumptions_EG!$B$14:$B$22,0)))</f>
        <v>#DIV/0!</v>
      </c>
      <c r="F17" s="423" t="e">
        <f>E17*(1+INDEX(Assumptions_EG!$C$14:$C$22,MATCH(LegacyFC_PRS[[#This Row],[EnergyConvTech]],Assumptions_EG!$B$14:$B$22,0)))</f>
        <v>#DIV/0!</v>
      </c>
      <c r="G17" s="423" t="e">
        <f>F17*(1+INDEX(Assumptions_EG!$C$14:$C$22,MATCH(LegacyFC_PRS[[#This Row],[EnergyConvTech]],Assumptions_EG!$B$14:$B$22,0)))</f>
        <v>#DIV/0!</v>
      </c>
      <c r="H17" s="423" t="e">
        <f>G17*(1+INDEX(Assumptions_EG!$C$14:$C$22,MATCH(LegacyFC_PRS[[#This Row],[EnergyConvTech]],Assumptions_EG!$B$14:$B$22,0)))</f>
        <v>#DIV/0!</v>
      </c>
      <c r="I17" s="423" t="e">
        <f>H17*(1+INDEX(Assumptions_EG!$C$14:$C$22,MATCH(LegacyFC_PRS[[#This Row],[EnergyConvTech]],Assumptions_EG!$B$14:$B$22,0)))</f>
        <v>#DIV/0!</v>
      </c>
      <c r="J17" s="423" t="e">
        <f>I17*(1+INDEX(Assumptions_EG!$C$14:$C$22,MATCH(LegacyFC_PRS[[#This Row],[EnergyConvTech]],Assumptions_EG!$B$14:$B$22,0)))</f>
        <v>#DIV/0!</v>
      </c>
      <c r="K17" s="423" t="e">
        <f>J17*(1+INDEX(Assumptions_EG!$C$14:$C$22,MATCH(LegacyFC_PRS[[#This Row],[EnergyConvTech]],Assumptions_EG!$B$14:$B$22,0)))</f>
        <v>#DIV/0!</v>
      </c>
      <c r="L17" s="423" t="e">
        <f>K17*(1+INDEX(Assumptions_EG!$C$14:$C$22,MATCH(LegacyFC_PRS[[#This Row],[EnergyConvTech]],Assumptions_EG!$B$14:$B$22,0)))</f>
        <v>#DIV/0!</v>
      </c>
      <c r="M17" s="423" t="e">
        <f>L17*(1+INDEX(Assumptions_EG!$C$14:$C$22,MATCH(LegacyFC_PRS[[#This Row],[EnergyConvTech]],Assumptions_EG!$B$14:$B$22,0)))</f>
        <v>#DIV/0!</v>
      </c>
      <c r="N17" s="423" t="e">
        <f>M17*(1+INDEX(Assumptions_EG!$C$14:$C$22,MATCH(LegacyFC_PRS[[#This Row],[EnergyConvTech]],Assumptions_EG!$B$14:$B$22,0)))</f>
        <v>#DIV/0!</v>
      </c>
    </row>
    <row r="18" spans="1:14" x14ac:dyDescent="0.35">
      <c r="A18" s="482">
        <v>2020</v>
      </c>
      <c r="B18" s="422" t="s">
        <v>1612</v>
      </c>
      <c r="C18" s="422" t="s">
        <v>628</v>
      </c>
      <c r="D18" s="480">
        <f>INDEX(RegionalFCsPRS[],MATCH(LegacyFC_PRS[[#This Row],[EnergyConvTech]],RegionalFCsPRS[EnergyConvTech],0),MATCH(LegacyFC_PRS[[#This Row],[SubGeography1]],RegionalFCsPRS[#Headers],0))</f>
        <v>9260.0037315282771</v>
      </c>
      <c r="E18" s="423">
        <f>D18*(1+INDEX(Assumptions_EG!$C$14:$C$22,MATCH(LegacyFC_PRS[[#This Row],[EnergyConvTech]],Assumptions_EG!$B$14:$B$22,0)))</f>
        <v>9275.9640959994085</v>
      </c>
      <c r="F18" s="423">
        <f>E18*(1+INDEX(Assumptions_EG!$C$14:$C$22,MATCH(LegacyFC_PRS[[#This Row],[EnergyConvTech]],Assumptions_EG!$B$14:$B$22,0)))</f>
        <v>9291.9519694480132</v>
      </c>
      <c r="G18" s="423">
        <f>F18*(1+INDEX(Assumptions_EG!$C$14:$C$22,MATCH(LegacyFC_PRS[[#This Row],[EnergyConvTech]],Assumptions_EG!$B$14:$B$22,0)))</f>
        <v>9307.9673992880362</v>
      </c>
      <c r="H18" s="423">
        <f>G18*(1+INDEX(Assumptions_EG!$C$14:$C$22,MATCH(LegacyFC_PRS[[#This Row],[EnergyConvTech]],Assumptions_EG!$B$14:$B$22,0)))</f>
        <v>9324.0104330151444</v>
      </c>
      <c r="I18" s="423">
        <f>H18*(1+INDEX(Assumptions_EG!$C$14:$C$22,MATCH(LegacyFC_PRS[[#This Row],[EnergyConvTech]],Assumptions_EG!$B$14:$B$22,0)))</f>
        <v>9340.0811182068664</v>
      </c>
      <c r="J18" s="423">
        <f>I18*(1+INDEX(Assumptions_EG!$C$14:$C$22,MATCH(LegacyFC_PRS[[#This Row],[EnergyConvTech]],Assumptions_EG!$B$14:$B$22,0)))</f>
        <v>9356.1795025227348</v>
      </c>
      <c r="K18" s="423">
        <f>J18*(1+INDEX(Assumptions_EG!$C$14:$C$22,MATCH(LegacyFC_PRS[[#This Row],[EnergyConvTech]],Assumptions_EG!$B$14:$B$22,0)))</f>
        <v>9372.3056337044272</v>
      </c>
      <c r="L18" s="423">
        <f>K18*(1+INDEX(Assumptions_EG!$C$14:$C$22,MATCH(LegacyFC_PRS[[#This Row],[EnergyConvTech]],Assumptions_EG!$B$14:$B$22,0)))</f>
        <v>9388.4595595759092</v>
      </c>
      <c r="M18" s="423">
        <f>L18*(1+INDEX(Assumptions_EG!$C$14:$C$22,MATCH(LegacyFC_PRS[[#This Row],[EnergyConvTech]],Assumptions_EG!$B$14:$B$22,0)))</f>
        <v>9404.6413280435754</v>
      </c>
      <c r="N18" s="423">
        <f>M18*(1+INDEX(Assumptions_EG!$C$14:$C$22,MATCH(LegacyFC_PRS[[#This Row],[EnergyConvTech]],Assumptions_EG!$B$14:$B$22,0)))</f>
        <v>9420.8509870963881</v>
      </c>
    </row>
    <row r="19" spans="1:14" x14ac:dyDescent="0.35">
      <c r="A19" s="482">
        <v>2020</v>
      </c>
      <c r="B19" s="422" t="s">
        <v>1613</v>
      </c>
      <c r="C19" s="422" t="s">
        <v>628</v>
      </c>
      <c r="D19" s="480">
        <f>INDEX(RegionalFCsPRS[],MATCH(LegacyFC_PRS[[#This Row],[EnergyConvTech]],RegionalFCsPRS[EnergyConvTech],0),MATCH(LegacyFC_PRS[[#This Row],[SubGeography1]],RegionalFCsPRS[#Headers],0))</f>
        <v>5742.4984906120881</v>
      </c>
      <c r="E19" s="423">
        <f>D19*(1+INDEX(Assumptions_EG!$C$14:$C$22,MATCH(LegacyFC_PRS[[#This Row],[EnergyConvTech]],Assumptions_EG!$B$14:$B$22,0)))</f>
        <v>5752.3961506500682</v>
      </c>
      <c r="F19" s="423">
        <f>E19*(1+INDEX(Assumptions_EG!$C$14:$C$22,MATCH(LegacyFC_PRS[[#This Row],[EnergyConvTech]],Assumptions_EG!$B$14:$B$22,0)))</f>
        <v>5762.310870104674</v>
      </c>
      <c r="G19" s="423">
        <f>F19*(1+INDEX(Assumptions_EG!$C$14:$C$22,MATCH(LegacyFC_PRS[[#This Row],[EnergyConvTech]],Assumptions_EG!$B$14:$B$22,0)))</f>
        <v>5772.2426783791889</v>
      </c>
      <c r="H19" s="423">
        <f>G19*(1+INDEX(Assumptions_EG!$C$14:$C$22,MATCH(LegacyFC_PRS[[#This Row],[EnergyConvTech]],Assumptions_EG!$B$14:$B$22,0)))</f>
        <v>5782.1916049275742</v>
      </c>
      <c r="I19" s="423">
        <f>H19*(1+INDEX(Assumptions_EG!$C$14:$C$22,MATCH(LegacyFC_PRS[[#This Row],[EnergyConvTech]],Assumptions_EG!$B$14:$B$22,0)))</f>
        <v>5792.1576792545584</v>
      </c>
      <c r="J19" s="423">
        <f>I19*(1+INDEX(Assumptions_EG!$C$14:$C$22,MATCH(LegacyFC_PRS[[#This Row],[EnergyConvTech]],Assumptions_EG!$B$14:$B$22,0)))</f>
        <v>5802.1409309157225</v>
      </c>
      <c r="K19" s="423">
        <f>J19*(1+INDEX(Assumptions_EG!$C$14:$C$22,MATCH(LegacyFC_PRS[[#This Row],[EnergyConvTech]],Assumptions_EG!$B$14:$B$22,0)))</f>
        <v>5812.1413895175901</v>
      </c>
      <c r="L19" s="423">
        <f>K19*(1+INDEX(Assumptions_EG!$C$14:$C$22,MATCH(LegacyFC_PRS[[#This Row],[EnergyConvTech]],Assumptions_EG!$B$14:$B$22,0)))</f>
        <v>5822.1590847177131</v>
      </c>
      <c r="M19" s="423">
        <f>L19*(1+INDEX(Assumptions_EG!$C$14:$C$22,MATCH(LegacyFC_PRS[[#This Row],[EnergyConvTech]],Assumptions_EG!$B$14:$B$22,0)))</f>
        <v>5832.1940462247612</v>
      </c>
      <c r="N19" s="423">
        <f>M19*(1+INDEX(Assumptions_EG!$C$14:$C$22,MATCH(LegacyFC_PRS[[#This Row],[EnergyConvTech]],Assumptions_EG!$B$14:$B$22,0)))</f>
        <v>5842.246303798609</v>
      </c>
    </row>
    <row r="20" spans="1:14" x14ac:dyDescent="0.35">
      <c r="A20" s="482">
        <v>2020</v>
      </c>
      <c r="B20" s="422" t="s">
        <v>1604</v>
      </c>
      <c r="C20" s="422" t="s">
        <v>628</v>
      </c>
      <c r="D20" s="480">
        <f>INDEX(RegionalFCsPRS[],MATCH(LegacyFC_PRS[[#This Row],[EnergyConvTech]],RegionalFCsPRS[EnergyConvTech],0),MATCH(LegacyFC_PRS[[#This Row],[SubGeography1]],RegionalFCsPRS[#Headers],0))</f>
        <v>4688.4442946660474</v>
      </c>
      <c r="E20" s="423">
        <f>D20*(1+INDEX(Assumptions_EG!$C$14:$C$22,MATCH(LegacyFC_PRS[[#This Row],[EnergyConvTech]],Assumptions_EG!$B$14:$B$22,0)))</f>
        <v>4688.4442946660474</v>
      </c>
      <c r="F20" s="423">
        <f>E20*(1+INDEX(Assumptions_EG!$C$14:$C$22,MATCH(LegacyFC_PRS[[#This Row],[EnergyConvTech]],Assumptions_EG!$B$14:$B$22,0)))</f>
        <v>4688.4442946660474</v>
      </c>
      <c r="G20" s="423">
        <f>F20*(1+INDEX(Assumptions_EG!$C$14:$C$22,MATCH(LegacyFC_PRS[[#This Row],[EnergyConvTech]],Assumptions_EG!$B$14:$B$22,0)))</f>
        <v>4688.4442946660474</v>
      </c>
      <c r="H20" s="423">
        <f>G20*(1+INDEX(Assumptions_EG!$C$14:$C$22,MATCH(LegacyFC_PRS[[#This Row],[EnergyConvTech]],Assumptions_EG!$B$14:$B$22,0)))</f>
        <v>4688.4442946660474</v>
      </c>
      <c r="I20" s="423">
        <f>H20*(1+INDEX(Assumptions_EG!$C$14:$C$22,MATCH(LegacyFC_PRS[[#This Row],[EnergyConvTech]],Assumptions_EG!$B$14:$B$22,0)))</f>
        <v>4688.4442946660474</v>
      </c>
      <c r="J20" s="423">
        <f>I20*(1+INDEX(Assumptions_EG!$C$14:$C$22,MATCH(LegacyFC_PRS[[#This Row],[EnergyConvTech]],Assumptions_EG!$B$14:$B$22,0)))</f>
        <v>4688.4442946660474</v>
      </c>
      <c r="K20" s="423">
        <f>J20*(1+INDEX(Assumptions_EG!$C$14:$C$22,MATCH(LegacyFC_PRS[[#This Row],[EnergyConvTech]],Assumptions_EG!$B$14:$B$22,0)))</f>
        <v>4688.4442946660474</v>
      </c>
      <c r="L20" s="423">
        <f>K20*(1+INDEX(Assumptions_EG!$C$14:$C$22,MATCH(LegacyFC_PRS[[#This Row],[EnergyConvTech]],Assumptions_EG!$B$14:$B$22,0)))</f>
        <v>4688.4442946660474</v>
      </c>
      <c r="M20" s="423">
        <f>L20*(1+INDEX(Assumptions_EG!$C$14:$C$22,MATCH(LegacyFC_PRS[[#This Row],[EnergyConvTech]],Assumptions_EG!$B$14:$B$22,0)))</f>
        <v>4688.4442946660474</v>
      </c>
      <c r="N20" s="423">
        <f>M20*(1+INDEX(Assumptions_EG!$C$14:$C$22,MATCH(LegacyFC_PRS[[#This Row],[EnergyConvTech]],Assumptions_EG!$B$14:$B$22,0)))</f>
        <v>4688.4442946660474</v>
      </c>
    </row>
    <row r="21" spans="1:14" x14ac:dyDescent="0.35">
      <c r="A21" s="482">
        <v>2020</v>
      </c>
      <c r="B21" s="422" t="s">
        <v>1615</v>
      </c>
      <c r="C21" s="422" t="s">
        <v>628</v>
      </c>
      <c r="D21" s="480">
        <f>INDEX(RegionalFCsPRS[],MATCH(LegacyFC_PRS[[#This Row],[EnergyConvTech]],RegionalFCsPRS[EnergyConvTech],0),MATCH(LegacyFC_PRS[[#This Row],[SubGeography1]],RegionalFCsPRS[#Headers],0))</f>
        <v>15322.738981527909</v>
      </c>
      <c r="E21" s="423">
        <f>D21*(1+INDEX(Assumptions_EG!$C$14:$C$22,MATCH(LegacyFC_PRS[[#This Row],[EnergyConvTech]],Assumptions_EG!$B$14:$B$22,0)))</f>
        <v>15322.738981527909</v>
      </c>
      <c r="F21" s="423">
        <f>E21*(1+INDEX(Assumptions_EG!$C$14:$C$22,MATCH(LegacyFC_PRS[[#This Row],[EnergyConvTech]],Assumptions_EG!$B$14:$B$22,0)))</f>
        <v>15322.738981527909</v>
      </c>
      <c r="G21" s="423">
        <f>F21*(1+INDEX(Assumptions_EG!$C$14:$C$22,MATCH(LegacyFC_PRS[[#This Row],[EnergyConvTech]],Assumptions_EG!$B$14:$B$22,0)))</f>
        <v>15322.738981527909</v>
      </c>
      <c r="H21" s="423">
        <f>G21*(1+INDEX(Assumptions_EG!$C$14:$C$22,MATCH(LegacyFC_PRS[[#This Row],[EnergyConvTech]],Assumptions_EG!$B$14:$B$22,0)))</f>
        <v>15322.738981527909</v>
      </c>
      <c r="I21" s="423">
        <f>H21*(1+INDEX(Assumptions_EG!$C$14:$C$22,MATCH(LegacyFC_PRS[[#This Row],[EnergyConvTech]],Assumptions_EG!$B$14:$B$22,0)))</f>
        <v>15322.738981527909</v>
      </c>
      <c r="J21" s="423">
        <f>I21*(1+INDEX(Assumptions_EG!$C$14:$C$22,MATCH(LegacyFC_PRS[[#This Row],[EnergyConvTech]],Assumptions_EG!$B$14:$B$22,0)))</f>
        <v>15322.738981527909</v>
      </c>
      <c r="K21" s="423">
        <f>J21*(1+INDEX(Assumptions_EG!$C$14:$C$22,MATCH(LegacyFC_PRS[[#This Row],[EnergyConvTech]],Assumptions_EG!$B$14:$B$22,0)))</f>
        <v>15322.738981527909</v>
      </c>
      <c r="L21" s="423">
        <f>K21*(1+INDEX(Assumptions_EG!$C$14:$C$22,MATCH(LegacyFC_PRS[[#This Row],[EnergyConvTech]],Assumptions_EG!$B$14:$B$22,0)))</f>
        <v>15322.738981527909</v>
      </c>
      <c r="M21" s="423">
        <f>L21*(1+INDEX(Assumptions_EG!$C$14:$C$22,MATCH(LegacyFC_PRS[[#This Row],[EnergyConvTech]],Assumptions_EG!$B$14:$B$22,0)))</f>
        <v>15322.738981527909</v>
      </c>
      <c r="N21" s="423">
        <f>M21*(1+INDEX(Assumptions_EG!$C$14:$C$22,MATCH(LegacyFC_PRS[[#This Row],[EnergyConvTech]],Assumptions_EG!$B$14:$B$22,0)))</f>
        <v>15322.738981527909</v>
      </c>
    </row>
    <row r="22" spans="1:14" x14ac:dyDescent="0.35">
      <c r="A22" s="483">
        <v>2020</v>
      </c>
      <c r="B22" s="393" t="s">
        <v>1603</v>
      </c>
      <c r="C22" s="422" t="s">
        <v>628</v>
      </c>
      <c r="D22" s="480">
        <f>INDEX(RegionalFCsPRS[],MATCH(LegacyFC_PRS[[#This Row],[EnergyConvTech]],RegionalFCsPRS[EnergyConvTech],0),MATCH(LegacyFC_PRS[[#This Row],[SubGeography1]],RegionalFCsPRS[#Headers],0))</f>
        <v>2761.0753173085959</v>
      </c>
      <c r="E22" s="423">
        <f>D22*(1+INDEX(Assumptions_EG!$C$14:$C$22,MATCH(LegacyFC_PRS[[#This Row],[EnergyConvTech]],Assumptions_EG!$B$14:$B$22,0)))</f>
        <v>2761.0753173085959</v>
      </c>
      <c r="F22" s="423">
        <f>E22*(1+INDEX(Assumptions_EG!$C$14:$C$22,MATCH(LegacyFC_PRS[[#This Row],[EnergyConvTech]],Assumptions_EG!$B$14:$B$22,0)))</f>
        <v>2761.0753173085959</v>
      </c>
      <c r="G22" s="423">
        <f>F22*(1+INDEX(Assumptions_EG!$C$14:$C$22,MATCH(LegacyFC_PRS[[#This Row],[EnergyConvTech]],Assumptions_EG!$B$14:$B$22,0)))</f>
        <v>2761.0753173085959</v>
      </c>
      <c r="H22" s="423">
        <f>G22*(1+INDEX(Assumptions_EG!$C$14:$C$22,MATCH(LegacyFC_PRS[[#This Row],[EnergyConvTech]],Assumptions_EG!$B$14:$B$22,0)))</f>
        <v>2761.0753173085959</v>
      </c>
      <c r="I22" s="423">
        <f>H22*(1+INDEX(Assumptions_EG!$C$14:$C$22,MATCH(LegacyFC_PRS[[#This Row],[EnergyConvTech]],Assumptions_EG!$B$14:$B$22,0)))</f>
        <v>2761.0753173085959</v>
      </c>
      <c r="J22" s="423">
        <f>I22*(1+INDEX(Assumptions_EG!$C$14:$C$22,MATCH(LegacyFC_PRS[[#This Row],[EnergyConvTech]],Assumptions_EG!$B$14:$B$22,0)))</f>
        <v>2761.0753173085959</v>
      </c>
      <c r="K22" s="423">
        <f>J22*(1+INDEX(Assumptions_EG!$C$14:$C$22,MATCH(LegacyFC_PRS[[#This Row],[EnergyConvTech]],Assumptions_EG!$B$14:$B$22,0)))</f>
        <v>2761.0753173085959</v>
      </c>
      <c r="L22" s="423">
        <f>K22*(1+INDEX(Assumptions_EG!$C$14:$C$22,MATCH(LegacyFC_PRS[[#This Row],[EnergyConvTech]],Assumptions_EG!$B$14:$B$22,0)))</f>
        <v>2761.0753173085959</v>
      </c>
      <c r="M22" s="423">
        <f>L22*(1+INDEX(Assumptions_EG!$C$14:$C$22,MATCH(LegacyFC_PRS[[#This Row],[EnergyConvTech]],Assumptions_EG!$B$14:$B$22,0)))</f>
        <v>2761.0753173085959</v>
      </c>
      <c r="N22" s="423">
        <f>M22*(1+INDEX(Assumptions_EG!$C$14:$C$22,MATCH(LegacyFC_PRS[[#This Row],[EnergyConvTech]],Assumptions_EG!$B$14:$B$22,0)))</f>
        <v>2761.0753173085959</v>
      </c>
    </row>
    <row r="23" spans="1:14" x14ac:dyDescent="0.35">
      <c r="A23" s="482">
        <v>2020</v>
      </c>
      <c r="B23" s="422" t="s">
        <v>1605</v>
      </c>
      <c r="C23" s="422" t="s">
        <v>628</v>
      </c>
      <c r="D23" s="480">
        <f>INDEX(RegionalFCsPRS[],MATCH(LegacyFC_PRS[[#This Row],[EnergyConvTech]],RegionalFCsPRS[EnergyConvTech],0),MATCH(LegacyFC_PRS[[#This Row],[SubGeography1]],RegionalFCsPRS[#Headers],0))</f>
        <v>11616.716581930692</v>
      </c>
      <c r="E23" s="423">
        <f>D23*(1+INDEX(Assumptions_EG!$C$14:$C$22,MATCH(LegacyFC_PRS[[#This Row],[EnergyConvTech]],Assumptions_EG!$B$14:$B$22,0)))</f>
        <v>11616.716581930692</v>
      </c>
      <c r="F23" s="423">
        <f>E23*(1+INDEX(Assumptions_EG!$C$14:$C$22,MATCH(LegacyFC_PRS[[#This Row],[EnergyConvTech]],Assumptions_EG!$B$14:$B$22,0)))</f>
        <v>11616.716581930692</v>
      </c>
      <c r="G23" s="423">
        <f>F23*(1+INDEX(Assumptions_EG!$C$14:$C$22,MATCH(LegacyFC_PRS[[#This Row],[EnergyConvTech]],Assumptions_EG!$B$14:$B$22,0)))</f>
        <v>11616.716581930692</v>
      </c>
      <c r="H23" s="423">
        <f>G23*(1+INDEX(Assumptions_EG!$C$14:$C$22,MATCH(LegacyFC_PRS[[#This Row],[EnergyConvTech]],Assumptions_EG!$B$14:$B$22,0)))</f>
        <v>11616.716581930692</v>
      </c>
      <c r="I23" s="423">
        <f>H23*(1+INDEX(Assumptions_EG!$C$14:$C$22,MATCH(LegacyFC_PRS[[#This Row],[EnergyConvTech]],Assumptions_EG!$B$14:$B$22,0)))</f>
        <v>11616.716581930692</v>
      </c>
      <c r="J23" s="423">
        <f>I23*(1+INDEX(Assumptions_EG!$C$14:$C$22,MATCH(LegacyFC_PRS[[#This Row],[EnergyConvTech]],Assumptions_EG!$B$14:$B$22,0)))</f>
        <v>11616.716581930692</v>
      </c>
      <c r="K23" s="423">
        <f>J23*(1+INDEX(Assumptions_EG!$C$14:$C$22,MATCH(LegacyFC_PRS[[#This Row],[EnergyConvTech]],Assumptions_EG!$B$14:$B$22,0)))</f>
        <v>11616.716581930692</v>
      </c>
      <c r="L23" s="423">
        <f>K23*(1+INDEX(Assumptions_EG!$C$14:$C$22,MATCH(LegacyFC_PRS[[#This Row],[EnergyConvTech]],Assumptions_EG!$B$14:$B$22,0)))</f>
        <v>11616.716581930692</v>
      </c>
      <c r="M23" s="423">
        <f>L23*(1+INDEX(Assumptions_EG!$C$14:$C$22,MATCH(LegacyFC_PRS[[#This Row],[EnergyConvTech]],Assumptions_EG!$B$14:$B$22,0)))</f>
        <v>11616.716581930692</v>
      </c>
      <c r="N23" s="423">
        <f>M23*(1+INDEX(Assumptions_EG!$C$14:$C$22,MATCH(LegacyFC_PRS[[#This Row],[EnergyConvTech]],Assumptions_EG!$B$14:$B$22,0)))</f>
        <v>11616.716581930692</v>
      </c>
    </row>
    <row r="24" spans="1:14" x14ac:dyDescent="0.35">
      <c r="A24" s="483">
        <v>2020</v>
      </c>
      <c r="B24" s="393" t="s">
        <v>1636</v>
      </c>
      <c r="C24" s="422" t="s">
        <v>628</v>
      </c>
      <c r="D24" s="480">
        <f>INDEX(RegionalFCsPRS[],MATCH(LegacyFC_PRS[[#This Row],[EnergyConvTech]],RegionalFCsPRS[EnergyConvTech],0),MATCH(LegacyFC_PRS[[#This Row],[SubGeography1]],RegionalFCsPRS[#Headers],0))</f>
        <v>10793.167282852371</v>
      </c>
      <c r="E24" s="423">
        <f>D24*(1+INDEX(Assumptions_EG!$C$14:$C$22,MATCH(LegacyFC_PRS[[#This Row],[EnergyConvTech]],Assumptions_EG!$B$14:$B$22,0)))</f>
        <v>10361.440591538276</v>
      </c>
      <c r="F24" s="423">
        <f>E24*(1+INDEX(Assumptions_EG!$C$14:$C$22,MATCH(LegacyFC_PRS[[#This Row],[EnergyConvTech]],Assumptions_EG!$B$14:$B$22,0)))</f>
        <v>9946.9829678767437</v>
      </c>
      <c r="G24" s="423">
        <f>F24*(1+INDEX(Assumptions_EG!$C$14:$C$22,MATCH(LegacyFC_PRS[[#This Row],[EnergyConvTech]],Assumptions_EG!$B$14:$B$22,0)))</f>
        <v>9549.1036491616742</v>
      </c>
      <c r="H24" s="423">
        <f>G24*(1+INDEX(Assumptions_EG!$C$14:$C$22,MATCH(LegacyFC_PRS[[#This Row],[EnergyConvTech]],Assumptions_EG!$B$14:$B$22,0)))</f>
        <v>9167.139503195207</v>
      </c>
      <c r="I24" s="423">
        <f>H24*(1+INDEX(Assumptions_EG!$C$14:$C$22,MATCH(LegacyFC_PRS[[#This Row],[EnergyConvTech]],Assumptions_EG!$B$14:$B$22,0)))</f>
        <v>8800.4539230673981</v>
      </c>
      <c r="J24" s="423">
        <f>I24*(1+INDEX(Assumptions_EG!$C$14:$C$22,MATCH(LegacyFC_PRS[[#This Row],[EnergyConvTech]],Assumptions_EG!$B$14:$B$22,0)))</f>
        <v>8448.4357661447011</v>
      </c>
      <c r="K24" s="423">
        <f>J24*(1+INDEX(Assumptions_EG!$C$14:$C$22,MATCH(LegacyFC_PRS[[#This Row],[EnergyConvTech]],Assumptions_EG!$B$14:$B$22,0)))</f>
        <v>8110.4983354989126</v>
      </c>
      <c r="L24" s="423">
        <f>K24*(1+INDEX(Assumptions_EG!$C$14:$C$22,MATCH(LegacyFC_PRS[[#This Row],[EnergyConvTech]],Assumptions_EG!$B$14:$B$22,0)))</f>
        <v>7786.0784020789561</v>
      </c>
      <c r="M24" s="423">
        <f>L24*(1+INDEX(Assumptions_EG!$C$14:$C$22,MATCH(LegacyFC_PRS[[#This Row],[EnergyConvTech]],Assumptions_EG!$B$14:$B$22,0)))</f>
        <v>7474.6352659957975</v>
      </c>
      <c r="N24" s="423">
        <f>M24*(1+INDEX(Assumptions_EG!$C$14:$C$22,MATCH(LegacyFC_PRS[[#This Row],[EnergyConvTech]],Assumptions_EG!$B$14:$B$22,0)))</f>
        <v>7175.649855355965</v>
      </c>
    </row>
    <row r="25" spans="1:14" x14ac:dyDescent="0.35">
      <c r="A25" s="486">
        <v>2020</v>
      </c>
      <c r="B25" s="428" t="s">
        <v>1606</v>
      </c>
      <c r="C25" s="422" t="s">
        <v>628</v>
      </c>
      <c r="D25" s="480">
        <f>INDEX(RegionalFCsPRS[],MATCH(LegacyFC_PRS[[#This Row],[EnergyConvTech]],RegionalFCsPRS[EnergyConvTech],0),MATCH(LegacyFC_PRS[[#This Row],[SubGeography1]],RegionalFCsPRS[#Headers],0))</f>
        <v>7346.1988674099939</v>
      </c>
      <c r="E25" s="423">
        <f>D25*(1+INDEX(Assumptions_EG!$C$14:$C$22,MATCH(LegacyFC_PRS[[#This Row],[EnergyConvTech]],Assumptions_EG!$B$14:$B$22,0)))</f>
        <v>7052.350912713594</v>
      </c>
      <c r="F25" s="423">
        <f>E25*(1+INDEX(Assumptions_EG!$C$14:$C$22,MATCH(LegacyFC_PRS[[#This Row],[EnergyConvTech]],Assumptions_EG!$B$14:$B$22,0)))</f>
        <v>6770.2568762050496</v>
      </c>
      <c r="G25" s="423">
        <f>F25*(1+INDEX(Assumptions_EG!$C$14:$C$22,MATCH(LegacyFC_PRS[[#This Row],[EnergyConvTech]],Assumptions_EG!$B$14:$B$22,0)))</f>
        <v>6499.4466011568475</v>
      </c>
      <c r="H25" s="423">
        <f>G25*(1+INDEX(Assumptions_EG!$C$14:$C$22,MATCH(LegacyFC_PRS[[#This Row],[EnergyConvTech]],Assumptions_EG!$B$14:$B$22,0)))</f>
        <v>6239.4687371105738</v>
      </c>
      <c r="I25" s="423">
        <f>H25*(1+INDEX(Assumptions_EG!$C$14:$C$22,MATCH(LegacyFC_PRS[[#This Row],[EnergyConvTech]],Assumptions_EG!$B$14:$B$22,0)))</f>
        <v>5989.8899876261503</v>
      </c>
      <c r="J25" s="423">
        <f>I25*(1+INDEX(Assumptions_EG!$C$14:$C$22,MATCH(LegacyFC_PRS[[#This Row],[EnergyConvTech]],Assumptions_EG!$B$14:$B$22,0)))</f>
        <v>5750.294388121104</v>
      </c>
      <c r="K25" s="423">
        <f>J25*(1+INDEX(Assumptions_EG!$C$14:$C$22,MATCH(LegacyFC_PRS[[#This Row],[EnergyConvTech]],Assumptions_EG!$B$14:$B$22,0)))</f>
        <v>5520.2826125962592</v>
      </c>
      <c r="L25" s="423">
        <f>K25*(1+INDEX(Assumptions_EG!$C$14:$C$22,MATCH(LegacyFC_PRS[[#This Row],[EnergyConvTech]],Assumptions_EG!$B$14:$B$22,0)))</f>
        <v>5299.4713080924084</v>
      </c>
      <c r="M25" s="423">
        <f>L25*(1+INDEX(Assumptions_EG!$C$14:$C$22,MATCH(LegacyFC_PRS[[#This Row],[EnergyConvTech]],Assumptions_EG!$B$14:$B$22,0)))</f>
        <v>5087.4924557687118</v>
      </c>
      <c r="N25" s="423">
        <f>M25*(1+INDEX(Assumptions_EG!$C$14:$C$22,MATCH(LegacyFC_PRS[[#This Row],[EnergyConvTech]],Assumptions_EG!$B$14:$B$22,0)))</f>
        <v>4883.9927575379634</v>
      </c>
    </row>
    <row r="26" spans="1:14" x14ac:dyDescent="0.35">
      <c r="A26" s="482">
        <v>2020</v>
      </c>
      <c r="B26" s="422" t="s">
        <v>1612</v>
      </c>
      <c r="C26" s="422" t="s">
        <v>1051</v>
      </c>
      <c r="D26" s="480">
        <f>INDEX(RegionalFCsPRS[],MATCH(LegacyFC_PRS[[#This Row],[EnergyConvTech]],RegionalFCsPRS[EnergyConvTech],0),MATCH(LegacyFC_PRS[[#This Row],[SubGeography1]],RegionalFCsPRS[#Headers],0))</f>
        <v>8862.3373298605529</v>
      </c>
      <c r="E26" s="423">
        <f>D26*(1+INDEX(Assumptions_EG!$C$14:$C$22,MATCH(LegacyFC_PRS[[#This Row],[EnergyConvTech]],Assumptions_EG!$B$14:$B$22,0)))</f>
        <v>8877.6122841641991</v>
      </c>
      <c r="F26" s="423">
        <f>E26*(1+INDEX(Assumptions_EG!$C$14:$C$22,MATCH(LegacyFC_PRS[[#This Row],[EnergyConvTech]],Assumptions_EG!$B$14:$B$22,0)))</f>
        <v>8892.9135660855263</v>
      </c>
      <c r="G26" s="423">
        <f>F26*(1+INDEX(Assumptions_EG!$C$14:$C$22,MATCH(LegacyFC_PRS[[#This Row],[EnergyConvTech]],Assumptions_EG!$B$14:$B$22,0)))</f>
        <v>8908.2412210023103</v>
      </c>
      <c r="H26" s="423">
        <f>G26*(1+INDEX(Assumptions_EG!$C$14:$C$22,MATCH(LegacyFC_PRS[[#This Row],[EnergyConvTech]],Assumptions_EG!$B$14:$B$22,0)))</f>
        <v>8923.5952943705397</v>
      </c>
      <c r="I26" s="423">
        <f>H26*(1+INDEX(Assumptions_EG!$C$14:$C$22,MATCH(LegacyFC_PRS[[#This Row],[EnergyConvTech]],Assumptions_EG!$B$14:$B$22,0)))</f>
        <v>8938.9758317245487</v>
      </c>
      <c r="J26" s="423">
        <f>I26*(1+INDEX(Assumptions_EG!$C$14:$C$22,MATCH(LegacyFC_PRS[[#This Row],[EnergyConvTech]],Assumptions_EG!$B$14:$B$22,0)))</f>
        <v>8954.3828786771537</v>
      </c>
      <c r="K26" s="423">
        <f>J26*(1+INDEX(Assumptions_EG!$C$14:$C$22,MATCH(LegacyFC_PRS[[#This Row],[EnergyConvTech]],Assumptions_EG!$B$14:$B$22,0)))</f>
        <v>8969.8164809197915</v>
      </c>
      <c r="L26" s="423">
        <f>K26*(1+INDEX(Assumptions_EG!$C$14:$C$22,MATCH(LegacyFC_PRS[[#This Row],[EnergyConvTech]],Assumptions_EG!$B$14:$B$22,0)))</f>
        <v>8985.2766842226483</v>
      </c>
      <c r="M26" s="423">
        <f>L26*(1+INDEX(Assumptions_EG!$C$14:$C$22,MATCH(LegacyFC_PRS[[#This Row],[EnergyConvTech]],Assumptions_EG!$B$14:$B$22,0)))</f>
        <v>9000.7635344348018</v>
      </c>
      <c r="N26" s="423">
        <f>M26*(1+INDEX(Assumptions_EG!$C$14:$C$22,MATCH(LegacyFC_PRS[[#This Row],[EnergyConvTech]],Assumptions_EG!$B$14:$B$22,0)))</f>
        <v>9016.2770774843502</v>
      </c>
    </row>
    <row r="27" spans="1:14" x14ac:dyDescent="0.35">
      <c r="A27" s="482">
        <v>2020</v>
      </c>
      <c r="B27" s="422" t="s">
        <v>1613</v>
      </c>
      <c r="C27" s="422" t="s">
        <v>1051</v>
      </c>
      <c r="D27" s="480">
        <f>INDEX(RegionalFCsPRS[],MATCH(LegacyFC_PRS[[#This Row],[EnergyConvTech]],RegionalFCsPRS[EnergyConvTech],0),MATCH(LegacyFC_PRS[[#This Row],[SubGeography1]],RegionalFCsPRS[#Headers],0))</f>
        <v>4210.7317541352131</v>
      </c>
      <c r="E27" s="423">
        <f>D27*(1+INDEX(Assumptions_EG!$C$14:$C$22,MATCH(LegacyFC_PRS[[#This Row],[EnergyConvTech]],Assumptions_EG!$B$14:$B$22,0)))</f>
        <v>4217.9892904639892</v>
      </c>
      <c r="F27" s="423">
        <f>E27*(1+INDEX(Assumptions_EG!$C$14:$C$22,MATCH(LegacyFC_PRS[[#This Row],[EnergyConvTech]],Assumptions_EG!$B$14:$B$22,0)))</f>
        <v>4225.2593357429041</v>
      </c>
      <c r="G27" s="423">
        <f>F27*(1+INDEX(Assumptions_EG!$C$14:$C$22,MATCH(LegacyFC_PRS[[#This Row],[EnergyConvTech]],Assumptions_EG!$B$14:$B$22,0)))</f>
        <v>4232.5419115321447</v>
      </c>
      <c r="H27" s="423">
        <f>G27*(1+INDEX(Assumptions_EG!$C$14:$C$22,MATCH(LegacyFC_PRS[[#This Row],[EnergyConvTech]],Assumptions_EG!$B$14:$B$22,0)))</f>
        <v>4239.8370394290578</v>
      </c>
      <c r="I27" s="423">
        <f>H27*(1+INDEX(Assumptions_EG!$C$14:$C$22,MATCH(LegacyFC_PRS[[#This Row],[EnergyConvTech]],Assumptions_EG!$B$14:$B$22,0)))</f>
        <v>4247.1447410682149</v>
      </c>
      <c r="J27" s="423">
        <f>I27*(1+INDEX(Assumptions_EG!$C$14:$C$22,MATCH(LegacyFC_PRS[[#This Row],[EnergyConvTech]],Assumptions_EG!$B$14:$B$22,0)))</f>
        <v>4254.4650381214769</v>
      </c>
      <c r="K27" s="423">
        <f>J27*(1+INDEX(Assumptions_EG!$C$14:$C$22,MATCH(LegacyFC_PRS[[#This Row],[EnergyConvTech]],Assumptions_EG!$B$14:$B$22,0)))</f>
        <v>4261.7979522980568</v>
      </c>
      <c r="L27" s="423">
        <f>K27*(1+INDEX(Assumptions_EG!$C$14:$C$22,MATCH(LegacyFC_PRS[[#This Row],[EnergyConvTech]],Assumptions_EG!$B$14:$B$22,0)))</f>
        <v>4269.1435053445857</v>
      </c>
      <c r="M27" s="423">
        <f>L27*(1+INDEX(Assumptions_EG!$C$14:$C$22,MATCH(LegacyFC_PRS[[#This Row],[EnergyConvTech]],Assumptions_EG!$B$14:$B$22,0)))</f>
        <v>4276.5017190451781</v>
      </c>
      <c r="N27" s="423">
        <f>M27*(1+INDEX(Assumptions_EG!$C$14:$C$22,MATCH(LegacyFC_PRS[[#This Row],[EnergyConvTech]],Assumptions_EG!$B$14:$B$22,0)))</f>
        <v>4283.8726152214931</v>
      </c>
    </row>
    <row r="28" spans="1:14" x14ac:dyDescent="0.35">
      <c r="A28" s="482">
        <v>2020</v>
      </c>
      <c r="B28" s="422" t="s">
        <v>1604</v>
      </c>
      <c r="C28" s="422" t="s">
        <v>1051</v>
      </c>
      <c r="D28" s="480">
        <f>INDEX(RegionalFCsPRS[],MATCH(LegacyFC_PRS[[#This Row],[EnergyConvTech]],RegionalFCsPRS[EnergyConvTech],0),MATCH(LegacyFC_PRS[[#This Row],[SubGeography1]],RegionalFCsPRS[#Headers],0))</f>
        <v>4080.9585671288087</v>
      </c>
      <c r="E28" s="423">
        <f>D28*(1+INDEX(Assumptions_EG!$C$14:$C$22,MATCH(LegacyFC_PRS[[#This Row],[EnergyConvTech]],Assumptions_EG!$B$14:$B$22,0)))</f>
        <v>4080.9585671288087</v>
      </c>
      <c r="F28" s="423">
        <f>E28*(1+INDEX(Assumptions_EG!$C$14:$C$22,MATCH(LegacyFC_PRS[[#This Row],[EnergyConvTech]],Assumptions_EG!$B$14:$B$22,0)))</f>
        <v>4080.9585671288087</v>
      </c>
      <c r="G28" s="423">
        <f>F28*(1+INDEX(Assumptions_EG!$C$14:$C$22,MATCH(LegacyFC_PRS[[#This Row],[EnergyConvTech]],Assumptions_EG!$B$14:$B$22,0)))</f>
        <v>4080.9585671288087</v>
      </c>
      <c r="H28" s="423">
        <f>G28*(1+INDEX(Assumptions_EG!$C$14:$C$22,MATCH(LegacyFC_PRS[[#This Row],[EnergyConvTech]],Assumptions_EG!$B$14:$B$22,0)))</f>
        <v>4080.9585671288087</v>
      </c>
      <c r="I28" s="423">
        <f>H28*(1+INDEX(Assumptions_EG!$C$14:$C$22,MATCH(LegacyFC_PRS[[#This Row],[EnergyConvTech]],Assumptions_EG!$B$14:$B$22,0)))</f>
        <v>4080.9585671288087</v>
      </c>
      <c r="J28" s="423">
        <f>I28*(1+INDEX(Assumptions_EG!$C$14:$C$22,MATCH(LegacyFC_PRS[[#This Row],[EnergyConvTech]],Assumptions_EG!$B$14:$B$22,0)))</f>
        <v>4080.9585671288087</v>
      </c>
      <c r="K28" s="423">
        <f>J28*(1+INDEX(Assumptions_EG!$C$14:$C$22,MATCH(LegacyFC_PRS[[#This Row],[EnergyConvTech]],Assumptions_EG!$B$14:$B$22,0)))</f>
        <v>4080.9585671288087</v>
      </c>
      <c r="L28" s="423">
        <f>K28*(1+INDEX(Assumptions_EG!$C$14:$C$22,MATCH(LegacyFC_PRS[[#This Row],[EnergyConvTech]],Assumptions_EG!$B$14:$B$22,0)))</f>
        <v>4080.9585671288087</v>
      </c>
      <c r="M28" s="423">
        <f>L28*(1+INDEX(Assumptions_EG!$C$14:$C$22,MATCH(LegacyFC_PRS[[#This Row],[EnergyConvTech]],Assumptions_EG!$B$14:$B$22,0)))</f>
        <v>4080.9585671288087</v>
      </c>
      <c r="N28" s="423">
        <f>M28*(1+INDEX(Assumptions_EG!$C$14:$C$22,MATCH(LegacyFC_PRS[[#This Row],[EnergyConvTech]],Assumptions_EG!$B$14:$B$22,0)))</f>
        <v>4080.9585671288087</v>
      </c>
    </row>
    <row r="29" spans="1:14" x14ac:dyDescent="0.35">
      <c r="A29" s="482">
        <v>2020</v>
      </c>
      <c r="B29" s="422" t="s">
        <v>1615</v>
      </c>
      <c r="C29" s="422" t="s">
        <v>1051</v>
      </c>
      <c r="D29" s="480">
        <f>INDEX(RegionalFCsPRS[],MATCH(LegacyFC_PRS[[#This Row],[EnergyConvTech]],RegionalFCsPRS[EnergyConvTech],0),MATCH(LegacyFC_PRS[[#This Row],[SubGeography1]],RegionalFCsPRS[#Headers],0))</f>
        <v>19116.166827077381</v>
      </c>
      <c r="E29" s="423">
        <f>D29*(1+INDEX(Assumptions_EG!$C$14:$C$22,MATCH(LegacyFC_PRS[[#This Row],[EnergyConvTech]],Assumptions_EG!$B$14:$B$22,0)))</f>
        <v>19116.166827077381</v>
      </c>
      <c r="F29" s="423">
        <f>E29*(1+INDEX(Assumptions_EG!$C$14:$C$22,MATCH(LegacyFC_PRS[[#This Row],[EnergyConvTech]],Assumptions_EG!$B$14:$B$22,0)))</f>
        <v>19116.166827077381</v>
      </c>
      <c r="G29" s="423">
        <f>F29*(1+INDEX(Assumptions_EG!$C$14:$C$22,MATCH(LegacyFC_PRS[[#This Row],[EnergyConvTech]],Assumptions_EG!$B$14:$B$22,0)))</f>
        <v>19116.166827077381</v>
      </c>
      <c r="H29" s="423">
        <f>G29*(1+INDEX(Assumptions_EG!$C$14:$C$22,MATCH(LegacyFC_PRS[[#This Row],[EnergyConvTech]],Assumptions_EG!$B$14:$B$22,0)))</f>
        <v>19116.166827077381</v>
      </c>
      <c r="I29" s="423">
        <f>H29*(1+INDEX(Assumptions_EG!$C$14:$C$22,MATCH(LegacyFC_PRS[[#This Row],[EnergyConvTech]],Assumptions_EG!$B$14:$B$22,0)))</f>
        <v>19116.166827077381</v>
      </c>
      <c r="J29" s="423">
        <f>I29*(1+INDEX(Assumptions_EG!$C$14:$C$22,MATCH(LegacyFC_PRS[[#This Row],[EnergyConvTech]],Assumptions_EG!$B$14:$B$22,0)))</f>
        <v>19116.166827077381</v>
      </c>
      <c r="K29" s="423">
        <f>J29*(1+INDEX(Assumptions_EG!$C$14:$C$22,MATCH(LegacyFC_PRS[[#This Row],[EnergyConvTech]],Assumptions_EG!$B$14:$B$22,0)))</f>
        <v>19116.166827077381</v>
      </c>
      <c r="L29" s="423">
        <f>K29*(1+INDEX(Assumptions_EG!$C$14:$C$22,MATCH(LegacyFC_PRS[[#This Row],[EnergyConvTech]],Assumptions_EG!$B$14:$B$22,0)))</f>
        <v>19116.166827077381</v>
      </c>
      <c r="M29" s="423">
        <f>L29*(1+INDEX(Assumptions_EG!$C$14:$C$22,MATCH(LegacyFC_PRS[[#This Row],[EnergyConvTech]],Assumptions_EG!$B$14:$B$22,0)))</f>
        <v>19116.166827077381</v>
      </c>
      <c r="N29" s="423">
        <f>M29*(1+INDEX(Assumptions_EG!$C$14:$C$22,MATCH(LegacyFC_PRS[[#This Row],[EnergyConvTech]],Assumptions_EG!$B$14:$B$22,0)))</f>
        <v>19116.166827077381</v>
      </c>
    </row>
    <row r="30" spans="1:14" x14ac:dyDescent="0.35">
      <c r="A30" s="482">
        <v>2020</v>
      </c>
      <c r="B30" s="422" t="s">
        <v>1603</v>
      </c>
      <c r="C30" s="422" t="s">
        <v>1051</v>
      </c>
      <c r="D30" s="480">
        <f>INDEX(RegionalFCsPRS[],MATCH(LegacyFC_PRS[[#This Row],[EnergyConvTech]],RegionalFCsPRS[EnergyConvTech],0),MATCH(LegacyFC_PRS[[#This Row],[SubGeography1]],RegionalFCsPRS[#Headers],0))</f>
        <v>2977.1068963922471</v>
      </c>
      <c r="E30" s="423">
        <f>D30*(1+INDEX(Assumptions_EG!$C$14:$C$22,MATCH(LegacyFC_PRS[[#This Row],[EnergyConvTech]],Assumptions_EG!$B$14:$B$22,0)))</f>
        <v>2977.1068963922471</v>
      </c>
      <c r="F30" s="423">
        <f>E30*(1+INDEX(Assumptions_EG!$C$14:$C$22,MATCH(LegacyFC_PRS[[#This Row],[EnergyConvTech]],Assumptions_EG!$B$14:$B$22,0)))</f>
        <v>2977.1068963922471</v>
      </c>
      <c r="G30" s="423">
        <f>F30*(1+INDEX(Assumptions_EG!$C$14:$C$22,MATCH(LegacyFC_PRS[[#This Row],[EnergyConvTech]],Assumptions_EG!$B$14:$B$22,0)))</f>
        <v>2977.1068963922471</v>
      </c>
      <c r="H30" s="423">
        <f>G30*(1+INDEX(Assumptions_EG!$C$14:$C$22,MATCH(LegacyFC_PRS[[#This Row],[EnergyConvTech]],Assumptions_EG!$B$14:$B$22,0)))</f>
        <v>2977.1068963922471</v>
      </c>
      <c r="I30" s="423">
        <f>H30*(1+INDEX(Assumptions_EG!$C$14:$C$22,MATCH(LegacyFC_PRS[[#This Row],[EnergyConvTech]],Assumptions_EG!$B$14:$B$22,0)))</f>
        <v>2977.1068963922471</v>
      </c>
      <c r="J30" s="423">
        <f>I30*(1+INDEX(Assumptions_EG!$C$14:$C$22,MATCH(LegacyFC_PRS[[#This Row],[EnergyConvTech]],Assumptions_EG!$B$14:$B$22,0)))</f>
        <v>2977.1068963922471</v>
      </c>
      <c r="K30" s="423">
        <f>J30*(1+INDEX(Assumptions_EG!$C$14:$C$22,MATCH(LegacyFC_PRS[[#This Row],[EnergyConvTech]],Assumptions_EG!$B$14:$B$22,0)))</f>
        <v>2977.1068963922471</v>
      </c>
      <c r="L30" s="423">
        <f>K30*(1+INDEX(Assumptions_EG!$C$14:$C$22,MATCH(LegacyFC_PRS[[#This Row],[EnergyConvTech]],Assumptions_EG!$B$14:$B$22,0)))</f>
        <v>2977.1068963922471</v>
      </c>
      <c r="M30" s="423">
        <f>L30*(1+INDEX(Assumptions_EG!$C$14:$C$22,MATCH(LegacyFC_PRS[[#This Row],[EnergyConvTech]],Assumptions_EG!$B$14:$B$22,0)))</f>
        <v>2977.1068963922471</v>
      </c>
      <c r="N30" s="423">
        <f>M30*(1+INDEX(Assumptions_EG!$C$14:$C$22,MATCH(LegacyFC_PRS[[#This Row],[EnergyConvTech]],Assumptions_EG!$B$14:$B$22,0)))</f>
        <v>2977.1068963922471</v>
      </c>
    </row>
    <row r="31" spans="1:14" x14ac:dyDescent="0.35">
      <c r="A31" s="482">
        <v>2020</v>
      </c>
      <c r="B31" s="422" t="s">
        <v>1605</v>
      </c>
      <c r="C31" s="422" t="s">
        <v>1051</v>
      </c>
      <c r="D31" s="480">
        <f>INDEX(RegionalFCsPRS[],MATCH(LegacyFC_PRS[[#This Row],[EnergyConvTech]],RegionalFCsPRS[EnergyConvTech],0),MATCH(LegacyFC_PRS[[#This Row],[SubGeography1]],RegionalFCsPRS[#Headers],0))</f>
        <v>9522.7857316091431</v>
      </c>
      <c r="E31" s="423">
        <f>D31*(1+INDEX(Assumptions_EG!$C$14:$C$22,MATCH(LegacyFC_PRS[[#This Row],[EnergyConvTech]],Assumptions_EG!$B$14:$B$22,0)))</f>
        <v>9522.7857316091431</v>
      </c>
      <c r="F31" s="423">
        <f>E31*(1+INDEX(Assumptions_EG!$C$14:$C$22,MATCH(LegacyFC_PRS[[#This Row],[EnergyConvTech]],Assumptions_EG!$B$14:$B$22,0)))</f>
        <v>9522.7857316091431</v>
      </c>
      <c r="G31" s="423">
        <f>F31*(1+INDEX(Assumptions_EG!$C$14:$C$22,MATCH(LegacyFC_PRS[[#This Row],[EnergyConvTech]],Assumptions_EG!$B$14:$B$22,0)))</f>
        <v>9522.7857316091431</v>
      </c>
      <c r="H31" s="423">
        <f>G31*(1+INDEX(Assumptions_EG!$C$14:$C$22,MATCH(LegacyFC_PRS[[#This Row],[EnergyConvTech]],Assumptions_EG!$B$14:$B$22,0)))</f>
        <v>9522.7857316091431</v>
      </c>
      <c r="I31" s="423">
        <f>H31*(1+INDEX(Assumptions_EG!$C$14:$C$22,MATCH(LegacyFC_PRS[[#This Row],[EnergyConvTech]],Assumptions_EG!$B$14:$B$22,0)))</f>
        <v>9522.7857316091431</v>
      </c>
      <c r="J31" s="423">
        <f>I31*(1+INDEX(Assumptions_EG!$C$14:$C$22,MATCH(LegacyFC_PRS[[#This Row],[EnergyConvTech]],Assumptions_EG!$B$14:$B$22,0)))</f>
        <v>9522.7857316091431</v>
      </c>
      <c r="K31" s="423">
        <f>J31*(1+INDEX(Assumptions_EG!$C$14:$C$22,MATCH(LegacyFC_PRS[[#This Row],[EnergyConvTech]],Assumptions_EG!$B$14:$B$22,0)))</f>
        <v>9522.7857316091431</v>
      </c>
      <c r="L31" s="423">
        <f>K31*(1+INDEX(Assumptions_EG!$C$14:$C$22,MATCH(LegacyFC_PRS[[#This Row],[EnergyConvTech]],Assumptions_EG!$B$14:$B$22,0)))</f>
        <v>9522.7857316091431</v>
      </c>
      <c r="M31" s="423">
        <f>L31*(1+INDEX(Assumptions_EG!$C$14:$C$22,MATCH(LegacyFC_PRS[[#This Row],[EnergyConvTech]],Assumptions_EG!$B$14:$B$22,0)))</f>
        <v>9522.7857316091431</v>
      </c>
      <c r="N31" s="423">
        <f>M31*(1+INDEX(Assumptions_EG!$C$14:$C$22,MATCH(LegacyFC_PRS[[#This Row],[EnergyConvTech]],Assumptions_EG!$B$14:$B$22,0)))</f>
        <v>9522.7857316091431</v>
      </c>
    </row>
    <row r="32" spans="1:14" x14ac:dyDescent="0.35">
      <c r="A32" s="482">
        <v>2020</v>
      </c>
      <c r="B32" s="422" t="s">
        <v>1636</v>
      </c>
      <c r="C32" s="422" t="s">
        <v>1051</v>
      </c>
      <c r="D32" s="480">
        <f>INDEX(RegionalFCsPRS[],MATCH(LegacyFC_PRS[[#This Row],[EnergyConvTech]],RegionalFCsPRS[EnergyConvTech],0),MATCH(LegacyFC_PRS[[#This Row],[SubGeography1]],RegionalFCsPRS[#Headers],0))</f>
        <v>8691.5050276236143</v>
      </c>
      <c r="E32" s="423">
        <f>D32*(1+INDEX(Assumptions_EG!$C$14:$C$22,MATCH(LegacyFC_PRS[[#This Row],[EnergyConvTech]],Assumptions_EG!$B$14:$B$22,0)))</f>
        <v>8343.8448265186689</v>
      </c>
      <c r="F32" s="423">
        <f>E32*(1+INDEX(Assumptions_EG!$C$14:$C$22,MATCH(LegacyFC_PRS[[#This Row],[EnergyConvTech]],Assumptions_EG!$B$14:$B$22,0)))</f>
        <v>8010.0910334579221</v>
      </c>
      <c r="G32" s="423">
        <f>F32*(1+INDEX(Assumptions_EG!$C$14:$C$22,MATCH(LegacyFC_PRS[[#This Row],[EnergyConvTech]],Assumptions_EG!$B$14:$B$22,0)))</f>
        <v>7689.6873921196047</v>
      </c>
      <c r="H32" s="423">
        <f>G32*(1+INDEX(Assumptions_EG!$C$14:$C$22,MATCH(LegacyFC_PRS[[#This Row],[EnergyConvTech]],Assumptions_EG!$B$14:$B$22,0)))</f>
        <v>7382.09989643482</v>
      </c>
      <c r="I32" s="423">
        <f>H32*(1+INDEX(Assumptions_EG!$C$14:$C$22,MATCH(LegacyFC_PRS[[#This Row],[EnergyConvTech]],Assumptions_EG!$B$14:$B$22,0)))</f>
        <v>7086.8159005774269</v>
      </c>
      <c r="J32" s="423">
        <f>I32*(1+INDEX(Assumptions_EG!$C$14:$C$22,MATCH(LegacyFC_PRS[[#This Row],[EnergyConvTech]],Assumptions_EG!$B$14:$B$22,0)))</f>
        <v>6803.3432645543298</v>
      </c>
      <c r="K32" s="423">
        <f>J32*(1+INDEX(Assumptions_EG!$C$14:$C$22,MATCH(LegacyFC_PRS[[#This Row],[EnergyConvTech]],Assumptions_EG!$B$14:$B$22,0)))</f>
        <v>6531.2095339721564</v>
      </c>
      <c r="L32" s="423">
        <f>K32*(1+INDEX(Assumptions_EG!$C$14:$C$22,MATCH(LegacyFC_PRS[[#This Row],[EnergyConvTech]],Assumptions_EG!$B$14:$B$22,0)))</f>
        <v>6269.9611526132703</v>
      </c>
      <c r="M32" s="423">
        <f>L32*(1+INDEX(Assumptions_EG!$C$14:$C$22,MATCH(LegacyFC_PRS[[#This Row],[EnergyConvTech]],Assumptions_EG!$B$14:$B$22,0)))</f>
        <v>6019.1627065087396</v>
      </c>
      <c r="N32" s="423">
        <f>M32*(1+INDEX(Assumptions_EG!$C$14:$C$22,MATCH(LegacyFC_PRS[[#This Row],[EnergyConvTech]],Assumptions_EG!$B$14:$B$22,0)))</f>
        <v>5778.3961982483897</v>
      </c>
    </row>
    <row r="33" spans="1:14" x14ac:dyDescent="0.35">
      <c r="A33" s="482">
        <v>2020</v>
      </c>
      <c r="B33" s="422" t="s">
        <v>1606</v>
      </c>
      <c r="C33" s="422" t="s">
        <v>1051</v>
      </c>
      <c r="D33" s="480">
        <f>INDEX(RegionalFCsPRS[],MATCH(LegacyFC_PRS[[#This Row],[EnergyConvTech]],RegionalFCsPRS[EnergyConvTech],0),MATCH(LegacyFC_PRS[[#This Row],[SubGeography1]],RegionalFCsPRS[#Headers],0))</f>
        <v>5886.0846098324755</v>
      </c>
      <c r="E33" s="423">
        <f>D33*(1+INDEX(Assumptions_EG!$C$14:$C$22,MATCH(LegacyFC_PRS[[#This Row],[EnergyConvTech]],Assumptions_EG!$B$14:$B$22,0)))</f>
        <v>5650.6412254391762</v>
      </c>
      <c r="F33" s="423">
        <f>E33*(1+INDEX(Assumptions_EG!$C$14:$C$22,MATCH(LegacyFC_PRS[[#This Row],[EnergyConvTech]],Assumptions_EG!$B$14:$B$22,0)))</f>
        <v>5424.6155764216091</v>
      </c>
      <c r="G33" s="423">
        <f>F33*(1+INDEX(Assumptions_EG!$C$14:$C$22,MATCH(LegacyFC_PRS[[#This Row],[EnergyConvTech]],Assumptions_EG!$B$14:$B$22,0)))</f>
        <v>5207.6309533647445</v>
      </c>
      <c r="H33" s="423">
        <f>G33*(1+INDEX(Assumptions_EG!$C$14:$C$22,MATCH(LegacyFC_PRS[[#This Row],[EnergyConvTech]],Assumptions_EG!$B$14:$B$22,0)))</f>
        <v>4999.3257152301549</v>
      </c>
      <c r="I33" s="423">
        <f>H33*(1+INDEX(Assumptions_EG!$C$14:$C$22,MATCH(LegacyFC_PRS[[#This Row],[EnergyConvTech]],Assumptions_EG!$B$14:$B$22,0)))</f>
        <v>4799.3526866209486</v>
      </c>
      <c r="J33" s="423">
        <f>I33*(1+INDEX(Assumptions_EG!$C$14:$C$22,MATCH(LegacyFC_PRS[[#This Row],[EnergyConvTech]],Assumptions_EG!$B$14:$B$22,0)))</f>
        <v>4607.3785791561104</v>
      </c>
      <c r="K33" s="423">
        <f>J33*(1+INDEX(Assumptions_EG!$C$14:$C$22,MATCH(LegacyFC_PRS[[#This Row],[EnergyConvTech]],Assumptions_EG!$B$14:$B$22,0)))</f>
        <v>4423.0834359898654</v>
      </c>
      <c r="L33" s="423">
        <f>K33*(1+INDEX(Assumptions_EG!$C$14:$C$22,MATCH(LegacyFC_PRS[[#This Row],[EnergyConvTech]],Assumptions_EG!$B$14:$B$22,0)))</f>
        <v>4246.160098550271</v>
      </c>
      <c r="M33" s="423">
        <f>L33*(1+INDEX(Assumptions_EG!$C$14:$C$22,MATCH(LegacyFC_PRS[[#This Row],[EnergyConvTech]],Assumptions_EG!$B$14:$B$22,0)))</f>
        <v>4076.31369460826</v>
      </c>
      <c r="N33" s="423">
        <f>M33*(1+INDEX(Assumptions_EG!$C$14:$C$22,MATCH(LegacyFC_PRS[[#This Row],[EnergyConvTech]],Assumptions_EG!$B$14:$B$22,0)))</f>
        <v>3913.2611468239293</v>
      </c>
    </row>
    <row r="34" spans="1:14" x14ac:dyDescent="0.35">
      <c r="A34" s="482">
        <v>2020</v>
      </c>
      <c r="B34" s="422" t="s">
        <v>1612</v>
      </c>
      <c r="C34" s="422" t="s">
        <v>1054</v>
      </c>
      <c r="D34" s="480">
        <f>INDEX(RegionalFCsPRS[],MATCH(LegacyFC_PRS[[#This Row],[EnergyConvTech]],RegionalFCsPRS[EnergyConvTech],0),MATCH(LegacyFC_PRS[[#This Row],[SubGeography1]],RegionalFCsPRS[#Headers],0))</f>
        <v>6867.8239192724877</v>
      </c>
      <c r="E34" s="423">
        <f>D34*(1+INDEX(Assumptions_EG!$C$14:$C$22,MATCH(LegacyFC_PRS[[#This Row],[EnergyConvTech]],Assumptions_EG!$B$14:$B$22,0)))</f>
        <v>6879.6611685925864</v>
      </c>
      <c r="F34" s="423">
        <f>E34*(1+INDEX(Assumptions_EG!$C$14:$C$22,MATCH(LegacyFC_PRS[[#This Row],[EnergyConvTech]],Assumptions_EG!$B$14:$B$22,0)))</f>
        <v>6891.5188203681228</v>
      </c>
      <c r="G34" s="423">
        <f>F34*(1+INDEX(Assumptions_EG!$C$14:$C$22,MATCH(LegacyFC_PRS[[#This Row],[EnergyConvTech]],Assumptions_EG!$B$14:$B$22,0)))</f>
        <v>6903.3969097643767</v>
      </c>
      <c r="H34" s="423">
        <f>G34*(1+INDEX(Assumptions_EG!$C$14:$C$22,MATCH(LegacyFC_PRS[[#This Row],[EnergyConvTech]],Assumptions_EG!$B$14:$B$22,0)))</f>
        <v>6915.2954720072385</v>
      </c>
      <c r="I34" s="423">
        <f>H34*(1+INDEX(Assumptions_EG!$C$14:$C$22,MATCH(LegacyFC_PRS[[#This Row],[EnergyConvTech]],Assumptions_EG!$B$14:$B$22,0)))</f>
        <v>6927.2145423833135</v>
      </c>
      <c r="J34" s="423">
        <f>I34*(1+INDEX(Assumptions_EG!$C$14:$C$22,MATCH(LegacyFC_PRS[[#This Row],[EnergyConvTech]],Assumptions_EG!$B$14:$B$22,0)))</f>
        <v>6939.1541562400253</v>
      </c>
      <c r="K34" s="423">
        <f>J34*(1+INDEX(Assumptions_EG!$C$14:$C$22,MATCH(LegacyFC_PRS[[#This Row],[EnergyConvTech]],Assumptions_EG!$B$14:$B$22,0)))</f>
        <v>6951.1143489857232</v>
      </c>
      <c r="L34" s="423">
        <f>K34*(1+INDEX(Assumptions_EG!$C$14:$C$22,MATCH(LegacyFC_PRS[[#This Row],[EnergyConvTech]],Assumptions_EG!$B$14:$B$22,0)))</f>
        <v>6963.0951560897838</v>
      </c>
      <c r="M34" s="423">
        <f>L34*(1+INDEX(Assumptions_EG!$C$14:$C$22,MATCH(LegacyFC_PRS[[#This Row],[EnergyConvTech]],Assumptions_EG!$B$14:$B$22,0)))</f>
        <v>6975.0966130827201</v>
      </c>
      <c r="N34" s="423">
        <f>M34*(1+INDEX(Assumptions_EG!$C$14:$C$22,MATCH(LegacyFC_PRS[[#This Row],[EnergyConvTech]],Assumptions_EG!$B$14:$B$22,0)))</f>
        <v>6987.1187555562828</v>
      </c>
    </row>
    <row r="35" spans="1:14" x14ac:dyDescent="0.35">
      <c r="A35" s="482">
        <v>2020</v>
      </c>
      <c r="B35" s="422" t="s">
        <v>1613</v>
      </c>
      <c r="C35" s="422" t="s">
        <v>1054</v>
      </c>
      <c r="D35" s="480">
        <f>INDEX(RegionalFCsPRS[],MATCH(LegacyFC_PRS[[#This Row],[EnergyConvTech]],RegionalFCsPRS[EnergyConvTech],0),MATCH(LegacyFC_PRS[[#This Row],[SubGeography1]],RegionalFCsPRS[#Headers],0))</f>
        <v>2377.9140900012894</v>
      </c>
      <c r="E35" s="423">
        <f>D35*(1+INDEX(Assumptions_EG!$C$14:$C$22,MATCH(LegacyFC_PRS[[#This Row],[EnergyConvTech]],Assumptions_EG!$B$14:$B$22,0)))</f>
        <v>2382.0126170276058</v>
      </c>
      <c r="F35" s="423">
        <f>E35*(1+INDEX(Assumptions_EG!$C$14:$C$22,MATCH(LegacyFC_PRS[[#This Row],[EnergyConvTech]],Assumptions_EG!$B$14:$B$22,0)))</f>
        <v>2386.1182081963384</v>
      </c>
      <c r="G35" s="423">
        <f>F35*(1+INDEX(Assumptions_EG!$C$14:$C$22,MATCH(LegacyFC_PRS[[#This Row],[EnergyConvTech]],Assumptions_EG!$B$14:$B$22,0)))</f>
        <v>2390.2308756831076</v>
      </c>
      <c r="H35" s="423">
        <f>G35*(1+INDEX(Assumptions_EG!$C$14:$C$22,MATCH(LegacyFC_PRS[[#This Row],[EnergyConvTech]],Assumptions_EG!$B$14:$B$22,0)))</f>
        <v>2394.3506316845187</v>
      </c>
      <c r="I35" s="423">
        <f>H35*(1+INDEX(Assumptions_EG!$C$14:$C$22,MATCH(LegacyFC_PRS[[#This Row],[EnergyConvTech]],Assumptions_EG!$B$14:$B$22,0)))</f>
        <v>2398.4774884181998</v>
      </c>
      <c r="J35" s="423">
        <f>I35*(1+INDEX(Assumptions_EG!$C$14:$C$22,MATCH(LegacyFC_PRS[[#This Row],[EnergyConvTech]],Assumptions_EG!$B$14:$B$22,0)))</f>
        <v>2402.6114581228362</v>
      </c>
      <c r="K35" s="423">
        <f>J35*(1+INDEX(Assumptions_EG!$C$14:$C$22,MATCH(LegacyFC_PRS[[#This Row],[EnergyConvTech]],Assumptions_EG!$B$14:$B$22,0)))</f>
        <v>2406.7525530582084</v>
      </c>
      <c r="L35" s="423">
        <f>K35*(1+INDEX(Assumptions_EG!$C$14:$C$22,MATCH(LegacyFC_PRS[[#This Row],[EnergyConvTech]],Assumptions_EG!$B$14:$B$22,0)))</f>
        <v>2410.9007855052264</v>
      </c>
      <c r="M35" s="423">
        <f>L35*(1+INDEX(Assumptions_EG!$C$14:$C$22,MATCH(LegacyFC_PRS[[#This Row],[EnergyConvTech]],Assumptions_EG!$B$14:$B$22,0)))</f>
        <v>2415.0561677659689</v>
      </c>
      <c r="N35" s="423">
        <f>M35*(1+INDEX(Assumptions_EG!$C$14:$C$22,MATCH(LegacyFC_PRS[[#This Row],[EnergyConvTech]],Assumptions_EG!$B$14:$B$22,0)))</f>
        <v>2419.2187121637171</v>
      </c>
    </row>
    <row r="36" spans="1:14" x14ac:dyDescent="0.35">
      <c r="A36" s="483">
        <v>2020</v>
      </c>
      <c r="B36" s="393" t="s">
        <v>1604</v>
      </c>
      <c r="C36" s="422" t="s">
        <v>1054</v>
      </c>
      <c r="D36" s="480">
        <f>INDEX(RegionalFCsPRS[],MATCH(LegacyFC_PRS[[#This Row],[EnergyConvTech]],RegionalFCsPRS[EnergyConvTech],0),MATCH(LegacyFC_PRS[[#This Row],[SubGeography1]],RegionalFCsPRS[#Headers],0))</f>
        <v>9489.1171240127242</v>
      </c>
      <c r="E36" s="479">
        <f>D36*(1+INDEX(Assumptions_EG!$C$14:$C$22,MATCH(LegacyFC_PRS[[#This Row],[EnergyConvTech]],Assumptions_EG!$B$14:$B$22,0)))</f>
        <v>9489.1171240127242</v>
      </c>
      <c r="F36" s="479">
        <f>E36*(1+INDEX(Assumptions_EG!$C$14:$C$22,MATCH(LegacyFC_PRS[[#This Row],[EnergyConvTech]],Assumptions_EG!$B$14:$B$22,0)))</f>
        <v>9489.1171240127242</v>
      </c>
      <c r="G36" s="479">
        <f>F36*(1+INDEX(Assumptions_EG!$C$14:$C$22,MATCH(LegacyFC_PRS[[#This Row],[EnergyConvTech]],Assumptions_EG!$B$14:$B$22,0)))</f>
        <v>9489.1171240127242</v>
      </c>
      <c r="H36" s="479">
        <f>G36*(1+INDEX(Assumptions_EG!$C$14:$C$22,MATCH(LegacyFC_PRS[[#This Row],[EnergyConvTech]],Assumptions_EG!$B$14:$B$22,0)))</f>
        <v>9489.1171240127242</v>
      </c>
      <c r="I36" s="479">
        <f>H36*(1+INDEX(Assumptions_EG!$C$14:$C$22,MATCH(LegacyFC_PRS[[#This Row],[EnergyConvTech]],Assumptions_EG!$B$14:$B$22,0)))</f>
        <v>9489.1171240127242</v>
      </c>
      <c r="J36" s="479">
        <f>I36*(1+INDEX(Assumptions_EG!$C$14:$C$22,MATCH(LegacyFC_PRS[[#This Row],[EnergyConvTech]],Assumptions_EG!$B$14:$B$22,0)))</f>
        <v>9489.1171240127242</v>
      </c>
      <c r="K36" s="479">
        <f>J36*(1+INDEX(Assumptions_EG!$C$14:$C$22,MATCH(LegacyFC_PRS[[#This Row],[EnergyConvTech]],Assumptions_EG!$B$14:$B$22,0)))</f>
        <v>9489.1171240127242</v>
      </c>
      <c r="L36" s="479">
        <f>K36*(1+INDEX(Assumptions_EG!$C$14:$C$22,MATCH(LegacyFC_PRS[[#This Row],[EnergyConvTech]],Assumptions_EG!$B$14:$B$22,0)))</f>
        <v>9489.1171240127242</v>
      </c>
      <c r="M36" s="479">
        <f>L36*(1+INDEX(Assumptions_EG!$C$14:$C$22,MATCH(LegacyFC_PRS[[#This Row],[EnergyConvTech]],Assumptions_EG!$B$14:$B$22,0)))</f>
        <v>9489.1171240127242</v>
      </c>
      <c r="N36" s="479">
        <f>M36*(1+INDEX(Assumptions_EG!$C$14:$C$22,MATCH(LegacyFC_PRS[[#This Row],[EnergyConvTech]],Assumptions_EG!$B$14:$B$22,0)))</f>
        <v>9489.1171240127242</v>
      </c>
    </row>
    <row r="37" spans="1:14" x14ac:dyDescent="0.35">
      <c r="A37" s="482">
        <v>2020</v>
      </c>
      <c r="B37" s="422" t="s">
        <v>1615</v>
      </c>
      <c r="C37" s="422" t="s">
        <v>1054</v>
      </c>
      <c r="D37" s="480" t="e">
        <f>INDEX(RegionalFCsPRS[],MATCH(LegacyFC_PRS[[#This Row],[EnergyConvTech]],RegionalFCsPRS[EnergyConvTech],0),MATCH(LegacyFC_PRS[[#This Row],[SubGeography1]],RegionalFCsPRS[#Headers],0))</f>
        <v>#DIV/0!</v>
      </c>
      <c r="E37" s="423" t="e">
        <f>D37*(1+INDEX(Assumptions_EG!$C$14:$C$22,MATCH(LegacyFC_PRS[[#This Row],[EnergyConvTech]],Assumptions_EG!$B$14:$B$22,0)))</f>
        <v>#DIV/0!</v>
      </c>
      <c r="F37" s="423" t="e">
        <f>E37*(1+INDEX(Assumptions_EG!$C$14:$C$22,MATCH(LegacyFC_PRS[[#This Row],[EnergyConvTech]],Assumptions_EG!$B$14:$B$22,0)))</f>
        <v>#DIV/0!</v>
      </c>
      <c r="G37" s="423" t="e">
        <f>F37*(1+INDEX(Assumptions_EG!$C$14:$C$22,MATCH(LegacyFC_PRS[[#This Row],[EnergyConvTech]],Assumptions_EG!$B$14:$B$22,0)))</f>
        <v>#DIV/0!</v>
      </c>
      <c r="H37" s="423" t="e">
        <f>G37*(1+INDEX(Assumptions_EG!$C$14:$C$22,MATCH(LegacyFC_PRS[[#This Row],[EnergyConvTech]],Assumptions_EG!$B$14:$B$22,0)))</f>
        <v>#DIV/0!</v>
      </c>
      <c r="I37" s="423" t="e">
        <f>H37*(1+INDEX(Assumptions_EG!$C$14:$C$22,MATCH(LegacyFC_PRS[[#This Row],[EnergyConvTech]],Assumptions_EG!$B$14:$B$22,0)))</f>
        <v>#DIV/0!</v>
      </c>
      <c r="J37" s="423" t="e">
        <f>I37*(1+INDEX(Assumptions_EG!$C$14:$C$22,MATCH(LegacyFC_PRS[[#This Row],[EnergyConvTech]],Assumptions_EG!$B$14:$B$22,0)))</f>
        <v>#DIV/0!</v>
      </c>
      <c r="K37" s="423" t="e">
        <f>J37*(1+INDEX(Assumptions_EG!$C$14:$C$22,MATCH(LegacyFC_PRS[[#This Row],[EnergyConvTech]],Assumptions_EG!$B$14:$B$22,0)))</f>
        <v>#DIV/0!</v>
      </c>
      <c r="L37" s="423" t="e">
        <f>K37*(1+INDEX(Assumptions_EG!$C$14:$C$22,MATCH(LegacyFC_PRS[[#This Row],[EnergyConvTech]],Assumptions_EG!$B$14:$B$22,0)))</f>
        <v>#DIV/0!</v>
      </c>
      <c r="M37" s="423" t="e">
        <f>L37*(1+INDEX(Assumptions_EG!$C$14:$C$22,MATCH(LegacyFC_PRS[[#This Row],[EnergyConvTech]],Assumptions_EG!$B$14:$B$22,0)))</f>
        <v>#DIV/0!</v>
      </c>
      <c r="N37" s="423" t="e">
        <f>M37*(1+INDEX(Assumptions_EG!$C$14:$C$22,MATCH(LegacyFC_PRS[[#This Row],[EnergyConvTech]],Assumptions_EG!$B$14:$B$22,0)))</f>
        <v>#DIV/0!</v>
      </c>
    </row>
    <row r="38" spans="1:14" x14ac:dyDescent="0.35">
      <c r="A38" s="483">
        <v>2020</v>
      </c>
      <c r="B38" s="393" t="s">
        <v>1603</v>
      </c>
      <c r="C38" s="422" t="s">
        <v>1054</v>
      </c>
      <c r="D38" s="480">
        <f>INDEX(RegionalFCsPRS[],MATCH(LegacyFC_PRS[[#This Row],[EnergyConvTech]],RegionalFCsPRS[EnergyConvTech],0),MATCH(LegacyFC_PRS[[#This Row],[SubGeography1]],RegionalFCsPRS[#Headers],0))</f>
        <v>7111.1111111111113</v>
      </c>
      <c r="E38" s="479">
        <f>D38*(1+INDEX(Assumptions_EG!$C$14:$C$22,MATCH(LegacyFC_PRS[[#This Row],[EnergyConvTech]],Assumptions_EG!$B$14:$B$22,0)))</f>
        <v>7111.1111111111113</v>
      </c>
      <c r="F38" s="479">
        <f>E38*(1+INDEX(Assumptions_EG!$C$14:$C$22,MATCH(LegacyFC_PRS[[#This Row],[EnergyConvTech]],Assumptions_EG!$B$14:$B$22,0)))</f>
        <v>7111.1111111111113</v>
      </c>
      <c r="G38" s="479">
        <f>F38*(1+INDEX(Assumptions_EG!$C$14:$C$22,MATCH(LegacyFC_PRS[[#This Row],[EnergyConvTech]],Assumptions_EG!$B$14:$B$22,0)))</f>
        <v>7111.1111111111113</v>
      </c>
      <c r="H38" s="479">
        <f>G38*(1+INDEX(Assumptions_EG!$C$14:$C$22,MATCH(LegacyFC_PRS[[#This Row],[EnergyConvTech]],Assumptions_EG!$B$14:$B$22,0)))</f>
        <v>7111.1111111111113</v>
      </c>
      <c r="I38" s="479">
        <f>H38*(1+INDEX(Assumptions_EG!$C$14:$C$22,MATCH(LegacyFC_PRS[[#This Row],[EnergyConvTech]],Assumptions_EG!$B$14:$B$22,0)))</f>
        <v>7111.1111111111113</v>
      </c>
      <c r="J38" s="479">
        <f>I38*(1+INDEX(Assumptions_EG!$C$14:$C$22,MATCH(LegacyFC_PRS[[#This Row],[EnergyConvTech]],Assumptions_EG!$B$14:$B$22,0)))</f>
        <v>7111.1111111111113</v>
      </c>
      <c r="K38" s="479">
        <f>J38*(1+INDEX(Assumptions_EG!$C$14:$C$22,MATCH(LegacyFC_PRS[[#This Row],[EnergyConvTech]],Assumptions_EG!$B$14:$B$22,0)))</f>
        <v>7111.1111111111113</v>
      </c>
      <c r="L38" s="479">
        <f>K38*(1+INDEX(Assumptions_EG!$C$14:$C$22,MATCH(LegacyFC_PRS[[#This Row],[EnergyConvTech]],Assumptions_EG!$B$14:$B$22,0)))</f>
        <v>7111.1111111111113</v>
      </c>
      <c r="M38" s="479">
        <f>L38*(1+INDEX(Assumptions_EG!$C$14:$C$22,MATCH(LegacyFC_PRS[[#This Row],[EnergyConvTech]],Assumptions_EG!$B$14:$B$22,0)))</f>
        <v>7111.1111111111113</v>
      </c>
      <c r="N38" s="479">
        <f>M38*(1+INDEX(Assumptions_EG!$C$14:$C$22,MATCH(LegacyFC_PRS[[#This Row],[EnergyConvTech]],Assumptions_EG!$B$14:$B$22,0)))</f>
        <v>7111.1111111111113</v>
      </c>
    </row>
    <row r="39" spans="1:14" x14ac:dyDescent="0.35">
      <c r="A39" s="482">
        <v>2020</v>
      </c>
      <c r="B39" s="422" t="s">
        <v>1605</v>
      </c>
      <c r="C39" s="422" t="s">
        <v>1054</v>
      </c>
      <c r="D39" s="480">
        <f>INDEX(RegionalFCsPRS[],MATCH(LegacyFC_PRS[[#This Row],[EnergyConvTech]],RegionalFCsPRS[EnergyConvTech],0),MATCH(LegacyFC_PRS[[#This Row],[SubGeography1]],RegionalFCsPRS[#Headers],0))</f>
        <v>13398.066756076199</v>
      </c>
      <c r="E39" s="423">
        <f>D39*(1+INDEX(Assumptions_EG!$C$14:$C$22,MATCH(LegacyFC_PRS[[#This Row],[EnergyConvTech]],Assumptions_EG!$B$14:$B$22,0)))</f>
        <v>13398.066756076199</v>
      </c>
      <c r="F39" s="423">
        <f>E39*(1+INDEX(Assumptions_EG!$C$14:$C$22,MATCH(LegacyFC_PRS[[#This Row],[EnergyConvTech]],Assumptions_EG!$B$14:$B$22,0)))</f>
        <v>13398.066756076199</v>
      </c>
      <c r="G39" s="423">
        <f>F39*(1+INDEX(Assumptions_EG!$C$14:$C$22,MATCH(LegacyFC_PRS[[#This Row],[EnergyConvTech]],Assumptions_EG!$B$14:$B$22,0)))</f>
        <v>13398.066756076199</v>
      </c>
      <c r="H39" s="423">
        <f>G39*(1+INDEX(Assumptions_EG!$C$14:$C$22,MATCH(LegacyFC_PRS[[#This Row],[EnergyConvTech]],Assumptions_EG!$B$14:$B$22,0)))</f>
        <v>13398.066756076199</v>
      </c>
      <c r="I39" s="423">
        <f>H39*(1+INDEX(Assumptions_EG!$C$14:$C$22,MATCH(LegacyFC_PRS[[#This Row],[EnergyConvTech]],Assumptions_EG!$B$14:$B$22,0)))</f>
        <v>13398.066756076199</v>
      </c>
      <c r="J39" s="423">
        <f>I39*(1+INDEX(Assumptions_EG!$C$14:$C$22,MATCH(LegacyFC_PRS[[#This Row],[EnergyConvTech]],Assumptions_EG!$B$14:$B$22,0)))</f>
        <v>13398.066756076199</v>
      </c>
      <c r="K39" s="423">
        <f>J39*(1+INDEX(Assumptions_EG!$C$14:$C$22,MATCH(LegacyFC_PRS[[#This Row],[EnergyConvTech]],Assumptions_EG!$B$14:$B$22,0)))</f>
        <v>13398.066756076199</v>
      </c>
      <c r="L39" s="423">
        <f>K39*(1+INDEX(Assumptions_EG!$C$14:$C$22,MATCH(LegacyFC_PRS[[#This Row],[EnergyConvTech]],Assumptions_EG!$B$14:$B$22,0)))</f>
        <v>13398.066756076199</v>
      </c>
      <c r="M39" s="423">
        <f>L39*(1+INDEX(Assumptions_EG!$C$14:$C$22,MATCH(LegacyFC_PRS[[#This Row],[EnergyConvTech]],Assumptions_EG!$B$14:$B$22,0)))</f>
        <v>13398.066756076199</v>
      </c>
      <c r="N39" s="423">
        <f>M39*(1+INDEX(Assumptions_EG!$C$14:$C$22,MATCH(LegacyFC_PRS[[#This Row],[EnergyConvTech]],Assumptions_EG!$B$14:$B$22,0)))</f>
        <v>13398.066756076199</v>
      </c>
    </row>
    <row r="40" spans="1:14" x14ac:dyDescent="0.35">
      <c r="A40" s="483">
        <v>2020</v>
      </c>
      <c r="B40" s="393" t="s">
        <v>1636</v>
      </c>
      <c r="C40" s="422" t="s">
        <v>1054</v>
      </c>
      <c r="D40" s="480">
        <f>INDEX(RegionalFCsPRS[],MATCH(LegacyFC_PRS[[#This Row],[EnergyConvTech]],RegionalFCsPRS[EnergyConvTech],0),MATCH(LegacyFC_PRS[[#This Row],[SubGeography1]],RegionalFCsPRS[#Headers],0))</f>
        <v>12207.727097566041</v>
      </c>
      <c r="E40" s="479">
        <f>D40*(1+INDEX(Assumptions_EG!$C$14:$C$22,MATCH(LegacyFC_PRS[[#This Row],[EnergyConvTech]],Assumptions_EG!$B$14:$B$22,0)))</f>
        <v>11719.418013663399</v>
      </c>
      <c r="F40" s="479">
        <f>E40*(1+INDEX(Assumptions_EG!$C$14:$C$22,MATCH(LegacyFC_PRS[[#This Row],[EnergyConvTech]],Assumptions_EG!$B$14:$B$22,0)))</f>
        <v>11250.641293116862</v>
      </c>
      <c r="G40" s="479">
        <f>F40*(1+INDEX(Assumptions_EG!$C$14:$C$22,MATCH(LegacyFC_PRS[[#This Row],[EnergyConvTech]],Assumptions_EG!$B$14:$B$22,0)))</f>
        <v>10800.615641392187</v>
      </c>
      <c r="H40" s="479">
        <f>G40*(1+INDEX(Assumptions_EG!$C$14:$C$22,MATCH(LegacyFC_PRS[[#This Row],[EnergyConvTech]],Assumptions_EG!$B$14:$B$22,0)))</f>
        <v>10368.5910157365</v>
      </c>
      <c r="I40" s="479">
        <f>H40*(1+INDEX(Assumptions_EG!$C$14:$C$22,MATCH(LegacyFC_PRS[[#This Row],[EnergyConvTech]],Assumptions_EG!$B$14:$B$22,0)))</f>
        <v>9953.8473751070396</v>
      </c>
      <c r="J40" s="479">
        <f>I40*(1+INDEX(Assumptions_EG!$C$14:$C$22,MATCH(LegacyFC_PRS[[#This Row],[EnergyConvTech]],Assumptions_EG!$B$14:$B$22,0)))</f>
        <v>9555.6934801027583</v>
      </c>
      <c r="K40" s="479">
        <f>J40*(1+INDEX(Assumptions_EG!$C$14:$C$22,MATCH(LegacyFC_PRS[[#This Row],[EnergyConvTech]],Assumptions_EG!$B$14:$B$22,0)))</f>
        <v>9173.4657408986477</v>
      </c>
      <c r="L40" s="479">
        <f>K40*(1+INDEX(Assumptions_EG!$C$14:$C$22,MATCH(LegacyFC_PRS[[#This Row],[EnergyConvTech]],Assumptions_EG!$B$14:$B$22,0)))</f>
        <v>8806.5271112627015</v>
      </c>
      <c r="M40" s="479">
        <f>L40*(1+INDEX(Assumptions_EG!$C$14:$C$22,MATCH(LegacyFC_PRS[[#This Row],[EnergyConvTech]],Assumptions_EG!$B$14:$B$22,0)))</f>
        <v>8454.2660268121926</v>
      </c>
      <c r="N40" s="479">
        <f>M40*(1+INDEX(Assumptions_EG!$C$14:$C$22,MATCH(LegacyFC_PRS[[#This Row],[EnergyConvTech]],Assumptions_EG!$B$14:$B$22,0)))</f>
        <v>8116.0953857397044</v>
      </c>
    </row>
    <row r="41" spans="1:14" x14ac:dyDescent="0.35">
      <c r="A41" s="486">
        <v>2020</v>
      </c>
      <c r="B41" s="428" t="s">
        <v>1606</v>
      </c>
      <c r="C41" s="422" t="s">
        <v>1054</v>
      </c>
      <c r="D41" s="480" t="e">
        <f>INDEX(RegionalFCsPRS[],MATCH(LegacyFC_PRS[[#This Row],[EnergyConvTech]],RegionalFCsPRS[EnergyConvTech],0),MATCH(LegacyFC_PRS[[#This Row],[SubGeography1]],RegionalFCsPRS[#Headers],0))</f>
        <v>#DIV/0!</v>
      </c>
      <c r="E41" s="430" t="e">
        <f>D41*(1+INDEX(Assumptions_EG!$C$14:$C$22,MATCH(LegacyFC_PRS[[#This Row],[EnergyConvTech]],Assumptions_EG!$B$14:$B$22,0)))</f>
        <v>#DIV/0!</v>
      </c>
      <c r="F41" s="430" t="e">
        <f>E41*(1+INDEX(Assumptions_EG!$C$14:$C$22,MATCH(LegacyFC_PRS[[#This Row],[EnergyConvTech]],Assumptions_EG!$B$14:$B$22,0)))</f>
        <v>#DIV/0!</v>
      </c>
      <c r="G41" s="430" t="e">
        <f>F41*(1+INDEX(Assumptions_EG!$C$14:$C$22,MATCH(LegacyFC_PRS[[#This Row],[EnergyConvTech]],Assumptions_EG!$B$14:$B$22,0)))</f>
        <v>#DIV/0!</v>
      </c>
      <c r="H41" s="430" t="e">
        <f>G41*(1+INDEX(Assumptions_EG!$C$14:$C$22,MATCH(LegacyFC_PRS[[#This Row],[EnergyConvTech]],Assumptions_EG!$B$14:$B$22,0)))</f>
        <v>#DIV/0!</v>
      </c>
      <c r="I41" s="430" t="e">
        <f>H41*(1+INDEX(Assumptions_EG!$C$14:$C$22,MATCH(LegacyFC_PRS[[#This Row],[EnergyConvTech]],Assumptions_EG!$B$14:$B$22,0)))</f>
        <v>#DIV/0!</v>
      </c>
      <c r="J41" s="430" t="e">
        <f>I41*(1+INDEX(Assumptions_EG!$C$14:$C$22,MATCH(LegacyFC_PRS[[#This Row],[EnergyConvTech]],Assumptions_EG!$B$14:$B$22,0)))</f>
        <v>#DIV/0!</v>
      </c>
      <c r="K41" s="430" t="e">
        <f>J41*(1+INDEX(Assumptions_EG!$C$14:$C$22,MATCH(LegacyFC_PRS[[#This Row],[EnergyConvTech]],Assumptions_EG!$B$14:$B$22,0)))</f>
        <v>#DIV/0!</v>
      </c>
      <c r="L41" s="430" t="e">
        <f>K41*(1+INDEX(Assumptions_EG!$C$14:$C$22,MATCH(LegacyFC_PRS[[#This Row],[EnergyConvTech]],Assumptions_EG!$B$14:$B$22,0)))</f>
        <v>#DIV/0!</v>
      </c>
      <c r="M41" s="430" t="e">
        <f>L41*(1+INDEX(Assumptions_EG!$C$14:$C$22,MATCH(LegacyFC_PRS[[#This Row],[EnergyConvTech]],Assumptions_EG!$B$14:$B$22,0)))</f>
        <v>#DIV/0!</v>
      </c>
      <c r="N41" s="430" t="e">
        <f>M41*(1+INDEX(Assumptions_EG!$C$14:$C$22,MATCH(LegacyFC_PRS[[#This Row],[EnergyConvTech]],Assumptions_EG!$B$14:$B$22,0)))</f>
        <v>#DIV/0!</v>
      </c>
    </row>
  </sheetData>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2"/>
  <sheetViews>
    <sheetView workbookViewId="0"/>
  </sheetViews>
  <sheetFormatPr defaultColWidth="8.7265625" defaultRowHeight="14.5" x14ac:dyDescent="0.35"/>
  <cols>
    <col min="1" max="1" width="11" style="304" bestFit="1" customWidth="1"/>
    <col min="2" max="2" width="11.54296875" style="304" bestFit="1" customWidth="1"/>
    <col min="3" max="3" width="7.26953125" style="304" bestFit="1" customWidth="1"/>
    <col min="4" max="5" width="8.453125" style="304" bestFit="1" customWidth="1"/>
    <col min="6" max="19" width="8.7265625" style="304"/>
    <col min="20" max="20" width="10" style="304" bestFit="1" customWidth="1"/>
    <col min="21" max="21" width="8.7265625" style="304"/>
    <col min="22" max="22" width="10.7265625" style="304" bestFit="1" customWidth="1"/>
    <col min="23" max="16384" width="8.7265625" style="304"/>
  </cols>
  <sheetData>
    <row r="1" spans="1:13" x14ac:dyDescent="0.35">
      <c r="A1" s="20" t="s">
        <v>1619</v>
      </c>
      <c r="B1" s="304" t="s">
        <v>1561</v>
      </c>
      <c r="C1" s="20" t="s">
        <v>1473</v>
      </c>
      <c r="D1" s="304" t="s">
        <v>1474</v>
      </c>
      <c r="E1" s="20" t="s">
        <v>1475</v>
      </c>
      <c r="F1" s="304" t="s">
        <v>1476</v>
      </c>
      <c r="G1" s="20" t="s">
        <v>1477</v>
      </c>
      <c r="H1" s="304" t="s">
        <v>1478</v>
      </c>
      <c r="I1" s="20" t="s">
        <v>1479</v>
      </c>
      <c r="J1" s="304" t="s">
        <v>1480</v>
      </c>
      <c r="K1" s="20" t="s">
        <v>1481</v>
      </c>
      <c r="L1" s="304" t="s">
        <v>1482</v>
      </c>
      <c r="M1" s="20" t="s">
        <v>1483</v>
      </c>
    </row>
    <row r="2" spans="1:13" x14ac:dyDescent="0.35">
      <c r="A2" s="376">
        <v>2021</v>
      </c>
      <c r="B2" s="304" t="s">
        <v>1612</v>
      </c>
      <c r="C2" s="209">
        <f>Assumptions_EG!$G40</f>
        <v>9928.6887826901675</v>
      </c>
      <c r="D2" s="209">
        <f>Assumptions_EG!$G40</f>
        <v>9928.6887826901675</v>
      </c>
      <c r="E2" s="209">
        <f>Assumptions_EG!$G40</f>
        <v>9928.6887826901675</v>
      </c>
      <c r="F2" s="209">
        <f>Assumptions_EG!$G40</f>
        <v>9928.6887826901675</v>
      </c>
      <c r="G2" s="209">
        <f>Assumptions_EG!$G40</f>
        <v>9928.6887826901675</v>
      </c>
      <c r="H2" s="209">
        <f>Assumptions_EG!$G40</f>
        <v>9928.6887826901675</v>
      </c>
      <c r="I2" s="209">
        <f>Assumptions_EG!$G40</f>
        <v>9928.6887826901675</v>
      </c>
      <c r="J2" s="209">
        <f>Assumptions_EG!$G40</f>
        <v>9928.6887826901675</v>
      </c>
      <c r="K2" s="209">
        <f>Assumptions_EG!$G40</f>
        <v>9928.6887826901675</v>
      </c>
      <c r="L2" s="209">
        <f>Assumptions_EG!$G40</f>
        <v>9928.6887826901675</v>
      </c>
      <c r="M2" s="209">
        <f>Assumptions_EG!$G40</f>
        <v>9928.6887826901675</v>
      </c>
    </row>
    <row r="3" spans="1:13" x14ac:dyDescent="0.35">
      <c r="A3" s="376">
        <v>2021</v>
      </c>
      <c r="B3" s="304" t="s">
        <v>1613</v>
      </c>
      <c r="C3" s="209">
        <f>Assumptions_EG!$G41</f>
        <v>8848.5269568257354</v>
      </c>
      <c r="D3" s="209">
        <f>Assumptions_EG!$G41</f>
        <v>8848.5269568257354</v>
      </c>
      <c r="E3" s="209">
        <f>Assumptions_EG!$G41</f>
        <v>8848.5269568257354</v>
      </c>
      <c r="F3" s="209">
        <f>Assumptions_EG!$G41</f>
        <v>8848.5269568257354</v>
      </c>
      <c r="G3" s="209">
        <f>Assumptions_EG!$G41</f>
        <v>8848.5269568257354</v>
      </c>
      <c r="H3" s="209">
        <f>Assumptions_EG!$G41</f>
        <v>8848.5269568257354</v>
      </c>
      <c r="I3" s="209">
        <f>Assumptions_EG!$G41</f>
        <v>8848.5269568257354</v>
      </c>
      <c r="J3" s="209">
        <f>Assumptions_EG!$G41</f>
        <v>8848.5269568257354</v>
      </c>
      <c r="K3" s="209">
        <f>Assumptions_EG!$G41</f>
        <v>8848.5269568257354</v>
      </c>
      <c r="L3" s="209">
        <f>Assumptions_EG!$G41</f>
        <v>8848.5269568257354</v>
      </c>
      <c r="M3" s="209">
        <f>Assumptions_EG!$G41</f>
        <v>8848.5269568257354</v>
      </c>
    </row>
    <row r="4" spans="1:13" x14ac:dyDescent="0.35">
      <c r="A4" s="376">
        <v>2021</v>
      </c>
      <c r="B4" s="304" t="s">
        <v>1614</v>
      </c>
      <c r="C4" s="209">
        <f>Assumptions_EG!$G42</f>
        <v>6454.3984013550207</v>
      </c>
      <c r="D4" s="209">
        <f>Assumptions_EG!$G42</f>
        <v>6454.3984013550207</v>
      </c>
      <c r="E4" s="209">
        <f>Assumptions_EG!$G42</f>
        <v>6454.3984013550207</v>
      </c>
      <c r="F4" s="209">
        <f>Assumptions_EG!$G42</f>
        <v>6454.3984013550207</v>
      </c>
      <c r="G4" s="209">
        <f>Assumptions_EG!$G42</f>
        <v>6454.3984013550207</v>
      </c>
      <c r="H4" s="209">
        <f>Assumptions_EG!$G42</f>
        <v>6454.3984013550207</v>
      </c>
      <c r="I4" s="209">
        <f>Assumptions_EG!$G42</f>
        <v>6454.3984013550207</v>
      </c>
      <c r="J4" s="209">
        <f>Assumptions_EG!$G42</f>
        <v>6454.3984013550207</v>
      </c>
      <c r="K4" s="209">
        <f>Assumptions_EG!$G42</f>
        <v>6454.3984013550207</v>
      </c>
      <c r="L4" s="209">
        <f>Assumptions_EG!$G42</f>
        <v>6454.3984013550207</v>
      </c>
      <c r="M4" s="209">
        <f>Assumptions_EG!$G42</f>
        <v>6454.3984013550207</v>
      </c>
    </row>
    <row r="5" spans="1:13" x14ac:dyDescent="0.35">
      <c r="A5" s="376">
        <v>2021</v>
      </c>
      <c r="B5" s="304" t="s">
        <v>1604</v>
      </c>
      <c r="C5" s="209">
        <f>Assumptions_EG!$G43</f>
        <v>10872.741503138899</v>
      </c>
      <c r="D5" s="209">
        <f>Assumptions_EG!$G43</f>
        <v>10872.741503138899</v>
      </c>
      <c r="E5" s="209">
        <f>Assumptions_EG!$G43</f>
        <v>10872.741503138899</v>
      </c>
      <c r="F5" s="209">
        <f>Assumptions_EG!$G43</f>
        <v>10872.741503138899</v>
      </c>
      <c r="G5" s="209">
        <f>Assumptions_EG!$G43</f>
        <v>10872.741503138899</v>
      </c>
      <c r="H5" s="209">
        <f>Assumptions_EG!$G43</f>
        <v>10872.741503138899</v>
      </c>
      <c r="I5" s="209">
        <f>Assumptions_EG!$G43</f>
        <v>10872.741503138899</v>
      </c>
      <c r="J5" s="209">
        <f>Assumptions_EG!$G43</f>
        <v>10872.741503138899</v>
      </c>
      <c r="K5" s="209">
        <f>Assumptions_EG!$G43</f>
        <v>10872.741503138899</v>
      </c>
      <c r="L5" s="209">
        <f>Assumptions_EG!$G43</f>
        <v>10872.741503138899</v>
      </c>
      <c r="M5" s="209">
        <f>Assumptions_EG!$G43</f>
        <v>10872.741503138899</v>
      </c>
    </row>
    <row r="6" spans="1:13" x14ac:dyDescent="0.35">
      <c r="A6" s="376">
        <v>2021</v>
      </c>
      <c r="B6" s="304" t="s">
        <v>1615</v>
      </c>
      <c r="C6" s="209">
        <f>Assumptions_EG!$G44</f>
        <v>20148.813739673951</v>
      </c>
      <c r="D6" s="209">
        <f>Assumptions_EG!$G44</f>
        <v>20148.813739673951</v>
      </c>
      <c r="E6" s="209">
        <f>Assumptions_EG!$G44</f>
        <v>20148.813739673951</v>
      </c>
      <c r="F6" s="209">
        <f>Assumptions_EG!$G44</f>
        <v>20148.813739673951</v>
      </c>
      <c r="G6" s="209">
        <f>Assumptions_EG!$G44</f>
        <v>20148.813739673951</v>
      </c>
      <c r="H6" s="209">
        <f>Assumptions_EG!$G44</f>
        <v>20148.813739673951</v>
      </c>
      <c r="I6" s="209">
        <f>Assumptions_EG!$G44</f>
        <v>20148.813739673951</v>
      </c>
      <c r="J6" s="209">
        <f>Assumptions_EG!$G44</f>
        <v>20148.813739673951</v>
      </c>
      <c r="K6" s="209">
        <f>Assumptions_EG!$G44</f>
        <v>20148.813739673951</v>
      </c>
      <c r="L6" s="209">
        <f>Assumptions_EG!$G44</f>
        <v>20148.813739673951</v>
      </c>
      <c r="M6" s="209">
        <f>Assumptions_EG!$G44</f>
        <v>20148.813739673951</v>
      </c>
    </row>
    <row r="7" spans="1:13" x14ac:dyDescent="0.35">
      <c r="A7" s="376">
        <v>2021</v>
      </c>
      <c r="B7" s="304" t="s">
        <v>1603</v>
      </c>
      <c r="C7" s="209">
        <f>Assumptions_EG!$G45</f>
        <v>6101.463203368502</v>
      </c>
      <c r="D7" s="209">
        <f>Assumptions_EG!$G45</f>
        <v>6101.463203368502</v>
      </c>
      <c r="E7" s="209">
        <f>Assumptions_EG!$G45</f>
        <v>6101.463203368502</v>
      </c>
      <c r="F7" s="209">
        <f>Assumptions_EG!$G45</f>
        <v>6101.463203368502</v>
      </c>
      <c r="G7" s="209">
        <f>Assumptions_EG!$G45</f>
        <v>6101.463203368502</v>
      </c>
      <c r="H7" s="209">
        <f>Assumptions_EG!$G45</f>
        <v>6101.463203368502</v>
      </c>
      <c r="I7" s="209">
        <f>Assumptions_EG!$G45</f>
        <v>6101.463203368502</v>
      </c>
      <c r="J7" s="209">
        <f>Assumptions_EG!$G45</f>
        <v>6101.463203368502</v>
      </c>
      <c r="K7" s="209">
        <f>Assumptions_EG!$G45</f>
        <v>6101.463203368502</v>
      </c>
      <c r="L7" s="209">
        <f>Assumptions_EG!$G45</f>
        <v>6101.463203368502</v>
      </c>
      <c r="M7" s="209">
        <f>Assumptions_EG!$G45</f>
        <v>6101.463203368502</v>
      </c>
    </row>
    <row r="8" spans="1:13" x14ac:dyDescent="0.35">
      <c r="A8" s="376">
        <v>2021</v>
      </c>
      <c r="B8" s="304" t="s">
        <v>1605</v>
      </c>
      <c r="C8" s="209">
        <f>Assumptions_EG!$G46</f>
        <v>10426.102375692073</v>
      </c>
      <c r="D8" s="209">
        <f>Assumptions_EG!$G46</f>
        <v>10426.102375692073</v>
      </c>
      <c r="E8" s="209">
        <f>Assumptions_EG!$G46</f>
        <v>10426.102375692073</v>
      </c>
      <c r="F8" s="209">
        <f>Assumptions_EG!$G46</f>
        <v>10426.102375692073</v>
      </c>
      <c r="G8" s="209">
        <f>Assumptions_EG!$G46</f>
        <v>10426.102375692073</v>
      </c>
      <c r="H8" s="209">
        <f>Assumptions_EG!$G46</f>
        <v>10426.102375692073</v>
      </c>
      <c r="I8" s="209">
        <f>Assumptions_EG!$G46</f>
        <v>10426.102375692073</v>
      </c>
      <c r="J8" s="209">
        <f>Assumptions_EG!$G46</f>
        <v>10426.102375692073</v>
      </c>
      <c r="K8" s="209">
        <f>Assumptions_EG!$G46</f>
        <v>10426.102375692073</v>
      </c>
      <c r="L8" s="209">
        <f>Assumptions_EG!$G46</f>
        <v>10426.102375692073</v>
      </c>
      <c r="M8" s="209">
        <f>Assumptions_EG!$G46</f>
        <v>10426.102375692073</v>
      </c>
    </row>
    <row r="9" spans="1:13" x14ac:dyDescent="0.35">
      <c r="A9" s="376">
        <v>2021</v>
      </c>
      <c r="B9" s="304" t="s">
        <v>1636</v>
      </c>
      <c r="C9" s="209">
        <f>Assumptions_EG!$G47</f>
        <v>3817.0476478643659</v>
      </c>
      <c r="D9" s="209">
        <f>Assumptions_EG!$G47</f>
        <v>3817.0476478643659</v>
      </c>
      <c r="E9" s="209">
        <f>Assumptions_EG!$G47</f>
        <v>3817.0476478643659</v>
      </c>
      <c r="F9" s="209">
        <f>Assumptions_EG!$G47</f>
        <v>3817.0476478643659</v>
      </c>
      <c r="G9" s="209">
        <f>Assumptions_EG!$G47</f>
        <v>3817.0476478643659</v>
      </c>
      <c r="H9" s="209">
        <f>Assumptions_EG!$G47</f>
        <v>3817.0476478643659</v>
      </c>
      <c r="I9" s="209">
        <f>Assumptions_EG!$G47</f>
        <v>3817.0476478643659</v>
      </c>
      <c r="J9" s="209">
        <f>Assumptions_EG!$G47</f>
        <v>3817.0476478643659</v>
      </c>
      <c r="K9" s="209">
        <f>Assumptions_EG!$G47</f>
        <v>3817.0476478643659</v>
      </c>
      <c r="L9" s="209">
        <f>Assumptions_EG!$G47</f>
        <v>3817.0476478643659</v>
      </c>
      <c r="M9" s="209">
        <f>Assumptions_EG!$G47</f>
        <v>3817.0476478643659</v>
      </c>
    </row>
    <row r="10" spans="1:13" x14ac:dyDescent="0.35">
      <c r="A10" s="376">
        <v>2021</v>
      </c>
      <c r="B10" s="304" t="s">
        <v>1606</v>
      </c>
      <c r="C10" s="209">
        <f>Assumptions_EG!$G48</f>
        <v>6176.8188824187309</v>
      </c>
      <c r="D10" s="209">
        <f>Assumptions_EG!$G48</f>
        <v>6176.8188824187309</v>
      </c>
      <c r="E10" s="209">
        <f>Assumptions_EG!$G48</f>
        <v>6176.8188824187309</v>
      </c>
      <c r="F10" s="209">
        <f>Assumptions_EG!$G48</f>
        <v>6176.8188824187309</v>
      </c>
      <c r="G10" s="209">
        <f>Assumptions_EG!$G48</f>
        <v>6176.8188824187309</v>
      </c>
      <c r="H10" s="209">
        <f>Assumptions_EG!$G48</f>
        <v>6176.8188824187309</v>
      </c>
      <c r="I10" s="209">
        <f>Assumptions_EG!$G48</f>
        <v>6176.8188824187309</v>
      </c>
      <c r="J10" s="209">
        <f>Assumptions_EG!$G48</f>
        <v>6176.8188824187309</v>
      </c>
      <c r="K10" s="209">
        <f>Assumptions_EG!$G48</f>
        <v>6176.8188824187309</v>
      </c>
      <c r="L10" s="209">
        <f>Assumptions_EG!$G48</f>
        <v>6176.8188824187309</v>
      </c>
      <c r="M10" s="209">
        <f>Assumptions_EG!$G48</f>
        <v>6176.8188824187309</v>
      </c>
    </row>
    <row r="11" spans="1:13" x14ac:dyDescent="0.35">
      <c r="A11" s="376">
        <v>2022</v>
      </c>
      <c r="B11" s="304" t="s">
        <v>1612</v>
      </c>
      <c r="C11" s="209"/>
      <c r="D11" s="209">
        <f>C2*(1+INDEX(Assumptions_EG!$D$14:$D$22,MATCH(NewFC[[#This Row],[EnergyConvTech]],Assumptions_EG!$B$14:$B$22,0)))</f>
        <v>9928.6887826901675</v>
      </c>
      <c r="E11" s="209">
        <f>D2*(1+INDEX(Assumptions_EG!$D$14:$D$22,MATCH(NewFC[[#This Row],[EnergyConvTech]],Assumptions_EG!$B$14:$B$22,0)))</f>
        <v>9928.6887826901675</v>
      </c>
      <c r="F11" s="209">
        <f>E2*(1+INDEX(Assumptions_EG!$D$14:$D$22,MATCH(NewFC[[#This Row],[EnergyConvTech]],Assumptions_EG!$B$14:$B$22,0)))</f>
        <v>9928.6887826901675</v>
      </c>
      <c r="G11" s="209">
        <f>F2*(1+INDEX(Assumptions_EG!$D$14:$D$22,MATCH(NewFC[[#This Row],[EnergyConvTech]],Assumptions_EG!$B$14:$B$22,0)))</f>
        <v>9928.6887826901675</v>
      </c>
      <c r="H11" s="209">
        <f>G2*(1+INDEX(Assumptions_EG!$D$14:$D$22,MATCH(NewFC[[#This Row],[EnergyConvTech]],Assumptions_EG!$B$14:$B$22,0)))</f>
        <v>9928.6887826901675</v>
      </c>
      <c r="I11" s="209">
        <f>H2*(1+INDEX(Assumptions_EG!$D$14:$D$22,MATCH(NewFC[[#This Row],[EnergyConvTech]],Assumptions_EG!$B$14:$B$22,0)))</f>
        <v>9928.6887826901675</v>
      </c>
      <c r="J11" s="209">
        <f>I2*(1+INDEX(Assumptions_EG!$D$14:$D$22,MATCH(NewFC[[#This Row],[EnergyConvTech]],Assumptions_EG!$B$14:$B$22,0)))</f>
        <v>9928.6887826901675</v>
      </c>
      <c r="K11" s="209">
        <f>J2*(1+INDEX(Assumptions_EG!$D$14:$D$22,MATCH(NewFC[[#This Row],[EnergyConvTech]],Assumptions_EG!$B$14:$B$22,0)))</f>
        <v>9928.6887826901675</v>
      </c>
      <c r="L11" s="209">
        <f>K2*(1+INDEX(Assumptions_EG!$D$14:$D$22,MATCH(NewFC[[#This Row],[EnergyConvTech]],Assumptions_EG!$B$14:$B$22,0)))</f>
        <v>9928.6887826901675</v>
      </c>
      <c r="M11" s="209">
        <f>L2*(1+INDEX(Assumptions_EG!$D$14:$D$22,MATCH(NewFC[[#This Row],[EnergyConvTech]],Assumptions_EG!$B$14:$B$22,0)))</f>
        <v>9928.6887826901675</v>
      </c>
    </row>
    <row r="12" spans="1:13" x14ac:dyDescent="0.35">
      <c r="A12" s="376">
        <v>2022</v>
      </c>
      <c r="B12" s="304" t="s">
        <v>1613</v>
      </c>
      <c r="C12" s="209"/>
      <c r="D12" s="209">
        <f>C3*(1+INDEX(Assumptions_EG!$D$14:$D$22,MATCH(NewFC[[#This Row],[EnergyConvTech]],Assumptions_EG!$B$14:$B$22,0)))</f>
        <v>8848.5269568257354</v>
      </c>
      <c r="E12" s="209">
        <f>D3*(1+INDEX(Assumptions_EG!$D$14:$D$22,MATCH(NewFC[[#This Row],[EnergyConvTech]],Assumptions_EG!$B$14:$B$22,0)))</f>
        <v>8848.5269568257354</v>
      </c>
      <c r="F12" s="209">
        <f>E3*(1+INDEX(Assumptions_EG!$D$14:$D$22,MATCH(NewFC[[#This Row],[EnergyConvTech]],Assumptions_EG!$B$14:$B$22,0)))</f>
        <v>8848.5269568257354</v>
      </c>
      <c r="G12" s="209">
        <f>F3*(1+INDEX(Assumptions_EG!$D$14:$D$22,MATCH(NewFC[[#This Row],[EnergyConvTech]],Assumptions_EG!$B$14:$B$22,0)))</f>
        <v>8848.5269568257354</v>
      </c>
      <c r="H12" s="209">
        <f>G3*(1+INDEX(Assumptions_EG!$D$14:$D$22,MATCH(NewFC[[#This Row],[EnergyConvTech]],Assumptions_EG!$B$14:$B$22,0)))</f>
        <v>8848.5269568257354</v>
      </c>
      <c r="I12" s="209">
        <f>H3*(1+INDEX(Assumptions_EG!$D$14:$D$22,MATCH(NewFC[[#This Row],[EnergyConvTech]],Assumptions_EG!$B$14:$B$22,0)))</f>
        <v>8848.5269568257354</v>
      </c>
      <c r="J12" s="209">
        <f>I3*(1+INDEX(Assumptions_EG!$D$14:$D$22,MATCH(NewFC[[#This Row],[EnergyConvTech]],Assumptions_EG!$B$14:$B$22,0)))</f>
        <v>8848.5269568257354</v>
      </c>
      <c r="K12" s="209">
        <f>J3*(1+INDEX(Assumptions_EG!$D$14:$D$22,MATCH(NewFC[[#This Row],[EnergyConvTech]],Assumptions_EG!$B$14:$B$22,0)))</f>
        <v>8848.5269568257354</v>
      </c>
      <c r="L12" s="209">
        <f>K3*(1+INDEX(Assumptions_EG!$D$14:$D$22,MATCH(NewFC[[#This Row],[EnergyConvTech]],Assumptions_EG!$B$14:$B$22,0)))</f>
        <v>8848.5269568257354</v>
      </c>
      <c r="M12" s="209">
        <f>L3*(1+INDEX(Assumptions_EG!$D$14:$D$22,MATCH(NewFC[[#This Row],[EnergyConvTech]],Assumptions_EG!$B$14:$B$22,0)))</f>
        <v>8848.5269568257354</v>
      </c>
    </row>
    <row r="13" spans="1:13" x14ac:dyDescent="0.35">
      <c r="A13" s="376">
        <v>2022</v>
      </c>
      <c r="B13" s="304" t="s">
        <v>1614</v>
      </c>
      <c r="C13" s="209"/>
      <c r="D13" s="209">
        <f>C4*(1+INDEX(Assumptions_EG!$D$14:$D$22,MATCH(NewFC[[#This Row],[EnergyConvTech]],Assumptions_EG!$B$14:$B$22,0)))</f>
        <v>6454.3984013550207</v>
      </c>
      <c r="E13" s="209">
        <f>D4*(1+INDEX(Assumptions_EG!$D$14:$D$22,MATCH(NewFC[[#This Row],[EnergyConvTech]],Assumptions_EG!$B$14:$B$22,0)))</f>
        <v>6454.3984013550207</v>
      </c>
      <c r="F13" s="209">
        <f>E4*(1+INDEX(Assumptions_EG!$D$14:$D$22,MATCH(NewFC[[#This Row],[EnergyConvTech]],Assumptions_EG!$B$14:$B$22,0)))</f>
        <v>6454.3984013550207</v>
      </c>
      <c r="G13" s="209">
        <f>F4*(1+INDEX(Assumptions_EG!$D$14:$D$22,MATCH(NewFC[[#This Row],[EnergyConvTech]],Assumptions_EG!$B$14:$B$22,0)))</f>
        <v>6454.3984013550207</v>
      </c>
      <c r="H13" s="209">
        <f>G4*(1+INDEX(Assumptions_EG!$D$14:$D$22,MATCH(NewFC[[#This Row],[EnergyConvTech]],Assumptions_EG!$B$14:$B$22,0)))</f>
        <v>6454.3984013550207</v>
      </c>
      <c r="I13" s="209">
        <f>H4*(1+INDEX(Assumptions_EG!$D$14:$D$22,MATCH(NewFC[[#This Row],[EnergyConvTech]],Assumptions_EG!$B$14:$B$22,0)))</f>
        <v>6454.3984013550207</v>
      </c>
      <c r="J13" s="209">
        <f>I4*(1+INDEX(Assumptions_EG!$D$14:$D$22,MATCH(NewFC[[#This Row],[EnergyConvTech]],Assumptions_EG!$B$14:$B$22,0)))</f>
        <v>6454.3984013550207</v>
      </c>
      <c r="K13" s="209">
        <f>J4*(1+INDEX(Assumptions_EG!$D$14:$D$22,MATCH(NewFC[[#This Row],[EnergyConvTech]],Assumptions_EG!$B$14:$B$22,0)))</f>
        <v>6454.3984013550207</v>
      </c>
      <c r="L13" s="209">
        <f>K4*(1+INDEX(Assumptions_EG!$D$14:$D$22,MATCH(NewFC[[#This Row],[EnergyConvTech]],Assumptions_EG!$B$14:$B$22,0)))</f>
        <v>6454.3984013550207</v>
      </c>
      <c r="M13" s="209">
        <f>L4*(1+INDEX(Assumptions_EG!$D$14:$D$22,MATCH(NewFC[[#This Row],[EnergyConvTech]],Assumptions_EG!$B$14:$B$22,0)))</f>
        <v>6454.3984013550207</v>
      </c>
    </row>
    <row r="14" spans="1:13" x14ac:dyDescent="0.35">
      <c r="A14" s="376">
        <v>2022</v>
      </c>
      <c r="B14" s="304" t="s">
        <v>1604</v>
      </c>
      <c r="C14" s="209"/>
      <c r="D14" s="209">
        <f>C5*(1+INDEX(Assumptions_EG!$D$14:$D$22,MATCH(NewFC[[#This Row],[EnergyConvTech]],Assumptions_EG!$B$14:$B$22,0)))</f>
        <v>10872.741503138899</v>
      </c>
      <c r="E14" s="209">
        <f>D5*(1+INDEX(Assumptions_EG!$D$14:$D$22,MATCH(NewFC[[#This Row],[EnergyConvTech]],Assumptions_EG!$B$14:$B$22,0)))</f>
        <v>10872.741503138899</v>
      </c>
      <c r="F14" s="209">
        <f>E5*(1+INDEX(Assumptions_EG!$D$14:$D$22,MATCH(NewFC[[#This Row],[EnergyConvTech]],Assumptions_EG!$B$14:$B$22,0)))</f>
        <v>10872.741503138899</v>
      </c>
      <c r="G14" s="209">
        <f>F5*(1+INDEX(Assumptions_EG!$D$14:$D$22,MATCH(NewFC[[#This Row],[EnergyConvTech]],Assumptions_EG!$B$14:$B$22,0)))</f>
        <v>10872.741503138899</v>
      </c>
      <c r="H14" s="209">
        <f>G5*(1+INDEX(Assumptions_EG!$D$14:$D$22,MATCH(NewFC[[#This Row],[EnergyConvTech]],Assumptions_EG!$B$14:$B$22,0)))</f>
        <v>10872.741503138899</v>
      </c>
      <c r="I14" s="209">
        <f>H5*(1+INDEX(Assumptions_EG!$D$14:$D$22,MATCH(NewFC[[#This Row],[EnergyConvTech]],Assumptions_EG!$B$14:$B$22,0)))</f>
        <v>10872.741503138899</v>
      </c>
      <c r="J14" s="209">
        <f>I5*(1+INDEX(Assumptions_EG!$D$14:$D$22,MATCH(NewFC[[#This Row],[EnergyConvTech]],Assumptions_EG!$B$14:$B$22,0)))</f>
        <v>10872.741503138899</v>
      </c>
      <c r="K14" s="209">
        <f>J5*(1+INDEX(Assumptions_EG!$D$14:$D$22,MATCH(NewFC[[#This Row],[EnergyConvTech]],Assumptions_EG!$B$14:$B$22,0)))</f>
        <v>10872.741503138899</v>
      </c>
      <c r="L14" s="209">
        <f>K5*(1+INDEX(Assumptions_EG!$D$14:$D$22,MATCH(NewFC[[#This Row],[EnergyConvTech]],Assumptions_EG!$B$14:$B$22,0)))</f>
        <v>10872.741503138899</v>
      </c>
      <c r="M14" s="209">
        <f>L5*(1+INDEX(Assumptions_EG!$D$14:$D$22,MATCH(NewFC[[#This Row],[EnergyConvTech]],Assumptions_EG!$B$14:$B$22,0)))</f>
        <v>10872.741503138899</v>
      </c>
    </row>
    <row r="15" spans="1:13" x14ac:dyDescent="0.35">
      <c r="A15" s="376">
        <v>2022</v>
      </c>
      <c r="B15" s="304" t="s">
        <v>1615</v>
      </c>
      <c r="C15" s="209"/>
      <c r="D15" s="209">
        <f>C6*(1+INDEX(Assumptions_EG!$D$14:$D$22,MATCH(NewFC[[#This Row],[EnergyConvTech]],Assumptions_EG!$B$14:$B$22,0)))</f>
        <v>20148.813739673951</v>
      </c>
      <c r="E15" s="209">
        <f>D6*(1+INDEX(Assumptions_EG!$D$14:$D$22,MATCH(NewFC[[#This Row],[EnergyConvTech]],Assumptions_EG!$B$14:$B$22,0)))</f>
        <v>20148.813739673951</v>
      </c>
      <c r="F15" s="209">
        <f>E6*(1+INDEX(Assumptions_EG!$D$14:$D$22,MATCH(NewFC[[#This Row],[EnergyConvTech]],Assumptions_EG!$B$14:$B$22,0)))</f>
        <v>20148.813739673951</v>
      </c>
      <c r="G15" s="209">
        <f>F6*(1+INDEX(Assumptions_EG!$D$14:$D$22,MATCH(NewFC[[#This Row],[EnergyConvTech]],Assumptions_EG!$B$14:$B$22,0)))</f>
        <v>20148.813739673951</v>
      </c>
      <c r="H15" s="209">
        <f>G6*(1+INDEX(Assumptions_EG!$D$14:$D$22,MATCH(NewFC[[#This Row],[EnergyConvTech]],Assumptions_EG!$B$14:$B$22,0)))</f>
        <v>20148.813739673951</v>
      </c>
      <c r="I15" s="209">
        <f>H6*(1+INDEX(Assumptions_EG!$D$14:$D$22,MATCH(NewFC[[#This Row],[EnergyConvTech]],Assumptions_EG!$B$14:$B$22,0)))</f>
        <v>20148.813739673951</v>
      </c>
      <c r="J15" s="209">
        <f>I6*(1+INDEX(Assumptions_EG!$D$14:$D$22,MATCH(NewFC[[#This Row],[EnergyConvTech]],Assumptions_EG!$B$14:$B$22,0)))</f>
        <v>20148.813739673951</v>
      </c>
      <c r="K15" s="209">
        <f>J6*(1+INDEX(Assumptions_EG!$D$14:$D$22,MATCH(NewFC[[#This Row],[EnergyConvTech]],Assumptions_EG!$B$14:$B$22,0)))</f>
        <v>20148.813739673951</v>
      </c>
      <c r="L15" s="209">
        <f>K6*(1+INDEX(Assumptions_EG!$D$14:$D$22,MATCH(NewFC[[#This Row],[EnergyConvTech]],Assumptions_EG!$B$14:$B$22,0)))</f>
        <v>20148.813739673951</v>
      </c>
      <c r="M15" s="209">
        <f>L6*(1+INDEX(Assumptions_EG!$D$14:$D$22,MATCH(NewFC[[#This Row],[EnergyConvTech]],Assumptions_EG!$B$14:$B$22,0)))</f>
        <v>20148.813739673951</v>
      </c>
    </row>
    <row r="16" spans="1:13" x14ac:dyDescent="0.35">
      <c r="A16" s="376">
        <v>2022</v>
      </c>
      <c r="B16" s="304" t="s">
        <v>1603</v>
      </c>
      <c r="C16" s="209"/>
      <c r="D16" s="209">
        <f>C7*(1+INDEX(Assumptions_EG!$D$14:$D$22,MATCH(NewFC[[#This Row],[EnergyConvTech]],Assumptions_EG!$B$14:$B$22,0)))</f>
        <v>6101.463203368502</v>
      </c>
      <c r="E16" s="209">
        <f>D7*(1+INDEX(Assumptions_EG!$D$14:$D$22,MATCH(NewFC[[#This Row],[EnergyConvTech]],Assumptions_EG!$B$14:$B$22,0)))</f>
        <v>6101.463203368502</v>
      </c>
      <c r="F16" s="209">
        <f>E7*(1+INDEX(Assumptions_EG!$D$14:$D$22,MATCH(NewFC[[#This Row],[EnergyConvTech]],Assumptions_EG!$B$14:$B$22,0)))</f>
        <v>6101.463203368502</v>
      </c>
      <c r="G16" s="209">
        <f>F7*(1+INDEX(Assumptions_EG!$D$14:$D$22,MATCH(NewFC[[#This Row],[EnergyConvTech]],Assumptions_EG!$B$14:$B$22,0)))</f>
        <v>6101.463203368502</v>
      </c>
      <c r="H16" s="209">
        <f>G7*(1+INDEX(Assumptions_EG!$D$14:$D$22,MATCH(NewFC[[#This Row],[EnergyConvTech]],Assumptions_EG!$B$14:$B$22,0)))</f>
        <v>6101.463203368502</v>
      </c>
      <c r="I16" s="209">
        <f>H7*(1+INDEX(Assumptions_EG!$D$14:$D$22,MATCH(NewFC[[#This Row],[EnergyConvTech]],Assumptions_EG!$B$14:$B$22,0)))</f>
        <v>6101.463203368502</v>
      </c>
      <c r="J16" s="209">
        <f>I7*(1+INDEX(Assumptions_EG!$D$14:$D$22,MATCH(NewFC[[#This Row],[EnergyConvTech]],Assumptions_EG!$B$14:$B$22,0)))</f>
        <v>6101.463203368502</v>
      </c>
      <c r="K16" s="209">
        <f>J7*(1+INDEX(Assumptions_EG!$D$14:$D$22,MATCH(NewFC[[#This Row],[EnergyConvTech]],Assumptions_EG!$B$14:$B$22,0)))</f>
        <v>6101.463203368502</v>
      </c>
      <c r="L16" s="209">
        <f>K7*(1+INDEX(Assumptions_EG!$D$14:$D$22,MATCH(NewFC[[#This Row],[EnergyConvTech]],Assumptions_EG!$B$14:$B$22,0)))</f>
        <v>6101.463203368502</v>
      </c>
      <c r="M16" s="209">
        <f>L7*(1+INDEX(Assumptions_EG!$D$14:$D$22,MATCH(NewFC[[#This Row],[EnergyConvTech]],Assumptions_EG!$B$14:$B$22,0)))</f>
        <v>6101.463203368502</v>
      </c>
    </row>
    <row r="17" spans="1:19" x14ac:dyDescent="0.35">
      <c r="A17" s="376">
        <v>2022</v>
      </c>
      <c r="B17" s="304" t="s">
        <v>1605</v>
      </c>
      <c r="C17" s="209"/>
      <c r="D17" s="209">
        <f>C8*(1+INDEX(Assumptions_EG!$D$14:$D$22,MATCH(NewFC[[#This Row],[EnergyConvTech]],Assumptions_EG!$B$14:$B$22,0)))</f>
        <v>10426.102375692073</v>
      </c>
      <c r="E17" s="209">
        <f>D8*(1+INDEX(Assumptions_EG!$D$14:$D$22,MATCH(NewFC[[#This Row],[EnergyConvTech]],Assumptions_EG!$B$14:$B$22,0)))</f>
        <v>10426.102375692073</v>
      </c>
      <c r="F17" s="209">
        <f>E8*(1+INDEX(Assumptions_EG!$D$14:$D$22,MATCH(NewFC[[#This Row],[EnergyConvTech]],Assumptions_EG!$B$14:$B$22,0)))</f>
        <v>10426.102375692073</v>
      </c>
      <c r="G17" s="209">
        <f>F8*(1+INDEX(Assumptions_EG!$D$14:$D$22,MATCH(NewFC[[#This Row],[EnergyConvTech]],Assumptions_EG!$B$14:$B$22,0)))</f>
        <v>10426.102375692073</v>
      </c>
      <c r="H17" s="209">
        <f>G8*(1+INDEX(Assumptions_EG!$D$14:$D$22,MATCH(NewFC[[#This Row],[EnergyConvTech]],Assumptions_EG!$B$14:$B$22,0)))</f>
        <v>10426.102375692073</v>
      </c>
      <c r="I17" s="209">
        <f>H8*(1+INDEX(Assumptions_EG!$D$14:$D$22,MATCH(NewFC[[#This Row],[EnergyConvTech]],Assumptions_EG!$B$14:$B$22,0)))</f>
        <v>10426.102375692073</v>
      </c>
      <c r="J17" s="209">
        <f>I8*(1+INDEX(Assumptions_EG!$D$14:$D$22,MATCH(NewFC[[#This Row],[EnergyConvTech]],Assumptions_EG!$B$14:$B$22,0)))</f>
        <v>10426.102375692073</v>
      </c>
      <c r="K17" s="209">
        <f>J8*(1+INDEX(Assumptions_EG!$D$14:$D$22,MATCH(NewFC[[#This Row],[EnergyConvTech]],Assumptions_EG!$B$14:$B$22,0)))</f>
        <v>10426.102375692073</v>
      </c>
      <c r="L17" s="209">
        <f>K8*(1+INDEX(Assumptions_EG!$D$14:$D$22,MATCH(NewFC[[#This Row],[EnergyConvTech]],Assumptions_EG!$B$14:$B$22,0)))</f>
        <v>10426.102375692073</v>
      </c>
      <c r="M17" s="209">
        <f>L8*(1+INDEX(Assumptions_EG!$D$14:$D$22,MATCH(NewFC[[#This Row],[EnergyConvTech]],Assumptions_EG!$B$14:$B$22,0)))</f>
        <v>10426.102375692073</v>
      </c>
    </row>
    <row r="18" spans="1:19" x14ac:dyDescent="0.35">
      <c r="A18" s="376">
        <v>2022</v>
      </c>
      <c r="B18" s="304" t="s">
        <v>1636</v>
      </c>
      <c r="C18" s="209"/>
      <c r="D18" s="209">
        <f>C9*(1+INDEX(Assumptions_EG!$D$14:$D$22,MATCH(NewFC[[#This Row],[EnergyConvTech]],Assumptions_EG!$B$14:$B$22,0)))</f>
        <v>3740.7066949070786</v>
      </c>
      <c r="E18" s="209">
        <f>D9*(1+INDEX(Assumptions_EG!$D$14:$D$22,MATCH(NewFC[[#This Row],[EnergyConvTech]],Assumptions_EG!$B$14:$B$22,0)))</f>
        <v>3740.7066949070786</v>
      </c>
      <c r="F18" s="209">
        <f>E9*(1+INDEX(Assumptions_EG!$D$14:$D$22,MATCH(NewFC[[#This Row],[EnergyConvTech]],Assumptions_EG!$B$14:$B$22,0)))</f>
        <v>3740.7066949070786</v>
      </c>
      <c r="G18" s="209">
        <f>F9*(1+INDEX(Assumptions_EG!$D$14:$D$22,MATCH(NewFC[[#This Row],[EnergyConvTech]],Assumptions_EG!$B$14:$B$22,0)))</f>
        <v>3740.7066949070786</v>
      </c>
      <c r="H18" s="209">
        <f>G9*(1+INDEX(Assumptions_EG!$D$14:$D$22,MATCH(NewFC[[#This Row],[EnergyConvTech]],Assumptions_EG!$B$14:$B$22,0)))</f>
        <v>3740.7066949070786</v>
      </c>
      <c r="I18" s="209">
        <f>H9*(1+INDEX(Assumptions_EG!$D$14:$D$22,MATCH(NewFC[[#This Row],[EnergyConvTech]],Assumptions_EG!$B$14:$B$22,0)))</f>
        <v>3740.7066949070786</v>
      </c>
      <c r="J18" s="209">
        <f>I9*(1+INDEX(Assumptions_EG!$D$14:$D$22,MATCH(NewFC[[#This Row],[EnergyConvTech]],Assumptions_EG!$B$14:$B$22,0)))</f>
        <v>3740.7066949070786</v>
      </c>
      <c r="K18" s="209">
        <f>J9*(1+INDEX(Assumptions_EG!$D$14:$D$22,MATCH(NewFC[[#This Row],[EnergyConvTech]],Assumptions_EG!$B$14:$B$22,0)))</f>
        <v>3740.7066949070786</v>
      </c>
      <c r="L18" s="209">
        <f>K9*(1+INDEX(Assumptions_EG!$D$14:$D$22,MATCH(NewFC[[#This Row],[EnergyConvTech]],Assumptions_EG!$B$14:$B$22,0)))</f>
        <v>3740.7066949070786</v>
      </c>
      <c r="M18" s="209">
        <f>L9*(1+INDEX(Assumptions_EG!$D$14:$D$22,MATCH(NewFC[[#This Row],[EnergyConvTech]],Assumptions_EG!$B$14:$B$22,0)))</f>
        <v>3740.7066949070786</v>
      </c>
    </row>
    <row r="19" spans="1:19" x14ac:dyDescent="0.35">
      <c r="A19" s="376">
        <v>2022</v>
      </c>
      <c r="B19" s="304" t="s">
        <v>1606</v>
      </c>
      <c r="C19" s="209"/>
      <c r="D19" s="209">
        <f>C10*(1+INDEX(Assumptions_EG!$D$14:$D$22,MATCH(NewFC[[#This Row],[EnergyConvTech]],Assumptions_EG!$B$14:$B$22,0)))</f>
        <v>6115.0506935945432</v>
      </c>
      <c r="E19" s="209">
        <f>D10*(1+INDEX(Assumptions_EG!$D$14:$D$22,MATCH(NewFC[[#This Row],[EnergyConvTech]],Assumptions_EG!$B$14:$B$22,0)))</f>
        <v>6115.0506935945432</v>
      </c>
      <c r="F19" s="209">
        <f>E10*(1+INDEX(Assumptions_EG!$D$14:$D$22,MATCH(NewFC[[#This Row],[EnergyConvTech]],Assumptions_EG!$B$14:$B$22,0)))</f>
        <v>6115.0506935945432</v>
      </c>
      <c r="G19" s="209">
        <f>F10*(1+INDEX(Assumptions_EG!$D$14:$D$22,MATCH(NewFC[[#This Row],[EnergyConvTech]],Assumptions_EG!$B$14:$B$22,0)))</f>
        <v>6115.0506935945432</v>
      </c>
      <c r="H19" s="209">
        <f>G10*(1+INDEX(Assumptions_EG!$D$14:$D$22,MATCH(NewFC[[#This Row],[EnergyConvTech]],Assumptions_EG!$B$14:$B$22,0)))</f>
        <v>6115.0506935945432</v>
      </c>
      <c r="I19" s="209">
        <f>H10*(1+INDEX(Assumptions_EG!$D$14:$D$22,MATCH(NewFC[[#This Row],[EnergyConvTech]],Assumptions_EG!$B$14:$B$22,0)))</f>
        <v>6115.0506935945432</v>
      </c>
      <c r="J19" s="209">
        <f>I10*(1+INDEX(Assumptions_EG!$D$14:$D$22,MATCH(NewFC[[#This Row],[EnergyConvTech]],Assumptions_EG!$B$14:$B$22,0)))</f>
        <v>6115.0506935945432</v>
      </c>
      <c r="K19" s="209">
        <f>J10*(1+INDEX(Assumptions_EG!$D$14:$D$22,MATCH(NewFC[[#This Row],[EnergyConvTech]],Assumptions_EG!$B$14:$B$22,0)))</f>
        <v>6115.0506935945432</v>
      </c>
      <c r="L19" s="209">
        <f>K10*(1+INDEX(Assumptions_EG!$D$14:$D$22,MATCH(NewFC[[#This Row],[EnergyConvTech]],Assumptions_EG!$B$14:$B$22,0)))</f>
        <v>6115.0506935945432</v>
      </c>
      <c r="M19" s="209">
        <f>L10*(1+INDEX(Assumptions_EG!$D$14:$D$22,MATCH(NewFC[[#This Row],[EnergyConvTech]],Assumptions_EG!$B$14:$B$22,0)))</f>
        <v>6115.0506935945432</v>
      </c>
    </row>
    <row r="20" spans="1:19" x14ac:dyDescent="0.35">
      <c r="A20" s="376">
        <v>2023</v>
      </c>
      <c r="B20" s="304" t="s">
        <v>1612</v>
      </c>
      <c r="C20" s="209"/>
      <c r="D20" s="385"/>
      <c r="E20" s="209">
        <f>D11*(1+INDEX(Assumptions_EG!$D$14:$D$22,MATCH(NewFC[[#This Row],[EnergyConvTech]],Assumptions_EG!$B$14:$B$22,0)))</f>
        <v>9928.6887826901675</v>
      </c>
      <c r="F20" s="209">
        <f>E11*(1+INDEX(Assumptions_EG!$D$14:$D$22,MATCH(NewFC[[#This Row],[EnergyConvTech]],Assumptions_EG!$B$14:$B$22,0)))</f>
        <v>9928.6887826901675</v>
      </c>
      <c r="G20" s="209">
        <f>F11*(1+INDEX(Assumptions_EG!$D$14:$D$22,MATCH(NewFC[[#This Row],[EnergyConvTech]],Assumptions_EG!$B$14:$B$22,0)))</f>
        <v>9928.6887826901675</v>
      </c>
      <c r="H20" s="209">
        <f>G11*(1+INDEX(Assumptions_EG!$D$14:$D$22,MATCH(NewFC[[#This Row],[EnergyConvTech]],Assumptions_EG!$B$14:$B$22,0)))</f>
        <v>9928.6887826901675</v>
      </c>
      <c r="I20" s="209">
        <f>H11*(1+INDEX(Assumptions_EG!$D$14:$D$22,MATCH(NewFC[[#This Row],[EnergyConvTech]],Assumptions_EG!$B$14:$B$22,0)))</f>
        <v>9928.6887826901675</v>
      </c>
      <c r="J20" s="209">
        <f>I11*(1+INDEX(Assumptions_EG!$D$14:$D$22,MATCH(NewFC[[#This Row],[EnergyConvTech]],Assumptions_EG!$B$14:$B$22,0)))</f>
        <v>9928.6887826901675</v>
      </c>
      <c r="K20" s="209">
        <f>J11*(1+INDEX(Assumptions_EG!$D$14:$D$22,MATCH(NewFC[[#This Row],[EnergyConvTech]],Assumptions_EG!$B$14:$B$22,0)))</f>
        <v>9928.6887826901675</v>
      </c>
      <c r="L20" s="209">
        <f>K11*(1+INDEX(Assumptions_EG!$D$14:$D$22,MATCH(NewFC[[#This Row],[EnergyConvTech]],Assumptions_EG!$B$14:$B$22,0)))</f>
        <v>9928.6887826901675</v>
      </c>
      <c r="M20" s="209">
        <f>L11*(1+INDEX(Assumptions_EG!$D$14:$D$22,MATCH(NewFC[[#This Row],[EnergyConvTech]],Assumptions_EG!$B$14:$B$22,0)))</f>
        <v>9928.6887826901675</v>
      </c>
      <c r="S20" s="209"/>
    </row>
    <row r="21" spans="1:19" x14ac:dyDescent="0.35">
      <c r="A21" s="376">
        <v>2023</v>
      </c>
      <c r="B21" s="304" t="s">
        <v>1613</v>
      </c>
      <c r="C21" s="209"/>
      <c r="D21" s="385"/>
      <c r="E21" s="209">
        <f>D12*(1+INDEX(Assumptions_EG!$D$14:$D$22,MATCH(NewFC[[#This Row],[EnergyConvTech]],Assumptions_EG!$B$14:$B$22,0)))</f>
        <v>8848.5269568257354</v>
      </c>
      <c r="F21" s="209">
        <f>E12*(1+INDEX(Assumptions_EG!$D$14:$D$22,MATCH(NewFC[[#This Row],[EnergyConvTech]],Assumptions_EG!$B$14:$B$22,0)))</f>
        <v>8848.5269568257354</v>
      </c>
      <c r="G21" s="209">
        <f>F12*(1+INDEX(Assumptions_EG!$D$14:$D$22,MATCH(NewFC[[#This Row],[EnergyConvTech]],Assumptions_EG!$B$14:$B$22,0)))</f>
        <v>8848.5269568257354</v>
      </c>
      <c r="H21" s="209">
        <f>G12*(1+INDEX(Assumptions_EG!$D$14:$D$22,MATCH(NewFC[[#This Row],[EnergyConvTech]],Assumptions_EG!$B$14:$B$22,0)))</f>
        <v>8848.5269568257354</v>
      </c>
      <c r="I21" s="209">
        <f>H12*(1+INDEX(Assumptions_EG!$D$14:$D$22,MATCH(NewFC[[#This Row],[EnergyConvTech]],Assumptions_EG!$B$14:$B$22,0)))</f>
        <v>8848.5269568257354</v>
      </c>
      <c r="J21" s="209">
        <f>I12*(1+INDEX(Assumptions_EG!$D$14:$D$22,MATCH(NewFC[[#This Row],[EnergyConvTech]],Assumptions_EG!$B$14:$B$22,0)))</f>
        <v>8848.5269568257354</v>
      </c>
      <c r="K21" s="209">
        <f>J12*(1+INDEX(Assumptions_EG!$D$14:$D$22,MATCH(NewFC[[#This Row],[EnergyConvTech]],Assumptions_EG!$B$14:$B$22,0)))</f>
        <v>8848.5269568257354</v>
      </c>
      <c r="L21" s="209">
        <f>K12*(1+INDEX(Assumptions_EG!$D$14:$D$22,MATCH(NewFC[[#This Row],[EnergyConvTech]],Assumptions_EG!$B$14:$B$22,0)))</f>
        <v>8848.5269568257354</v>
      </c>
      <c r="M21" s="209">
        <f>L12*(1+INDEX(Assumptions_EG!$D$14:$D$22,MATCH(NewFC[[#This Row],[EnergyConvTech]],Assumptions_EG!$B$14:$B$22,0)))</f>
        <v>8848.5269568257354</v>
      </c>
    </row>
    <row r="22" spans="1:19" x14ac:dyDescent="0.35">
      <c r="A22" s="376">
        <v>2023</v>
      </c>
      <c r="B22" s="304" t="s">
        <v>1614</v>
      </c>
      <c r="C22" s="209"/>
      <c r="D22" s="385"/>
      <c r="E22" s="209">
        <f>D13*(1+INDEX(Assumptions_EG!$D$14:$D$22,MATCH(NewFC[[#This Row],[EnergyConvTech]],Assumptions_EG!$B$14:$B$22,0)))</f>
        <v>6454.3984013550207</v>
      </c>
      <c r="F22" s="209">
        <f>E13*(1+INDEX(Assumptions_EG!$D$14:$D$22,MATCH(NewFC[[#This Row],[EnergyConvTech]],Assumptions_EG!$B$14:$B$22,0)))</f>
        <v>6454.3984013550207</v>
      </c>
      <c r="G22" s="209">
        <f>F13*(1+INDEX(Assumptions_EG!$D$14:$D$22,MATCH(NewFC[[#This Row],[EnergyConvTech]],Assumptions_EG!$B$14:$B$22,0)))</f>
        <v>6454.3984013550207</v>
      </c>
      <c r="H22" s="209">
        <f>G13*(1+INDEX(Assumptions_EG!$D$14:$D$22,MATCH(NewFC[[#This Row],[EnergyConvTech]],Assumptions_EG!$B$14:$B$22,0)))</f>
        <v>6454.3984013550207</v>
      </c>
      <c r="I22" s="209">
        <f>H13*(1+INDEX(Assumptions_EG!$D$14:$D$22,MATCH(NewFC[[#This Row],[EnergyConvTech]],Assumptions_EG!$B$14:$B$22,0)))</f>
        <v>6454.3984013550207</v>
      </c>
      <c r="J22" s="209">
        <f>I13*(1+INDEX(Assumptions_EG!$D$14:$D$22,MATCH(NewFC[[#This Row],[EnergyConvTech]],Assumptions_EG!$B$14:$B$22,0)))</f>
        <v>6454.3984013550207</v>
      </c>
      <c r="K22" s="209">
        <f>J13*(1+INDEX(Assumptions_EG!$D$14:$D$22,MATCH(NewFC[[#This Row],[EnergyConvTech]],Assumptions_EG!$B$14:$B$22,0)))</f>
        <v>6454.3984013550207</v>
      </c>
      <c r="L22" s="209">
        <f>K13*(1+INDEX(Assumptions_EG!$D$14:$D$22,MATCH(NewFC[[#This Row],[EnergyConvTech]],Assumptions_EG!$B$14:$B$22,0)))</f>
        <v>6454.3984013550207</v>
      </c>
      <c r="M22" s="209">
        <f>L13*(1+INDEX(Assumptions_EG!$D$14:$D$22,MATCH(NewFC[[#This Row],[EnergyConvTech]],Assumptions_EG!$B$14:$B$22,0)))</f>
        <v>6454.3984013550207</v>
      </c>
    </row>
    <row r="23" spans="1:19" x14ac:dyDescent="0.35">
      <c r="A23" s="376">
        <v>2023</v>
      </c>
      <c r="B23" s="304" t="s">
        <v>1604</v>
      </c>
      <c r="C23" s="209"/>
      <c r="D23" s="209"/>
      <c r="E23" s="209">
        <f>D14*(1+INDEX(Assumptions_EG!$D$14:$D$22,MATCH(NewFC[[#This Row],[EnergyConvTech]],Assumptions_EG!$B$14:$B$22,0)))</f>
        <v>10872.741503138899</v>
      </c>
      <c r="F23" s="209">
        <f>E14*(1+INDEX(Assumptions_EG!$D$14:$D$22,MATCH(NewFC[[#This Row],[EnergyConvTech]],Assumptions_EG!$B$14:$B$22,0)))</f>
        <v>10872.741503138899</v>
      </c>
      <c r="G23" s="209">
        <f>F14*(1+INDEX(Assumptions_EG!$D$14:$D$22,MATCH(NewFC[[#This Row],[EnergyConvTech]],Assumptions_EG!$B$14:$B$22,0)))</f>
        <v>10872.741503138899</v>
      </c>
      <c r="H23" s="209">
        <f>G14*(1+INDEX(Assumptions_EG!$D$14:$D$22,MATCH(NewFC[[#This Row],[EnergyConvTech]],Assumptions_EG!$B$14:$B$22,0)))</f>
        <v>10872.741503138899</v>
      </c>
      <c r="I23" s="209">
        <f>H14*(1+INDEX(Assumptions_EG!$D$14:$D$22,MATCH(NewFC[[#This Row],[EnergyConvTech]],Assumptions_EG!$B$14:$B$22,0)))</f>
        <v>10872.741503138899</v>
      </c>
      <c r="J23" s="209">
        <f>I14*(1+INDEX(Assumptions_EG!$D$14:$D$22,MATCH(NewFC[[#This Row],[EnergyConvTech]],Assumptions_EG!$B$14:$B$22,0)))</f>
        <v>10872.741503138899</v>
      </c>
      <c r="K23" s="209">
        <f>J14*(1+INDEX(Assumptions_EG!$D$14:$D$22,MATCH(NewFC[[#This Row],[EnergyConvTech]],Assumptions_EG!$B$14:$B$22,0)))</f>
        <v>10872.741503138899</v>
      </c>
      <c r="L23" s="209">
        <f>K14*(1+INDEX(Assumptions_EG!$D$14:$D$22,MATCH(NewFC[[#This Row],[EnergyConvTech]],Assumptions_EG!$B$14:$B$22,0)))</f>
        <v>10872.741503138899</v>
      </c>
      <c r="M23" s="209">
        <f>L14*(1+INDEX(Assumptions_EG!$D$14:$D$22,MATCH(NewFC[[#This Row],[EnergyConvTech]],Assumptions_EG!$B$14:$B$22,0)))</f>
        <v>10872.741503138899</v>
      </c>
    </row>
    <row r="24" spans="1:19" x14ac:dyDescent="0.35">
      <c r="A24" s="376">
        <v>2023</v>
      </c>
      <c r="B24" s="304" t="s">
        <v>1615</v>
      </c>
      <c r="C24" s="209"/>
      <c r="D24" s="209"/>
      <c r="E24" s="209">
        <f>D15*(1+INDEX(Assumptions_EG!$D$14:$D$22,MATCH(NewFC[[#This Row],[EnergyConvTech]],Assumptions_EG!$B$14:$B$22,0)))</f>
        <v>20148.813739673951</v>
      </c>
      <c r="F24" s="209">
        <f>E15*(1+INDEX(Assumptions_EG!$D$14:$D$22,MATCH(NewFC[[#This Row],[EnergyConvTech]],Assumptions_EG!$B$14:$B$22,0)))</f>
        <v>20148.813739673951</v>
      </c>
      <c r="G24" s="209">
        <f>F15*(1+INDEX(Assumptions_EG!$D$14:$D$22,MATCH(NewFC[[#This Row],[EnergyConvTech]],Assumptions_EG!$B$14:$B$22,0)))</f>
        <v>20148.813739673951</v>
      </c>
      <c r="H24" s="209">
        <f>G15*(1+INDEX(Assumptions_EG!$D$14:$D$22,MATCH(NewFC[[#This Row],[EnergyConvTech]],Assumptions_EG!$B$14:$B$22,0)))</f>
        <v>20148.813739673951</v>
      </c>
      <c r="I24" s="209">
        <f>H15*(1+INDEX(Assumptions_EG!$D$14:$D$22,MATCH(NewFC[[#This Row],[EnergyConvTech]],Assumptions_EG!$B$14:$B$22,0)))</f>
        <v>20148.813739673951</v>
      </c>
      <c r="J24" s="209">
        <f>I15*(1+INDEX(Assumptions_EG!$D$14:$D$22,MATCH(NewFC[[#This Row],[EnergyConvTech]],Assumptions_EG!$B$14:$B$22,0)))</f>
        <v>20148.813739673951</v>
      </c>
      <c r="K24" s="209">
        <f>J15*(1+INDEX(Assumptions_EG!$D$14:$D$22,MATCH(NewFC[[#This Row],[EnergyConvTech]],Assumptions_EG!$B$14:$B$22,0)))</f>
        <v>20148.813739673951</v>
      </c>
      <c r="L24" s="209">
        <f>K15*(1+INDEX(Assumptions_EG!$D$14:$D$22,MATCH(NewFC[[#This Row],[EnergyConvTech]],Assumptions_EG!$B$14:$B$22,0)))</f>
        <v>20148.813739673951</v>
      </c>
      <c r="M24" s="209">
        <f>L15*(1+INDEX(Assumptions_EG!$D$14:$D$22,MATCH(NewFC[[#This Row],[EnergyConvTech]],Assumptions_EG!$B$14:$B$22,0)))</f>
        <v>20148.813739673951</v>
      </c>
    </row>
    <row r="25" spans="1:19" x14ac:dyDescent="0.35">
      <c r="A25" s="376">
        <v>2023</v>
      </c>
      <c r="B25" s="304" t="s">
        <v>1603</v>
      </c>
      <c r="C25" s="209"/>
      <c r="D25" s="209"/>
      <c r="E25" s="209">
        <f>D16*(1+INDEX(Assumptions_EG!$D$14:$D$22,MATCH(NewFC[[#This Row],[EnergyConvTech]],Assumptions_EG!$B$14:$B$22,0)))</f>
        <v>6101.463203368502</v>
      </c>
      <c r="F25" s="209">
        <f>E16*(1+INDEX(Assumptions_EG!$D$14:$D$22,MATCH(NewFC[[#This Row],[EnergyConvTech]],Assumptions_EG!$B$14:$B$22,0)))</f>
        <v>6101.463203368502</v>
      </c>
      <c r="G25" s="209">
        <f>F16*(1+INDEX(Assumptions_EG!$D$14:$D$22,MATCH(NewFC[[#This Row],[EnergyConvTech]],Assumptions_EG!$B$14:$B$22,0)))</f>
        <v>6101.463203368502</v>
      </c>
      <c r="H25" s="209">
        <f>G16*(1+INDEX(Assumptions_EG!$D$14:$D$22,MATCH(NewFC[[#This Row],[EnergyConvTech]],Assumptions_EG!$B$14:$B$22,0)))</f>
        <v>6101.463203368502</v>
      </c>
      <c r="I25" s="209">
        <f>H16*(1+INDEX(Assumptions_EG!$D$14:$D$22,MATCH(NewFC[[#This Row],[EnergyConvTech]],Assumptions_EG!$B$14:$B$22,0)))</f>
        <v>6101.463203368502</v>
      </c>
      <c r="J25" s="209">
        <f>I16*(1+INDEX(Assumptions_EG!$D$14:$D$22,MATCH(NewFC[[#This Row],[EnergyConvTech]],Assumptions_EG!$B$14:$B$22,0)))</f>
        <v>6101.463203368502</v>
      </c>
      <c r="K25" s="209">
        <f>J16*(1+INDEX(Assumptions_EG!$D$14:$D$22,MATCH(NewFC[[#This Row],[EnergyConvTech]],Assumptions_EG!$B$14:$B$22,0)))</f>
        <v>6101.463203368502</v>
      </c>
      <c r="L25" s="209">
        <f>K16*(1+INDEX(Assumptions_EG!$D$14:$D$22,MATCH(NewFC[[#This Row],[EnergyConvTech]],Assumptions_EG!$B$14:$B$22,0)))</f>
        <v>6101.463203368502</v>
      </c>
      <c r="M25" s="209">
        <f>L16*(1+INDEX(Assumptions_EG!$D$14:$D$22,MATCH(NewFC[[#This Row],[EnergyConvTech]],Assumptions_EG!$B$14:$B$22,0)))</f>
        <v>6101.463203368502</v>
      </c>
    </row>
    <row r="26" spans="1:19" x14ac:dyDescent="0.35">
      <c r="A26" s="376">
        <v>2023</v>
      </c>
      <c r="B26" s="304" t="s">
        <v>1605</v>
      </c>
      <c r="C26" s="209"/>
      <c r="D26" s="209"/>
      <c r="E26" s="209">
        <f>D17*(1+INDEX(Assumptions_EG!$D$14:$D$22,MATCH(NewFC[[#This Row],[EnergyConvTech]],Assumptions_EG!$B$14:$B$22,0)))</f>
        <v>10426.102375692073</v>
      </c>
      <c r="F26" s="209">
        <f>E17*(1+INDEX(Assumptions_EG!$D$14:$D$22,MATCH(NewFC[[#This Row],[EnergyConvTech]],Assumptions_EG!$B$14:$B$22,0)))</f>
        <v>10426.102375692073</v>
      </c>
      <c r="G26" s="209">
        <f>F17*(1+INDEX(Assumptions_EG!$D$14:$D$22,MATCH(NewFC[[#This Row],[EnergyConvTech]],Assumptions_EG!$B$14:$B$22,0)))</f>
        <v>10426.102375692073</v>
      </c>
      <c r="H26" s="209">
        <f>G17*(1+INDEX(Assumptions_EG!$D$14:$D$22,MATCH(NewFC[[#This Row],[EnergyConvTech]],Assumptions_EG!$B$14:$B$22,0)))</f>
        <v>10426.102375692073</v>
      </c>
      <c r="I26" s="209">
        <f>H17*(1+INDEX(Assumptions_EG!$D$14:$D$22,MATCH(NewFC[[#This Row],[EnergyConvTech]],Assumptions_EG!$B$14:$B$22,0)))</f>
        <v>10426.102375692073</v>
      </c>
      <c r="J26" s="209">
        <f>I17*(1+INDEX(Assumptions_EG!$D$14:$D$22,MATCH(NewFC[[#This Row],[EnergyConvTech]],Assumptions_EG!$B$14:$B$22,0)))</f>
        <v>10426.102375692073</v>
      </c>
      <c r="K26" s="209">
        <f>J17*(1+INDEX(Assumptions_EG!$D$14:$D$22,MATCH(NewFC[[#This Row],[EnergyConvTech]],Assumptions_EG!$B$14:$B$22,0)))</f>
        <v>10426.102375692073</v>
      </c>
      <c r="L26" s="209">
        <f>K17*(1+INDEX(Assumptions_EG!$D$14:$D$22,MATCH(NewFC[[#This Row],[EnergyConvTech]],Assumptions_EG!$B$14:$B$22,0)))</f>
        <v>10426.102375692073</v>
      </c>
      <c r="M26" s="209">
        <f>L17*(1+INDEX(Assumptions_EG!$D$14:$D$22,MATCH(NewFC[[#This Row],[EnergyConvTech]],Assumptions_EG!$B$14:$B$22,0)))</f>
        <v>10426.102375692073</v>
      </c>
    </row>
    <row r="27" spans="1:19" x14ac:dyDescent="0.35">
      <c r="A27" s="376">
        <v>2023</v>
      </c>
      <c r="B27" s="304" t="s">
        <v>1636</v>
      </c>
      <c r="C27" s="209"/>
      <c r="D27" s="209"/>
      <c r="E27" s="209">
        <f>D18*(1+INDEX(Assumptions_EG!$D$14:$D$22,MATCH(NewFC[[#This Row],[EnergyConvTech]],Assumptions_EG!$B$14:$B$22,0)))</f>
        <v>3665.8925610089368</v>
      </c>
      <c r="F27" s="209">
        <f>E18*(1+INDEX(Assumptions_EG!$D$14:$D$22,MATCH(NewFC[[#This Row],[EnergyConvTech]],Assumptions_EG!$B$14:$B$22,0)))</f>
        <v>3665.8925610089368</v>
      </c>
      <c r="G27" s="209">
        <f>F18*(1+INDEX(Assumptions_EG!$D$14:$D$22,MATCH(NewFC[[#This Row],[EnergyConvTech]],Assumptions_EG!$B$14:$B$22,0)))</f>
        <v>3665.8925610089368</v>
      </c>
      <c r="H27" s="209">
        <f>G18*(1+INDEX(Assumptions_EG!$D$14:$D$22,MATCH(NewFC[[#This Row],[EnergyConvTech]],Assumptions_EG!$B$14:$B$22,0)))</f>
        <v>3665.8925610089368</v>
      </c>
      <c r="I27" s="209">
        <f>H18*(1+INDEX(Assumptions_EG!$D$14:$D$22,MATCH(NewFC[[#This Row],[EnergyConvTech]],Assumptions_EG!$B$14:$B$22,0)))</f>
        <v>3665.8925610089368</v>
      </c>
      <c r="J27" s="209">
        <f>I18*(1+INDEX(Assumptions_EG!$D$14:$D$22,MATCH(NewFC[[#This Row],[EnergyConvTech]],Assumptions_EG!$B$14:$B$22,0)))</f>
        <v>3665.8925610089368</v>
      </c>
      <c r="K27" s="209">
        <f>J18*(1+INDEX(Assumptions_EG!$D$14:$D$22,MATCH(NewFC[[#This Row],[EnergyConvTech]],Assumptions_EG!$B$14:$B$22,0)))</f>
        <v>3665.8925610089368</v>
      </c>
      <c r="L27" s="209">
        <f>K18*(1+INDEX(Assumptions_EG!$D$14:$D$22,MATCH(NewFC[[#This Row],[EnergyConvTech]],Assumptions_EG!$B$14:$B$22,0)))</f>
        <v>3665.8925610089368</v>
      </c>
      <c r="M27" s="209">
        <f>L18*(1+INDEX(Assumptions_EG!$D$14:$D$22,MATCH(NewFC[[#This Row],[EnergyConvTech]],Assumptions_EG!$B$14:$B$22,0)))</f>
        <v>3665.8925610089368</v>
      </c>
    </row>
    <row r="28" spans="1:19" x14ac:dyDescent="0.35">
      <c r="A28" s="376">
        <v>2023</v>
      </c>
      <c r="B28" s="304" t="s">
        <v>1606</v>
      </c>
      <c r="C28" s="209"/>
      <c r="D28" s="209"/>
      <c r="E28" s="209">
        <f>D19*(1+INDEX(Assumptions_EG!$D$14:$D$22,MATCH(NewFC[[#This Row],[EnergyConvTech]],Assumptions_EG!$B$14:$B$22,0)))</f>
        <v>6053.9001866585977</v>
      </c>
      <c r="F28" s="209">
        <f>E19*(1+INDEX(Assumptions_EG!$D$14:$D$22,MATCH(NewFC[[#This Row],[EnergyConvTech]],Assumptions_EG!$B$14:$B$22,0)))</f>
        <v>6053.9001866585977</v>
      </c>
      <c r="G28" s="209">
        <f>F19*(1+INDEX(Assumptions_EG!$D$14:$D$22,MATCH(NewFC[[#This Row],[EnergyConvTech]],Assumptions_EG!$B$14:$B$22,0)))</f>
        <v>6053.9001866585977</v>
      </c>
      <c r="H28" s="209">
        <f>G19*(1+INDEX(Assumptions_EG!$D$14:$D$22,MATCH(NewFC[[#This Row],[EnergyConvTech]],Assumptions_EG!$B$14:$B$22,0)))</f>
        <v>6053.9001866585977</v>
      </c>
      <c r="I28" s="209">
        <f>H19*(1+INDEX(Assumptions_EG!$D$14:$D$22,MATCH(NewFC[[#This Row],[EnergyConvTech]],Assumptions_EG!$B$14:$B$22,0)))</f>
        <v>6053.9001866585977</v>
      </c>
      <c r="J28" s="209">
        <f>I19*(1+INDEX(Assumptions_EG!$D$14:$D$22,MATCH(NewFC[[#This Row],[EnergyConvTech]],Assumptions_EG!$B$14:$B$22,0)))</f>
        <v>6053.9001866585977</v>
      </c>
      <c r="K28" s="209">
        <f>J19*(1+INDEX(Assumptions_EG!$D$14:$D$22,MATCH(NewFC[[#This Row],[EnergyConvTech]],Assumptions_EG!$B$14:$B$22,0)))</f>
        <v>6053.9001866585977</v>
      </c>
      <c r="L28" s="209">
        <f>K19*(1+INDEX(Assumptions_EG!$D$14:$D$22,MATCH(NewFC[[#This Row],[EnergyConvTech]],Assumptions_EG!$B$14:$B$22,0)))</f>
        <v>6053.9001866585977</v>
      </c>
      <c r="M28" s="209">
        <f>L19*(1+INDEX(Assumptions_EG!$D$14:$D$22,MATCH(NewFC[[#This Row],[EnergyConvTech]],Assumptions_EG!$B$14:$B$22,0)))</f>
        <v>6053.9001866585977</v>
      </c>
    </row>
    <row r="29" spans="1:19" x14ac:dyDescent="0.35">
      <c r="A29" s="376">
        <v>2024</v>
      </c>
      <c r="B29" s="304" t="s">
        <v>1612</v>
      </c>
      <c r="C29" s="209"/>
      <c r="D29" s="385"/>
      <c r="E29" s="209"/>
      <c r="F29" s="209">
        <f>E20*(1+INDEX(Assumptions_EG!$D$14:$D$22,MATCH(NewFC[[#This Row],[EnergyConvTech]],Assumptions_EG!$B$14:$B$22,0)))</f>
        <v>9928.6887826901675</v>
      </c>
      <c r="G29" s="209">
        <f>F20*(1+INDEX(Assumptions_EG!$D$14:$D$22,MATCH(NewFC[[#This Row],[EnergyConvTech]],Assumptions_EG!$B$14:$B$22,0)))</f>
        <v>9928.6887826901675</v>
      </c>
      <c r="H29" s="209">
        <f>G20*(1+INDEX(Assumptions_EG!$D$14:$D$22,MATCH(NewFC[[#This Row],[EnergyConvTech]],Assumptions_EG!$B$14:$B$22,0)))</f>
        <v>9928.6887826901675</v>
      </c>
      <c r="I29" s="209">
        <f>H20*(1+INDEX(Assumptions_EG!$D$14:$D$22,MATCH(NewFC[[#This Row],[EnergyConvTech]],Assumptions_EG!$B$14:$B$22,0)))</f>
        <v>9928.6887826901675</v>
      </c>
      <c r="J29" s="209">
        <f>I20*(1+INDEX(Assumptions_EG!$D$14:$D$22,MATCH(NewFC[[#This Row],[EnergyConvTech]],Assumptions_EG!$B$14:$B$22,0)))</f>
        <v>9928.6887826901675</v>
      </c>
      <c r="K29" s="209">
        <f>J20*(1+INDEX(Assumptions_EG!$D$14:$D$22,MATCH(NewFC[[#This Row],[EnergyConvTech]],Assumptions_EG!$B$14:$B$22,0)))</f>
        <v>9928.6887826901675</v>
      </c>
      <c r="L29" s="209">
        <f>K20*(1+INDEX(Assumptions_EG!$D$14:$D$22,MATCH(NewFC[[#This Row],[EnergyConvTech]],Assumptions_EG!$B$14:$B$22,0)))</f>
        <v>9928.6887826901675</v>
      </c>
      <c r="M29" s="209">
        <f>L20*(1+INDEX(Assumptions_EG!$D$14:$D$22,MATCH(NewFC[[#This Row],[EnergyConvTech]],Assumptions_EG!$B$14:$B$22,0)))</f>
        <v>9928.6887826901675</v>
      </c>
    </row>
    <row r="30" spans="1:19" x14ac:dyDescent="0.35">
      <c r="A30" s="376">
        <v>2024</v>
      </c>
      <c r="B30" s="304" t="s">
        <v>1613</v>
      </c>
      <c r="C30" s="209"/>
      <c r="D30" s="385"/>
      <c r="E30" s="209"/>
      <c r="F30" s="209">
        <f>E21*(1+INDEX(Assumptions_EG!$D$14:$D$22,MATCH(NewFC[[#This Row],[EnergyConvTech]],Assumptions_EG!$B$14:$B$22,0)))</f>
        <v>8848.5269568257354</v>
      </c>
      <c r="G30" s="209">
        <f>F21*(1+INDEX(Assumptions_EG!$D$14:$D$22,MATCH(NewFC[[#This Row],[EnergyConvTech]],Assumptions_EG!$B$14:$B$22,0)))</f>
        <v>8848.5269568257354</v>
      </c>
      <c r="H30" s="209">
        <f>G21*(1+INDEX(Assumptions_EG!$D$14:$D$22,MATCH(NewFC[[#This Row],[EnergyConvTech]],Assumptions_EG!$B$14:$B$22,0)))</f>
        <v>8848.5269568257354</v>
      </c>
      <c r="I30" s="209">
        <f>H21*(1+INDEX(Assumptions_EG!$D$14:$D$22,MATCH(NewFC[[#This Row],[EnergyConvTech]],Assumptions_EG!$B$14:$B$22,0)))</f>
        <v>8848.5269568257354</v>
      </c>
      <c r="J30" s="209">
        <f>I21*(1+INDEX(Assumptions_EG!$D$14:$D$22,MATCH(NewFC[[#This Row],[EnergyConvTech]],Assumptions_EG!$B$14:$B$22,0)))</f>
        <v>8848.5269568257354</v>
      </c>
      <c r="K30" s="209">
        <f>J21*(1+INDEX(Assumptions_EG!$D$14:$D$22,MATCH(NewFC[[#This Row],[EnergyConvTech]],Assumptions_EG!$B$14:$B$22,0)))</f>
        <v>8848.5269568257354</v>
      </c>
      <c r="L30" s="209">
        <f>K21*(1+INDEX(Assumptions_EG!$D$14:$D$22,MATCH(NewFC[[#This Row],[EnergyConvTech]],Assumptions_EG!$B$14:$B$22,0)))</f>
        <v>8848.5269568257354</v>
      </c>
      <c r="M30" s="209">
        <f>L21*(1+INDEX(Assumptions_EG!$D$14:$D$22,MATCH(NewFC[[#This Row],[EnergyConvTech]],Assumptions_EG!$B$14:$B$22,0)))</f>
        <v>8848.5269568257354</v>
      </c>
    </row>
    <row r="31" spans="1:19" x14ac:dyDescent="0.35">
      <c r="A31" s="376">
        <v>2024</v>
      </c>
      <c r="B31" s="304" t="s">
        <v>1614</v>
      </c>
      <c r="C31" s="209"/>
      <c r="D31" s="385"/>
      <c r="E31" s="209"/>
      <c r="F31" s="209">
        <f>E22*(1+INDEX(Assumptions_EG!$D$14:$D$22,MATCH(NewFC[[#This Row],[EnergyConvTech]],Assumptions_EG!$B$14:$B$22,0)))</f>
        <v>6454.3984013550207</v>
      </c>
      <c r="G31" s="209">
        <f>F22*(1+INDEX(Assumptions_EG!$D$14:$D$22,MATCH(NewFC[[#This Row],[EnergyConvTech]],Assumptions_EG!$B$14:$B$22,0)))</f>
        <v>6454.3984013550207</v>
      </c>
      <c r="H31" s="209">
        <f>G22*(1+INDEX(Assumptions_EG!$D$14:$D$22,MATCH(NewFC[[#This Row],[EnergyConvTech]],Assumptions_EG!$B$14:$B$22,0)))</f>
        <v>6454.3984013550207</v>
      </c>
      <c r="I31" s="209">
        <f>H22*(1+INDEX(Assumptions_EG!$D$14:$D$22,MATCH(NewFC[[#This Row],[EnergyConvTech]],Assumptions_EG!$B$14:$B$22,0)))</f>
        <v>6454.3984013550207</v>
      </c>
      <c r="J31" s="209">
        <f>I22*(1+INDEX(Assumptions_EG!$D$14:$D$22,MATCH(NewFC[[#This Row],[EnergyConvTech]],Assumptions_EG!$B$14:$B$22,0)))</f>
        <v>6454.3984013550207</v>
      </c>
      <c r="K31" s="209">
        <f>J22*(1+INDEX(Assumptions_EG!$D$14:$D$22,MATCH(NewFC[[#This Row],[EnergyConvTech]],Assumptions_EG!$B$14:$B$22,0)))</f>
        <v>6454.3984013550207</v>
      </c>
      <c r="L31" s="209">
        <f>K22*(1+INDEX(Assumptions_EG!$D$14:$D$22,MATCH(NewFC[[#This Row],[EnergyConvTech]],Assumptions_EG!$B$14:$B$22,0)))</f>
        <v>6454.3984013550207</v>
      </c>
      <c r="M31" s="209">
        <f>L22*(1+INDEX(Assumptions_EG!$D$14:$D$22,MATCH(NewFC[[#This Row],[EnergyConvTech]],Assumptions_EG!$B$14:$B$22,0)))</f>
        <v>6454.3984013550207</v>
      </c>
    </row>
    <row r="32" spans="1:19" x14ac:dyDescent="0.35">
      <c r="A32" s="376">
        <v>2024</v>
      </c>
      <c r="B32" s="304" t="s">
        <v>1604</v>
      </c>
      <c r="C32" s="209"/>
      <c r="D32" s="209"/>
      <c r="E32" s="209"/>
      <c r="F32" s="209">
        <f>E23*(1+INDEX(Assumptions_EG!$D$14:$D$22,MATCH(NewFC[[#This Row],[EnergyConvTech]],Assumptions_EG!$B$14:$B$22,0)))</f>
        <v>10872.741503138899</v>
      </c>
      <c r="G32" s="209">
        <f>F23*(1+INDEX(Assumptions_EG!$D$14:$D$22,MATCH(NewFC[[#This Row],[EnergyConvTech]],Assumptions_EG!$B$14:$B$22,0)))</f>
        <v>10872.741503138899</v>
      </c>
      <c r="H32" s="209">
        <f>G23*(1+INDEX(Assumptions_EG!$D$14:$D$22,MATCH(NewFC[[#This Row],[EnergyConvTech]],Assumptions_EG!$B$14:$B$22,0)))</f>
        <v>10872.741503138899</v>
      </c>
      <c r="I32" s="209">
        <f>H23*(1+INDEX(Assumptions_EG!$D$14:$D$22,MATCH(NewFC[[#This Row],[EnergyConvTech]],Assumptions_EG!$B$14:$B$22,0)))</f>
        <v>10872.741503138899</v>
      </c>
      <c r="J32" s="209">
        <f>I23*(1+INDEX(Assumptions_EG!$D$14:$D$22,MATCH(NewFC[[#This Row],[EnergyConvTech]],Assumptions_EG!$B$14:$B$22,0)))</f>
        <v>10872.741503138899</v>
      </c>
      <c r="K32" s="209">
        <f>J23*(1+INDEX(Assumptions_EG!$D$14:$D$22,MATCH(NewFC[[#This Row],[EnergyConvTech]],Assumptions_EG!$B$14:$B$22,0)))</f>
        <v>10872.741503138899</v>
      </c>
      <c r="L32" s="209">
        <f>K23*(1+INDEX(Assumptions_EG!$D$14:$D$22,MATCH(NewFC[[#This Row],[EnergyConvTech]],Assumptions_EG!$B$14:$B$22,0)))</f>
        <v>10872.741503138899</v>
      </c>
      <c r="M32" s="209">
        <f>L23*(1+INDEX(Assumptions_EG!$D$14:$D$22,MATCH(NewFC[[#This Row],[EnergyConvTech]],Assumptions_EG!$B$14:$B$22,0)))</f>
        <v>10872.741503138899</v>
      </c>
    </row>
    <row r="33" spans="1:13" x14ac:dyDescent="0.35">
      <c r="A33" s="376">
        <v>2024</v>
      </c>
      <c r="B33" s="304" t="s">
        <v>1615</v>
      </c>
      <c r="C33" s="209"/>
      <c r="D33" s="209"/>
      <c r="E33" s="209"/>
      <c r="F33" s="209">
        <f>E24*(1+INDEX(Assumptions_EG!$D$14:$D$22,MATCH(NewFC[[#This Row],[EnergyConvTech]],Assumptions_EG!$B$14:$B$22,0)))</f>
        <v>20148.813739673951</v>
      </c>
      <c r="G33" s="209">
        <f>F24*(1+INDEX(Assumptions_EG!$D$14:$D$22,MATCH(NewFC[[#This Row],[EnergyConvTech]],Assumptions_EG!$B$14:$B$22,0)))</f>
        <v>20148.813739673951</v>
      </c>
      <c r="H33" s="209">
        <f>G24*(1+INDEX(Assumptions_EG!$D$14:$D$22,MATCH(NewFC[[#This Row],[EnergyConvTech]],Assumptions_EG!$B$14:$B$22,0)))</f>
        <v>20148.813739673951</v>
      </c>
      <c r="I33" s="209">
        <f>H24*(1+INDEX(Assumptions_EG!$D$14:$D$22,MATCH(NewFC[[#This Row],[EnergyConvTech]],Assumptions_EG!$B$14:$B$22,0)))</f>
        <v>20148.813739673951</v>
      </c>
      <c r="J33" s="209">
        <f>I24*(1+INDEX(Assumptions_EG!$D$14:$D$22,MATCH(NewFC[[#This Row],[EnergyConvTech]],Assumptions_EG!$B$14:$B$22,0)))</f>
        <v>20148.813739673951</v>
      </c>
      <c r="K33" s="209">
        <f>J24*(1+INDEX(Assumptions_EG!$D$14:$D$22,MATCH(NewFC[[#This Row],[EnergyConvTech]],Assumptions_EG!$B$14:$B$22,0)))</f>
        <v>20148.813739673951</v>
      </c>
      <c r="L33" s="209">
        <f>K24*(1+INDEX(Assumptions_EG!$D$14:$D$22,MATCH(NewFC[[#This Row],[EnergyConvTech]],Assumptions_EG!$B$14:$B$22,0)))</f>
        <v>20148.813739673951</v>
      </c>
      <c r="M33" s="209">
        <f>L24*(1+INDEX(Assumptions_EG!$D$14:$D$22,MATCH(NewFC[[#This Row],[EnergyConvTech]],Assumptions_EG!$B$14:$B$22,0)))</f>
        <v>20148.813739673951</v>
      </c>
    </row>
    <row r="34" spans="1:13" x14ac:dyDescent="0.35">
      <c r="A34" s="376">
        <v>2024</v>
      </c>
      <c r="B34" s="304" t="s">
        <v>1603</v>
      </c>
      <c r="C34" s="209"/>
      <c r="D34" s="209"/>
      <c r="E34" s="209"/>
      <c r="F34" s="209">
        <f>E25*(1+INDEX(Assumptions_EG!$D$14:$D$22,MATCH(NewFC[[#This Row],[EnergyConvTech]],Assumptions_EG!$B$14:$B$22,0)))</f>
        <v>6101.463203368502</v>
      </c>
      <c r="G34" s="209">
        <f>F25*(1+INDEX(Assumptions_EG!$D$14:$D$22,MATCH(NewFC[[#This Row],[EnergyConvTech]],Assumptions_EG!$B$14:$B$22,0)))</f>
        <v>6101.463203368502</v>
      </c>
      <c r="H34" s="209">
        <f>G25*(1+INDEX(Assumptions_EG!$D$14:$D$22,MATCH(NewFC[[#This Row],[EnergyConvTech]],Assumptions_EG!$B$14:$B$22,0)))</f>
        <v>6101.463203368502</v>
      </c>
      <c r="I34" s="209">
        <f>H25*(1+INDEX(Assumptions_EG!$D$14:$D$22,MATCH(NewFC[[#This Row],[EnergyConvTech]],Assumptions_EG!$B$14:$B$22,0)))</f>
        <v>6101.463203368502</v>
      </c>
      <c r="J34" s="209">
        <f>I25*(1+INDEX(Assumptions_EG!$D$14:$D$22,MATCH(NewFC[[#This Row],[EnergyConvTech]],Assumptions_EG!$B$14:$B$22,0)))</f>
        <v>6101.463203368502</v>
      </c>
      <c r="K34" s="209">
        <f>J25*(1+INDEX(Assumptions_EG!$D$14:$D$22,MATCH(NewFC[[#This Row],[EnergyConvTech]],Assumptions_EG!$B$14:$B$22,0)))</f>
        <v>6101.463203368502</v>
      </c>
      <c r="L34" s="209">
        <f>K25*(1+INDEX(Assumptions_EG!$D$14:$D$22,MATCH(NewFC[[#This Row],[EnergyConvTech]],Assumptions_EG!$B$14:$B$22,0)))</f>
        <v>6101.463203368502</v>
      </c>
      <c r="M34" s="209">
        <f>L25*(1+INDEX(Assumptions_EG!$D$14:$D$22,MATCH(NewFC[[#This Row],[EnergyConvTech]],Assumptions_EG!$B$14:$B$22,0)))</f>
        <v>6101.463203368502</v>
      </c>
    </row>
    <row r="35" spans="1:13" x14ac:dyDescent="0.35">
      <c r="A35" s="376">
        <v>2024</v>
      </c>
      <c r="B35" s="304" t="s">
        <v>1605</v>
      </c>
      <c r="C35" s="209"/>
      <c r="D35" s="209"/>
      <c r="E35" s="209"/>
      <c r="F35" s="209">
        <f>E26*(1+INDEX(Assumptions_EG!$D$14:$D$22,MATCH(NewFC[[#This Row],[EnergyConvTech]],Assumptions_EG!$B$14:$B$22,0)))</f>
        <v>10426.102375692073</v>
      </c>
      <c r="G35" s="209">
        <f>F26*(1+INDEX(Assumptions_EG!$D$14:$D$22,MATCH(NewFC[[#This Row],[EnergyConvTech]],Assumptions_EG!$B$14:$B$22,0)))</f>
        <v>10426.102375692073</v>
      </c>
      <c r="H35" s="209">
        <f>G26*(1+INDEX(Assumptions_EG!$D$14:$D$22,MATCH(NewFC[[#This Row],[EnergyConvTech]],Assumptions_EG!$B$14:$B$22,0)))</f>
        <v>10426.102375692073</v>
      </c>
      <c r="I35" s="209">
        <f>H26*(1+INDEX(Assumptions_EG!$D$14:$D$22,MATCH(NewFC[[#This Row],[EnergyConvTech]],Assumptions_EG!$B$14:$B$22,0)))</f>
        <v>10426.102375692073</v>
      </c>
      <c r="J35" s="209">
        <f>I26*(1+INDEX(Assumptions_EG!$D$14:$D$22,MATCH(NewFC[[#This Row],[EnergyConvTech]],Assumptions_EG!$B$14:$B$22,0)))</f>
        <v>10426.102375692073</v>
      </c>
      <c r="K35" s="209">
        <f>J26*(1+INDEX(Assumptions_EG!$D$14:$D$22,MATCH(NewFC[[#This Row],[EnergyConvTech]],Assumptions_EG!$B$14:$B$22,0)))</f>
        <v>10426.102375692073</v>
      </c>
      <c r="L35" s="209">
        <f>K26*(1+INDEX(Assumptions_EG!$D$14:$D$22,MATCH(NewFC[[#This Row],[EnergyConvTech]],Assumptions_EG!$B$14:$B$22,0)))</f>
        <v>10426.102375692073</v>
      </c>
      <c r="M35" s="209">
        <f>L26*(1+INDEX(Assumptions_EG!$D$14:$D$22,MATCH(NewFC[[#This Row],[EnergyConvTech]],Assumptions_EG!$B$14:$B$22,0)))</f>
        <v>10426.102375692073</v>
      </c>
    </row>
    <row r="36" spans="1:13" x14ac:dyDescent="0.35">
      <c r="A36" s="376">
        <v>2024</v>
      </c>
      <c r="B36" s="304" t="s">
        <v>1636</v>
      </c>
      <c r="C36" s="209"/>
      <c r="D36" s="209"/>
      <c r="E36" s="209"/>
      <c r="F36" s="209">
        <f>E27*(1+INDEX(Assumptions_EG!$D$14:$D$22,MATCH(NewFC[[#This Row],[EnergyConvTech]],Assumptions_EG!$B$14:$B$22,0)))</f>
        <v>3592.5747097887579</v>
      </c>
      <c r="G36" s="209">
        <f>F27*(1+INDEX(Assumptions_EG!$D$14:$D$22,MATCH(NewFC[[#This Row],[EnergyConvTech]],Assumptions_EG!$B$14:$B$22,0)))</f>
        <v>3592.5747097887579</v>
      </c>
      <c r="H36" s="209">
        <f>G27*(1+INDEX(Assumptions_EG!$D$14:$D$22,MATCH(NewFC[[#This Row],[EnergyConvTech]],Assumptions_EG!$B$14:$B$22,0)))</f>
        <v>3592.5747097887579</v>
      </c>
      <c r="I36" s="209">
        <f>H27*(1+INDEX(Assumptions_EG!$D$14:$D$22,MATCH(NewFC[[#This Row],[EnergyConvTech]],Assumptions_EG!$B$14:$B$22,0)))</f>
        <v>3592.5747097887579</v>
      </c>
      <c r="J36" s="209">
        <f>I27*(1+INDEX(Assumptions_EG!$D$14:$D$22,MATCH(NewFC[[#This Row],[EnergyConvTech]],Assumptions_EG!$B$14:$B$22,0)))</f>
        <v>3592.5747097887579</v>
      </c>
      <c r="K36" s="209">
        <f>J27*(1+INDEX(Assumptions_EG!$D$14:$D$22,MATCH(NewFC[[#This Row],[EnergyConvTech]],Assumptions_EG!$B$14:$B$22,0)))</f>
        <v>3592.5747097887579</v>
      </c>
      <c r="L36" s="209">
        <f>K27*(1+INDEX(Assumptions_EG!$D$14:$D$22,MATCH(NewFC[[#This Row],[EnergyConvTech]],Assumptions_EG!$B$14:$B$22,0)))</f>
        <v>3592.5747097887579</v>
      </c>
      <c r="M36" s="209">
        <f>L27*(1+INDEX(Assumptions_EG!$D$14:$D$22,MATCH(NewFC[[#This Row],[EnergyConvTech]],Assumptions_EG!$B$14:$B$22,0)))</f>
        <v>3592.5747097887579</v>
      </c>
    </row>
    <row r="37" spans="1:13" x14ac:dyDescent="0.35">
      <c r="A37" s="376">
        <v>2024</v>
      </c>
      <c r="B37" s="304" t="s">
        <v>1606</v>
      </c>
      <c r="C37" s="209"/>
      <c r="D37" s="209"/>
      <c r="E37" s="209"/>
      <c r="F37" s="209">
        <f>E28*(1+INDEX(Assumptions_EG!$D$14:$D$22,MATCH(NewFC[[#This Row],[EnergyConvTech]],Assumptions_EG!$B$14:$B$22,0)))</f>
        <v>5993.361184792012</v>
      </c>
      <c r="G37" s="209">
        <f>F28*(1+INDEX(Assumptions_EG!$D$14:$D$22,MATCH(NewFC[[#This Row],[EnergyConvTech]],Assumptions_EG!$B$14:$B$22,0)))</f>
        <v>5993.361184792012</v>
      </c>
      <c r="H37" s="209">
        <f>G28*(1+INDEX(Assumptions_EG!$D$14:$D$22,MATCH(NewFC[[#This Row],[EnergyConvTech]],Assumptions_EG!$B$14:$B$22,0)))</f>
        <v>5993.361184792012</v>
      </c>
      <c r="I37" s="209">
        <f>H28*(1+INDEX(Assumptions_EG!$D$14:$D$22,MATCH(NewFC[[#This Row],[EnergyConvTech]],Assumptions_EG!$B$14:$B$22,0)))</f>
        <v>5993.361184792012</v>
      </c>
      <c r="J37" s="209">
        <f>I28*(1+INDEX(Assumptions_EG!$D$14:$D$22,MATCH(NewFC[[#This Row],[EnergyConvTech]],Assumptions_EG!$B$14:$B$22,0)))</f>
        <v>5993.361184792012</v>
      </c>
      <c r="K37" s="209">
        <f>J28*(1+INDEX(Assumptions_EG!$D$14:$D$22,MATCH(NewFC[[#This Row],[EnergyConvTech]],Assumptions_EG!$B$14:$B$22,0)))</f>
        <v>5993.361184792012</v>
      </c>
      <c r="L37" s="209">
        <f>K28*(1+INDEX(Assumptions_EG!$D$14:$D$22,MATCH(NewFC[[#This Row],[EnergyConvTech]],Assumptions_EG!$B$14:$B$22,0)))</f>
        <v>5993.361184792012</v>
      </c>
      <c r="M37" s="209">
        <f>L28*(1+INDEX(Assumptions_EG!$D$14:$D$22,MATCH(NewFC[[#This Row],[EnergyConvTech]],Assumptions_EG!$B$14:$B$22,0)))</f>
        <v>5993.361184792012</v>
      </c>
    </row>
    <row r="38" spans="1:13" x14ac:dyDescent="0.35">
      <c r="A38" s="376">
        <v>2025</v>
      </c>
      <c r="B38" s="304" t="s">
        <v>1612</v>
      </c>
      <c r="C38" s="209"/>
      <c r="D38" s="385"/>
      <c r="E38" s="209"/>
      <c r="F38" s="385"/>
      <c r="G38" s="209">
        <f>F29*(1+INDEX(Assumptions_EG!$D$14:$D$22,MATCH(NewFC[[#This Row],[EnergyConvTech]],Assumptions_EG!$B$14:$B$22,0)))</f>
        <v>9928.6887826901675</v>
      </c>
      <c r="H38" s="209">
        <f>G29*(1+INDEX(Assumptions_EG!$D$14:$D$22,MATCH(NewFC[[#This Row],[EnergyConvTech]],Assumptions_EG!$B$14:$B$22,0)))</f>
        <v>9928.6887826901675</v>
      </c>
      <c r="I38" s="209">
        <f>H29*(1+INDEX(Assumptions_EG!$D$14:$D$22,MATCH(NewFC[[#This Row],[EnergyConvTech]],Assumptions_EG!$B$14:$B$22,0)))</f>
        <v>9928.6887826901675</v>
      </c>
      <c r="J38" s="209">
        <f>I29*(1+INDEX(Assumptions_EG!$D$14:$D$22,MATCH(NewFC[[#This Row],[EnergyConvTech]],Assumptions_EG!$B$14:$B$22,0)))</f>
        <v>9928.6887826901675</v>
      </c>
      <c r="K38" s="209">
        <f>J29*(1+INDEX(Assumptions_EG!$D$14:$D$22,MATCH(NewFC[[#This Row],[EnergyConvTech]],Assumptions_EG!$B$14:$B$22,0)))</f>
        <v>9928.6887826901675</v>
      </c>
      <c r="L38" s="209">
        <f>K29*(1+INDEX(Assumptions_EG!$D$14:$D$22,MATCH(NewFC[[#This Row],[EnergyConvTech]],Assumptions_EG!$B$14:$B$22,0)))</f>
        <v>9928.6887826901675</v>
      </c>
      <c r="M38" s="209">
        <f>L29*(1+INDEX(Assumptions_EG!$D$14:$D$22,MATCH(NewFC[[#This Row],[EnergyConvTech]],Assumptions_EG!$B$14:$B$22,0)))</f>
        <v>9928.6887826901675</v>
      </c>
    </row>
    <row r="39" spans="1:13" x14ac:dyDescent="0.35">
      <c r="A39" s="376">
        <v>2025</v>
      </c>
      <c r="B39" s="304" t="s">
        <v>1613</v>
      </c>
      <c r="C39" s="209"/>
      <c r="D39" s="385"/>
      <c r="E39" s="209"/>
      <c r="F39" s="385"/>
      <c r="G39" s="209">
        <f>F30*(1+INDEX(Assumptions_EG!$D$14:$D$22,MATCH(NewFC[[#This Row],[EnergyConvTech]],Assumptions_EG!$B$14:$B$22,0)))</f>
        <v>8848.5269568257354</v>
      </c>
      <c r="H39" s="209">
        <f>G30*(1+INDEX(Assumptions_EG!$D$14:$D$22,MATCH(NewFC[[#This Row],[EnergyConvTech]],Assumptions_EG!$B$14:$B$22,0)))</f>
        <v>8848.5269568257354</v>
      </c>
      <c r="I39" s="209">
        <f>H30*(1+INDEX(Assumptions_EG!$D$14:$D$22,MATCH(NewFC[[#This Row],[EnergyConvTech]],Assumptions_EG!$B$14:$B$22,0)))</f>
        <v>8848.5269568257354</v>
      </c>
      <c r="J39" s="209">
        <f>I30*(1+INDEX(Assumptions_EG!$D$14:$D$22,MATCH(NewFC[[#This Row],[EnergyConvTech]],Assumptions_EG!$B$14:$B$22,0)))</f>
        <v>8848.5269568257354</v>
      </c>
      <c r="K39" s="209">
        <f>J30*(1+INDEX(Assumptions_EG!$D$14:$D$22,MATCH(NewFC[[#This Row],[EnergyConvTech]],Assumptions_EG!$B$14:$B$22,0)))</f>
        <v>8848.5269568257354</v>
      </c>
      <c r="L39" s="209">
        <f>K30*(1+INDEX(Assumptions_EG!$D$14:$D$22,MATCH(NewFC[[#This Row],[EnergyConvTech]],Assumptions_EG!$B$14:$B$22,0)))</f>
        <v>8848.5269568257354</v>
      </c>
      <c r="M39" s="209">
        <f>L30*(1+INDEX(Assumptions_EG!$D$14:$D$22,MATCH(NewFC[[#This Row],[EnergyConvTech]],Assumptions_EG!$B$14:$B$22,0)))</f>
        <v>8848.5269568257354</v>
      </c>
    </row>
    <row r="40" spans="1:13" x14ac:dyDescent="0.35">
      <c r="A40" s="376">
        <v>2025</v>
      </c>
      <c r="B40" s="304" t="s">
        <v>1614</v>
      </c>
      <c r="C40" s="209"/>
      <c r="D40" s="385"/>
      <c r="E40" s="209"/>
      <c r="F40" s="385"/>
      <c r="G40" s="209">
        <f>F31*(1+INDEX(Assumptions_EG!$D$14:$D$22,MATCH(NewFC[[#This Row],[EnergyConvTech]],Assumptions_EG!$B$14:$B$22,0)))</f>
        <v>6454.3984013550207</v>
      </c>
      <c r="H40" s="209">
        <f>G31*(1+INDEX(Assumptions_EG!$D$14:$D$22,MATCH(NewFC[[#This Row],[EnergyConvTech]],Assumptions_EG!$B$14:$B$22,0)))</f>
        <v>6454.3984013550207</v>
      </c>
      <c r="I40" s="209">
        <f>H31*(1+INDEX(Assumptions_EG!$D$14:$D$22,MATCH(NewFC[[#This Row],[EnergyConvTech]],Assumptions_EG!$B$14:$B$22,0)))</f>
        <v>6454.3984013550207</v>
      </c>
      <c r="J40" s="209">
        <f>I31*(1+INDEX(Assumptions_EG!$D$14:$D$22,MATCH(NewFC[[#This Row],[EnergyConvTech]],Assumptions_EG!$B$14:$B$22,0)))</f>
        <v>6454.3984013550207</v>
      </c>
      <c r="K40" s="209">
        <f>J31*(1+INDEX(Assumptions_EG!$D$14:$D$22,MATCH(NewFC[[#This Row],[EnergyConvTech]],Assumptions_EG!$B$14:$B$22,0)))</f>
        <v>6454.3984013550207</v>
      </c>
      <c r="L40" s="209">
        <f>K31*(1+INDEX(Assumptions_EG!$D$14:$D$22,MATCH(NewFC[[#This Row],[EnergyConvTech]],Assumptions_EG!$B$14:$B$22,0)))</f>
        <v>6454.3984013550207</v>
      </c>
      <c r="M40" s="209">
        <f>L31*(1+INDEX(Assumptions_EG!$D$14:$D$22,MATCH(NewFC[[#This Row],[EnergyConvTech]],Assumptions_EG!$B$14:$B$22,0)))</f>
        <v>6454.3984013550207</v>
      </c>
    </row>
    <row r="41" spans="1:13" x14ac:dyDescent="0.35">
      <c r="A41" s="376">
        <v>2025</v>
      </c>
      <c r="B41" s="304" t="s">
        <v>1604</v>
      </c>
      <c r="C41" s="209"/>
      <c r="D41" s="209"/>
      <c r="E41" s="209"/>
      <c r="F41" s="209"/>
      <c r="G41" s="209">
        <f>F32*(1+INDEX(Assumptions_EG!$D$14:$D$22,MATCH(NewFC[[#This Row],[EnergyConvTech]],Assumptions_EG!$B$14:$B$22,0)))</f>
        <v>10872.741503138899</v>
      </c>
      <c r="H41" s="209">
        <f>G32*(1+INDEX(Assumptions_EG!$D$14:$D$22,MATCH(NewFC[[#This Row],[EnergyConvTech]],Assumptions_EG!$B$14:$B$22,0)))</f>
        <v>10872.741503138899</v>
      </c>
      <c r="I41" s="209">
        <f>H32*(1+INDEX(Assumptions_EG!$D$14:$D$22,MATCH(NewFC[[#This Row],[EnergyConvTech]],Assumptions_EG!$B$14:$B$22,0)))</f>
        <v>10872.741503138899</v>
      </c>
      <c r="J41" s="209">
        <f>I32*(1+INDEX(Assumptions_EG!$D$14:$D$22,MATCH(NewFC[[#This Row],[EnergyConvTech]],Assumptions_EG!$B$14:$B$22,0)))</f>
        <v>10872.741503138899</v>
      </c>
      <c r="K41" s="209">
        <f>J32*(1+INDEX(Assumptions_EG!$D$14:$D$22,MATCH(NewFC[[#This Row],[EnergyConvTech]],Assumptions_EG!$B$14:$B$22,0)))</f>
        <v>10872.741503138899</v>
      </c>
      <c r="L41" s="209">
        <f>K32*(1+INDEX(Assumptions_EG!$D$14:$D$22,MATCH(NewFC[[#This Row],[EnergyConvTech]],Assumptions_EG!$B$14:$B$22,0)))</f>
        <v>10872.741503138899</v>
      </c>
      <c r="M41" s="209">
        <f>L32*(1+INDEX(Assumptions_EG!$D$14:$D$22,MATCH(NewFC[[#This Row],[EnergyConvTech]],Assumptions_EG!$B$14:$B$22,0)))</f>
        <v>10872.741503138899</v>
      </c>
    </row>
    <row r="42" spans="1:13" x14ac:dyDescent="0.35">
      <c r="A42" s="376">
        <v>2025</v>
      </c>
      <c r="B42" s="304" t="s">
        <v>1615</v>
      </c>
      <c r="C42" s="209"/>
      <c r="D42" s="209"/>
      <c r="E42" s="209"/>
      <c r="F42" s="209"/>
      <c r="G42" s="209">
        <f>F33*(1+INDEX(Assumptions_EG!$D$14:$D$22,MATCH(NewFC[[#This Row],[EnergyConvTech]],Assumptions_EG!$B$14:$B$22,0)))</f>
        <v>20148.813739673951</v>
      </c>
      <c r="H42" s="209">
        <f>G33*(1+INDEX(Assumptions_EG!$D$14:$D$22,MATCH(NewFC[[#This Row],[EnergyConvTech]],Assumptions_EG!$B$14:$B$22,0)))</f>
        <v>20148.813739673951</v>
      </c>
      <c r="I42" s="209">
        <f>H33*(1+INDEX(Assumptions_EG!$D$14:$D$22,MATCH(NewFC[[#This Row],[EnergyConvTech]],Assumptions_EG!$B$14:$B$22,0)))</f>
        <v>20148.813739673951</v>
      </c>
      <c r="J42" s="209">
        <f>I33*(1+INDEX(Assumptions_EG!$D$14:$D$22,MATCH(NewFC[[#This Row],[EnergyConvTech]],Assumptions_EG!$B$14:$B$22,0)))</f>
        <v>20148.813739673951</v>
      </c>
      <c r="K42" s="209">
        <f>J33*(1+INDEX(Assumptions_EG!$D$14:$D$22,MATCH(NewFC[[#This Row],[EnergyConvTech]],Assumptions_EG!$B$14:$B$22,0)))</f>
        <v>20148.813739673951</v>
      </c>
      <c r="L42" s="209">
        <f>K33*(1+INDEX(Assumptions_EG!$D$14:$D$22,MATCH(NewFC[[#This Row],[EnergyConvTech]],Assumptions_EG!$B$14:$B$22,0)))</f>
        <v>20148.813739673951</v>
      </c>
      <c r="M42" s="209">
        <f>L33*(1+INDEX(Assumptions_EG!$D$14:$D$22,MATCH(NewFC[[#This Row],[EnergyConvTech]],Assumptions_EG!$B$14:$B$22,0)))</f>
        <v>20148.813739673951</v>
      </c>
    </row>
    <row r="43" spans="1:13" x14ac:dyDescent="0.35">
      <c r="A43" s="376">
        <v>2025</v>
      </c>
      <c r="B43" s="304" t="s">
        <v>1603</v>
      </c>
      <c r="C43" s="209"/>
      <c r="D43" s="209"/>
      <c r="E43" s="209"/>
      <c r="F43" s="209"/>
      <c r="G43" s="209">
        <f>F34*(1+INDEX(Assumptions_EG!$D$14:$D$22,MATCH(NewFC[[#This Row],[EnergyConvTech]],Assumptions_EG!$B$14:$B$22,0)))</f>
        <v>6101.463203368502</v>
      </c>
      <c r="H43" s="209">
        <f>G34*(1+INDEX(Assumptions_EG!$D$14:$D$22,MATCH(NewFC[[#This Row],[EnergyConvTech]],Assumptions_EG!$B$14:$B$22,0)))</f>
        <v>6101.463203368502</v>
      </c>
      <c r="I43" s="209">
        <f>H34*(1+INDEX(Assumptions_EG!$D$14:$D$22,MATCH(NewFC[[#This Row],[EnergyConvTech]],Assumptions_EG!$B$14:$B$22,0)))</f>
        <v>6101.463203368502</v>
      </c>
      <c r="J43" s="209">
        <f>I34*(1+INDEX(Assumptions_EG!$D$14:$D$22,MATCH(NewFC[[#This Row],[EnergyConvTech]],Assumptions_EG!$B$14:$B$22,0)))</f>
        <v>6101.463203368502</v>
      </c>
      <c r="K43" s="209">
        <f>J34*(1+INDEX(Assumptions_EG!$D$14:$D$22,MATCH(NewFC[[#This Row],[EnergyConvTech]],Assumptions_EG!$B$14:$B$22,0)))</f>
        <v>6101.463203368502</v>
      </c>
      <c r="L43" s="209">
        <f>K34*(1+INDEX(Assumptions_EG!$D$14:$D$22,MATCH(NewFC[[#This Row],[EnergyConvTech]],Assumptions_EG!$B$14:$B$22,0)))</f>
        <v>6101.463203368502</v>
      </c>
      <c r="M43" s="209">
        <f>L34*(1+INDEX(Assumptions_EG!$D$14:$D$22,MATCH(NewFC[[#This Row],[EnergyConvTech]],Assumptions_EG!$B$14:$B$22,0)))</f>
        <v>6101.463203368502</v>
      </c>
    </row>
    <row r="44" spans="1:13" x14ac:dyDescent="0.35">
      <c r="A44" s="376">
        <v>2025</v>
      </c>
      <c r="B44" s="304" t="s">
        <v>1605</v>
      </c>
      <c r="C44" s="209"/>
      <c r="D44" s="209"/>
      <c r="E44" s="209"/>
      <c r="F44" s="209"/>
      <c r="G44" s="209">
        <f>F35*(1+INDEX(Assumptions_EG!$D$14:$D$22,MATCH(NewFC[[#This Row],[EnergyConvTech]],Assumptions_EG!$B$14:$B$22,0)))</f>
        <v>10426.102375692073</v>
      </c>
      <c r="H44" s="209">
        <f>G35*(1+INDEX(Assumptions_EG!$D$14:$D$22,MATCH(NewFC[[#This Row],[EnergyConvTech]],Assumptions_EG!$B$14:$B$22,0)))</f>
        <v>10426.102375692073</v>
      </c>
      <c r="I44" s="209">
        <f>H35*(1+INDEX(Assumptions_EG!$D$14:$D$22,MATCH(NewFC[[#This Row],[EnergyConvTech]],Assumptions_EG!$B$14:$B$22,0)))</f>
        <v>10426.102375692073</v>
      </c>
      <c r="J44" s="209">
        <f>I35*(1+INDEX(Assumptions_EG!$D$14:$D$22,MATCH(NewFC[[#This Row],[EnergyConvTech]],Assumptions_EG!$B$14:$B$22,0)))</f>
        <v>10426.102375692073</v>
      </c>
      <c r="K44" s="209">
        <f>J35*(1+INDEX(Assumptions_EG!$D$14:$D$22,MATCH(NewFC[[#This Row],[EnergyConvTech]],Assumptions_EG!$B$14:$B$22,0)))</f>
        <v>10426.102375692073</v>
      </c>
      <c r="L44" s="209">
        <f>K35*(1+INDEX(Assumptions_EG!$D$14:$D$22,MATCH(NewFC[[#This Row],[EnergyConvTech]],Assumptions_EG!$B$14:$B$22,0)))</f>
        <v>10426.102375692073</v>
      </c>
      <c r="M44" s="209">
        <f>L35*(1+INDEX(Assumptions_EG!$D$14:$D$22,MATCH(NewFC[[#This Row],[EnergyConvTech]],Assumptions_EG!$B$14:$B$22,0)))</f>
        <v>10426.102375692073</v>
      </c>
    </row>
    <row r="45" spans="1:13" x14ac:dyDescent="0.35">
      <c r="A45" s="376">
        <v>2025</v>
      </c>
      <c r="B45" s="304" t="s">
        <v>1636</v>
      </c>
      <c r="C45" s="209"/>
      <c r="D45" s="209"/>
      <c r="E45" s="209"/>
      <c r="F45" s="209"/>
      <c r="G45" s="209">
        <f>F36*(1+INDEX(Assumptions_EG!$D$14:$D$22,MATCH(NewFC[[#This Row],[EnergyConvTech]],Assumptions_EG!$B$14:$B$22,0)))</f>
        <v>3520.7232155929828</v>
      </c>
      <c r="H45" s="209">
        <f>G36*(1+INDEX(Assumptions_EG!$D$14:$D$22,MATCH(NewFC[[#This Row],[EnergyConvTech]],Assumptions_EG!$B$14:$B$22,0)))</f>
        <v>3520.7232155929828</v>
      </c>
      <c r="I45" s="209">
        <f>H36*(1+INDEX(Assumptions_EG!$D$14:$D$22,MATCH(NewFC[[#This Row],[EnergyConvTech]],Assumptions_EG!$B$14:$B$22,0)))</f>
        <v>3520.7232155929828</v>
      </c>
      <c r="J45" s="209">
        <f>I36*(1+INDEX(Assumptions_EG!$D$14:$D$22,MATCH(NewFC[[#This Row],[EnergyConvTech]],Assumptions_EG!$B$14:$B$22,0)))</f>
        <v>3520.7232155929828</v>
      </c>
      <c r="K45" s="209">
        <f>J36*(1+INDEX(Assumptions_EG!$D$14:$D$22,MATCH(NewFC[[#This Row],[EnergyConvTech]],Assumptions_EG!$B$14:$B$22,0)))</f>
        <v>3520.7232155929828</v>
      </c>
      <c r="L45" s="209">
        <f>K36*(1+INDEX(Assumptions_EG!$D$14:$D$22,MATCH(NewFC[[#This Row],[EnergyConvTech]],Assumptions_EG!$B$14:$B$22,0)))</f>
        <v>3520.7232155929828</v>
      </c>
      <c r="M45" s="209">
        <f>L36*(1+INDEX(Assumptions_EG!$D$14:$D$22,MATCH(NewFC[[#This Row],[EnergyConvTech]],Assumptions_EG!$B$14:$B$22,0)))</f>
        <v>3520.7232155929828</v>
      </c>
    </row>
    <row r="46" spans="1:13" x14ac:dyDescent="0.35">
      <c r="A46" s="376">
        <v>2025</v>
      </c>
      <c r="B46" s="304" t="s">
        <v>1606</v>
      </c>
      <c r="C46" s="209"/>
      <c r="D46" s="209"/>
      <c r="E46" s="209"/>
      <c r="F46" s="209"/>
      <c r="G46" s="209">
        <f>F37*(1+INDEX(Assumptions_EG!$D$14:$D$22,MATCH(NewFC[[#This Row],[EnergyConvTech]],Assumptions_EG!$B$14:$B$22,0)))</f>
        <v>5933.4275729440915</v>
      </c>
      <c r="H46" s="209">
        <f>G37*(1+INDEX(Assumptions_EG!$D$14:$D$22,MATCH(NewFC[[#This Row],[EnergyConvTech]],Assumptions_EG!$B$14:$B$22,0)))</f>
        <v>5933.4275729440915</v>
      </c>
      <c r="I46" s="209">
        <f>H37*(1+INDEX(Assumptions_EG!$D$14:$D$22,MATCH(NewFC[[#This Row],[EnergyConvTech]],Assumptions_EG!$B$14:$B$22,0)))</f>
        <v>5933.4275729440915</v>
      </c>
      <c r="J46" s="209">
        <f>I37*(1+INDEX(Assumptions_EG!$D$14:$D$22,MATCH(NewFC[[#This Row],[EnergyConvTech]],Assumptions_EG!$B$14:$B$22,0)))</f>
        <v>5933.4275729440915</v>
      </c>
      <c r="K46" s="209">
        <f>J37*(1+INDEX(Assumptions_EG!$D$14:$D$22,MATCH(NewFC[[#This Row],[EnergyConvTech]],Assumptions_EG!$B$14:$B$22,0)))</f>
        <v>5933.4275729440915</v>
      </c>
      <c r="L46" s="209">
        <f>K37*(1+INDEX(Assumptions_EG!$D$14:$D$22,MATCH(NewFC[[#This Row],[EnergyConvTech]],Assumptions_EG!$B$14:$B$22,0)))</f>
        <v>5933.4275729440915</v>
      </c>
      <c r="M46" s="209">
        <f>L37*(1+INDEX(Assumptions_EG!$D$14:$D$22,MATCH(NewFC[[#This Row],[EnergyConvTech]],Assumptions_EG!$B$14:$B$22,0)))</f>
        <v>5933.4275729440915</v>
      </c>
    </row>
    <row r="47" spans="1:13" x14ac:dyDescent="0.35">
      <c r="A47" s="376">
        <v>2026</v>
      </c>
      <c r="B47" s="304" t="s">
        <v>1612</v>
      </c>
      <c r="C47" s="209"/>
      <c r="D47" s="385"/>
      <c r="E47" s="209"/>
      <c r="F47" s="385"/>
      <c r="G47" s="209"/>
      <c r="H47" s="209">
        <f>G38*(1+INDEX(Assumptions_EG!$D$14:$D$22,MATCH(NewFC[[#This Row],[EnergyConvTech]],Assumptions_EG!$B$14:$B$22,0)))</f>
        <v>9928.6887826901675</v>
      </c>
      <c r="I47" s="209">
        <f>H38*(1+INDEX(Assumptions_EG!$D$14:$D$22,MATCH(NewFC[[#This Row],[EnergyConvTech]],Assumptions_EG!$B$14:$B$22,0)))</f>
        <v>9928.6887826901675</v>
      </c>
      <c r="J47" s="209">
        <f>I38*(1+INDEX(Assumptions_EG!$D$14:$D$22,MATCH(NewFC[[#This Row],[EnergyConvTech]],Assumptions_EG!$B$14:$B$22,0)))</f>
        <v>9928.6887826901675</v>
      </c>
      <c r="K47" s="209">
        <f>J38*(1+INDEX(Assumptions_EG!$D$14:$D$22,MATCH(NewFC[[#This Row],[EnergyConvTech]],Assumptions_EG!$B$14:$B$22,0)))</f>
        <v>9928.6887826901675</v>
      </c>
      <c r="L47" s="209">
        <f>K38*(1+INDEX(Assumptions_EG!$D$14:$D$22,MATCH(NewFC[[#This Row],[EnergyConvTech]],Assumptions_EG!$B$14:$B$22,0)))</f>
        <v>9928.6887826901675</v>
      </c>
      <c r="M47" s="209">
        <f>L38*(1+INDEX(Assumptions_EG!$D$14:$D$22,MATCH(NewFC[[#This Row],[EnergyConvTech]],Assumptions_EG!$B$14:$B$22,0)))</f>
        <v>9928.6887826901675</v>
      </c>
    </row>
    <row r="48" spans="1:13" x14ac:dyDescent="0.35">
      <c r="A48" s="376">
        <v>2026</v>
      </c>
      <c r="B48" s="304" t="s">
        <v>1613</v>
      </c>
      <c r="C48" s="209"/>
      <c r="D48" s="385"/>
      <c r="E48" s="209"/>
      <c r="F48" s="385"/>
      <c r="G48" s="209"/>
      <c r="H48" s="209">
        <f>G39*(1+INDEX(Assumptions_EG!$D$14:$D$22,MATCH(NewFC[[#This Row],[EnergyConvTech]],Assumptions_EG!$B$14:$B$22,0)))</f>
        <v>8848.5269568257354</v>
      </c>
      <c r="I48" s="209">
        <f>H39*(1+INDEX(Assumptions_EG!$D$14:$D$22,MATCH(NewFC[[#This Row],[EnergyConvTech]],Assumptions_EG!$B$14:$B$22,0)))</f>
        <v>8848.5269568257354</v>
      </c>
      <c r="J48" s="209">
        <f>I39*(1+INDEX(Assumptions_EG!$D$14:$D$22,MATCH(NewFC[[#This Row],[EnergyConvTech]],Assumptions_EG!$B$14:$B$22,0)))</f>
        <v>8848.5269568257354</v>
      </c>
      <c r="K48" s="209">
        <f>J39*(1+INDEX(Assumptions_EG!$D$14:$D$22,MATCH(NewFC[[#This Row],[EnergyConvTech]],Assumptions_EG!$B$14:$B$22,0)))</f>
        <v>8848.5269568257354</v>
      </c>
      <c r="L48" s="209">
        <f>K39*(1+INDEX(Assumptions_EG!$D$14:$D$22,MATCH(NewFC[[#This Row],[EnergyConvTech]],Assumptions_EG!$B$14:$B$22,0)))</f>
        <v>8848.5269568257354</v>
      </c>
      <c r="M48" s="209">
        <f>L39*(1+INDEX(Assumptions_EG!$D$14:$D$22,MATCH(NewFC[[#This Row],[EnergyConvTech]],Assumptions_EG!$B$14:$B$22,0)))</f>
        <v>8848.5269568257354</v>
      </c>
    </row>
    <row r="49" spans="1:13" x14ac:dyDescent="0.35">
      <c r="A49" s="376">
        <v>2026</v>
      </c>
      <c r="B49" s="304" t="s">
        <v>1614</v>
      </c>
      <c r="C49" s="209"/>
      <c r="D49" s="385"/>
      <c r="E49" s="209"/>
      <c r="F49" s="385"/>
      <c r="G49" s="209"/>
      <c r="H49" s="209">
        <f>G40*(1+INDEX(Assumptions_EG!$D$14:$D$22,MATCH(NewFC[[#This Row],[EnergyConvTech]],Assumptions_EG!$B$14:$B$22,0)))</f>
        <v>6454.3984013550207</v>
      </c>
      <c r="I49" s="209">
        <f>H40*(1+INDEX(Assumptions_EG!$D$14:$D$22,MATCH(NewFC[[#This Row],[EnergyConvTech]],Assumptions_EG!$B$14:$B$22,0)))</f>
        <v>6454.3984013550207</v>
      </c>
      <c r="J49" s="209">
        <f>I40*(1+INDEX(Assumptions_EG!$D$14:$D$22,MATCH(NewFC[[#This Row],[EnergyConvTech]],Assumptions_EG!$B$14:$B$22,0)))</f>
        <v>6454.3984013550207</v>
      </c>
      <c r="K49" s="209">
        <f>J40*(1+INDEX(Assumptions_EG!$D$14:$D$22,MATCH(NewFC[[#This Row],[EnergyConvTech]],Assumptions_EG!$B$14:$B$22,0)))</f>
        <v>6454.3984013550207</v>
      </c>
      <c r="L49" s="209">
        <f>K40*(1+INDEX(Assumptions_EG!$D$14:$D$22,MATCH(NewFC[[#This Row],[EnergyConvTech]],Assumptions_EG!$B$14:$B$22,0)))</f>
        <v>6454.3984013550207</v>
      </c>
      <c r="M49" s="209">
        <f>L40*(1+INDEX(Assumptions_EG!$D$14:$D$22,MATCH(NewFC[[#This Row],[EnergyConvTech]],Assumptions_EG!$B$14:$B$22,0)))</f>
        <v>6454.3984013550207</v>
      </c>
    </row>
    <row r="50" spans="1:13" x14ac:dyDescent="0.35">
      <c r="A50" s="376">
        <v>2026</v>
      </c>
      <c r="B50" s="304" t="s">
        <v>1604</v>
      </c>
      <c r="C50" s="209"/>
      <c r="D50" s="209"/>
      <c r="E50" s="209"/>
      <c r="F50" s="209"/>
      <c r="G50" s="209"/>
      <c r="H50" s="209">
        <f>G41*(1+INDEX(Assumptions_EG!$D$14:$D$22,MATCH(NewFC[[#This Row],[EnergyConvTech]],Assumptions_EG!$B$14:$B$22,0)))</f>
        <v>10872.741503138899</v>
      </c>
      <c r="I50" s="209">
        <f>H41*(1+INDEX(Assumptions_EG!$D$14:$D$22,MATCH(NewFC[[#This Row],[EnergyConvTech]],Assumptions_EG!$B$14:$B$22,0)))</f>
        <v>10872.741503138899</v>
      </c>
      <c r="J50" s="209">
        <f>I41*(1+INDEX(Assumptions_EG!$D$14:$D$22,MATCH(NewFC[[#This Row],[EnergyConvTech]],Assumptions_EG!$B$14:$B$22,0)))</f>
        <v>10872.741503138899</v>
      </c>
      <c r="K50" s="209">
        <f>J41*(1+INDEX(Assumptions_EG!$D$14:$D$22,MATCH(NewFC[[#This Row],[EnergyConvTech]],Assumptions_EG!$B$14:$B$22,0)))</f>
        <v>10872.741503138899</v>
      </c>
      <c r="L50" s="209">
        <f>K41*(1+INDEX(Assumptions_EG!$D$14:$D$22,MATCH(NewFC[[#This Row],[EnergyConvTech]],Assumptions_EG!$B$14:$B$22,0)))</f>
        <v>10872.741503138899</v>
      </c>
      <c r="M50" s="209">
        <f>L41*(1+INDEX(Assumptions_EG!$D$14:$D$22,MATCH(NewFC[[#This Row],[EnergyConvTech]],Assumptions_EG!$B$14:$B$22,0)))</f>
        <v>10872.741503138899</v>
      </c>
    </row>
    <row r="51" spans="1:13" x14ac:dyDescent="0.35">
      <c r="A51" s="376">
        <v>2026</v>
      </c>
      <c r="B51" s="304" t="s">
        <v>1615</v>
      </c>
      <c r="C51" s="209"/>
      <c r="D51" s="209"/>
      <c r="E51" s="209"/>
      <c r="F51" s="209"/>
      <c r="G51" s="209"/>
      <c r="H51" s="209">
        <f>G42*(1+INDEX(Assumptions_EG!$D$14:$D$22,MATCH(NewFC[[#This Row],[EnergyConvTech]],Assumptions_EG!$B$14:$B$22,0)))</f>
        <v>20148.813739673951</v>
      </c>
      <c r="I51" s="209">
        <f>H42*(1+INDEX(Assumptions_EG!$D$14:$D$22,MATCH(NewFC[[#This Row],[EnergyConvTech]],Assumptions_EG!$B$14:$B$22,0)))</f>
        <v>20148.813739673951</v>
      </c>
      <c r="J51" s="209">
        <f>I42*(1+INDEX(Assumptions_EG!$D$14:$D$22,MATCH(NewFC[[#This Row],[EnergyConvTech]],Assumptions_EG!$B$14:$B$22,0)))</f>
        <v>20148.813739673951</v>
      </c>
      <c r="K51" s="209">
        <f>J42*(1+INDEX(Assumptions_EG!$D$14:$D$22,MATCH(NewFC[[#This Row],[EnergyConvTech]],Assumptions_EG!$B$14:$B$22,0)))</f>
        <v>20148.813739673951</v>
      </c>
      <c r="L51" s="209">
        <f>K42*(1+INDEX(Assumptions_EG!$D$14:$D$22,MATCH(NewFC[[#This Row],[EnergyConvTech]],Assumptions_EG!$B$14:$B$22,0)))</f>
        <v>20148.813739673951</v>
      </c>
      <c r="M51" s="209">
        <f>L42*(1+INDEX(Assumptions_EG!$D$14:$D$22,MATCH(NewFC[[#This Row],[EnergyConvTech]],Assumptions_EG!$B$14:$B$22,0)))</f>
        <v>20148.813739673951</v>
      </c>
    </row>
    <row r="52" spans="1:13" x14ac:dyDescent="0.35">
      <c r="A52" s="376">
        <v>2026</v>
      </c>
      <c r="B52" s="304" t="s">
        <v>1603</v>
      </c>
      <c r="C52" s="209"/>
      <c r="D52" s="209"/>
      <c r="E52" s="209"/>
      <c r="F52" s="209"/>
      <c r="G52" s="209"/>
      <c r="H52" s="209">
        <f>G43*(1+INDEX(Assumptions_EG!$D$14:$D$22,MATCH(NewFC[[#This Row],[EnergyConvTech]],Assumptions_EG!$B$14:$B$22,0)))</f>
        <v>6101.463203368502</v>
      </c>
      <c r="I52" s="209">
        <f>H43*(1+INDEX(Assumptions_EG!$D$14:$D$22,MATCH(NewFC[[#This Row],[EnergyConvTech]],Assumptions_EG!$B$14:$B$22,0)))</f>
        <v>6101.463203368502</v>
      </c>
      <c r="J52" s="209">
        <f>I43*(1+INDEX(Assumptions_EG!$D$14:$D$22,MATCH(NewFC[[#This Row],[EnergyConvTech]],Assumptions_EG!$B$14:$B$22,0)))</f>
        <v>6101.463203368502</v>
      </c>
      <c r="K52" s="209">
        <f>J43*(1+INDEX(Assumptions_EG!$D$14:$D$22,MATCH(NewFC[[#This Row],[EnergyConvTech]],Assumptions_EG!$B$14:$B$22,0)))</f>
        <v>6101.463203368502</v>
      </c>
      <c r="L52" s="209">
        <f>K43*(1+INDEX(Assumptions_EG!$D$14:$D$22,MATCH(NewFC[[#This Row],[EnergyConvTech]],Assumptions_EG!$B$14:$B$22,0)))</f>
        <v>6101.463203368502</v>
      </c>
      <c r="M52" s="209">
        <f>L43*(1+INDEX(Assumptions_EG!$D$14:$D$22,MATCH(NewFC[[#This Row],[EnergyConvTech]],Assumptions_EG!$B$14:$B$22,0)))</f>
        <v>6101.463203368502</v>
      </c>
    </row>
    <row r="53" spans="1:13" x14ac:dyDescent="0.35">
      <c r="A53" s="376">
        <v>2026</v>
      </c>
      <c r="B53" s="304" t="s">
        <v>1605</v>
      </c>
      <c r="C53" s="209"/>
      <c r="D53" s="209"/>
      <c r="E53" s="209"/>
      <c r="F53" s="209"/>
      <c r="G53" s="209"/>
      <c r="H53" s="209">
        <f>G44*(1+INDEX(Assumptions_EG!$D$14:$D$22,MATCH(NewFC[[#This Row],[EnergyConvTech]],Assumptions_EG!$B$14:$B$22,0)))</f>
        <v>10426.102375692073</v>
      </c>
      <c r="I53" s="209">
        <f>H44*(1+INDEX(Assumptions_EG!$D$14:$D$22,MATCH(NewFC[[#This Row],[EnergyConvTech]],Assumptions_EG!$B$14:$B$22,0)))</f>
        <v>10426.102375692073</v>
      </c>
      <c r="J53" s="209">
        <f>I44*(1+INDEX(Assumptions_EG!$D$14:$D$22,MATCH(NewFC[[#This Row],[EnergyConvTech]],Assumptions_EG!$B$14:$B$22,0)))</f>
        <v>10426.102375692073</v>
      </c>
      <c r="K53" s="209">
        <f>J44*(1+INDEX(Assumptions_EG!$D$14:$D$22,MATCH(NewFC[[#This Row],[EnergyConvTech]],Assumptions_EG!$B$14:$B$22,0)))</f>
        <v>10426.102375692073</v>
      </c>
      <c r="L53" s="209">
        <f>K44*(1+INDEX(Assumptions_EG!$D$14:$D$22,MATCH(NewFC[[#This Row],[EnergyConvTech]],Assumptions_EG!$B$14:$B$22,0)))</f>
        <v>10426.102375692073</v>
      </c>
      <c r="M53" s="209">
        <f>L44*(1+INDEX(Assumptions_EG!$D$14:$D$22,MATCH(NewFC[[#This Row],[EnergyConvTech]],Assumptions_EG!$B$14:$B$22,0)))</f>
        <v>10426.102375692073</v>
      </c>
    </row>
    <row r="54" spans="1:13" x14ac:dyDescent="0.35">
      <c r="A54" s="376">
        <v>2026</v>
      </c>
      <c r="B54" s="304" t="s">
        <v>1636</v>
      </c>
      <c r="C54" s="209"/>
      <c r="D54" s="209"/>
      <c r="E54" s="209"/>
      <c r="F54" s="209"/>
      <c r="G54" s="209"/>
      <c r="H54" s="209">
        <f>G45*(1+INDEX(Assumptions_EG!$D$14:$D$22,MATCH(NewFC[[#This Row],[EnergyConvTech]],Assumptions_EG!$B$14:$B$22,0)))</f>
        <v>3450.308751281123</v>
      </c>
      <c r="I54" s="209">
        <f>H45*(1+INDEX(Assumptions_EG!$D$14:$D$22,MATCH(NewFC[[#This Row],[EnergyConvTech]],Assumptions_EG!$B$14:$B$22,0)))</f>
        <v>3450.308751281123</v>
      </c>
      <c r="J54" s="209">
        <f>I45*(1+INDEX(Assumptions_EG!$D$14:$D$22,MATCH(NewFC[[#This Row],[EnergyConvTech]],Assumptions_EG!$B$14:$B$22,0)))</f>
        <v>3450.308751281123</v>
      </c>
      <c r="K54" s="209">
        <f>J45*(1+INDEX(Assumptions_EG!$D$14:$D$22,MATCH(NewFC[[#This Row],[EnergyConvTech]],Assumptions_EG!$B$14:$B$22,0)))</f>
        <v>3450.308751281123</v>
      </c>
      <c r="L54" s="209">
        <f>K45*(1+INDEX(Assumptions_EG!$D$14:$D$22,MATCH(NewFC[[#This Row],[EnergyConvTech]],Assumptions_EG!$B$14:$B$22,0)))</f>
        <v>3450.308751281123</v>
      </c>
      <c r="M54" s="209">
        <f>L45*(1+INDEX(Assumptions_EG!$D$14:$D$22,MATCH(NewFC[[#This Row],[EnergyConvTech]],Assumptions_EG!$B$14:$B$22,0)))</f>
        <v>3450.308751281123</v>
      </c>
    </row>
    <row r="55" spans="1:13" x14ac:dyDescent="0.35">
      <c r="A55" s="376">
        <v>2026</v>
      </c>
      <c r="B55" s="304" t="s">
        <v>1606</v>
      </c>
      <c r="C55" s="209"/>
      <c r="D55" s="209"/>
      <c r="E55" s="209"/>
      <c r="F55" s="209"/>
      <c r="G55" s="209"/>
      <c r="H55" s="209">
        <f>G46*(1+INDEX(Assumptions_EG!$D$14:$D$22,MATCH(NewFC[[#This Row],[EnergyConvTech]],Assumptions_EG!$B$14:$B$22,0)))</f>
        <v>5874.0932972146502</v>
      </c>
      <c r="I55" s="209">
        <f>H46*(1+INDEX(Assumptions_EG!$D$14:$D$22,MATCH(NewFC[[#This Row],[EnergyConvTech]],Assumptions_EG!$B$14:$B$22,0)))</f>
        <v>5874.0932972146502</v>
      </c>
      <c r="J55" s="209">
        <f>I46*(1+INDEX(Assumptions_EG!$D$14:$D$22,MATCH(NewFC[[#This Row],[EnergyConvTech]],Assumptions_EG!$B$14:$B$22,0)))</f>
        <v>5874.0932972146502</v>
      </c>
      <c r="K55" s="209">
        <f>J46*(1+INDEX(Assumptions_EG!$D$14:$D$22,MATCH(NewFC[[#This Row],[EnergyConvTech]],Assumptions_EG!$B$14:$B$22,0)))</f>
        <v>5874.0932972146502</v>
      </c>
      <c r="L55" s="209">
        <f>K46*(1+INDEX(Assumptions_EG!$D$14:$D$22,MATCH(NewFC[[#This Row],[EnergyConvTech]],Assumptions_EG!$B$14:$B$22,0)))</f>
        <v>5874.0932972146502</v>
      </c>
      <c r="M55" s="209">
        <f>L46*(1+INDEX(Assumptions_EG!$D$14:$D$22,MATCH(NewFC[[#This Row],[EnergyConvTech]],Assumptions_EG!$B$14:$B$22,0)))</f>
        <v>5874.0932972146502</v>
      </c>
    </row>
    <row r="56" spans="1:13" x14ac:dyDescent="0.35">
      <c r="A56" s="376">
        <v>2027</v>
      </c>
      <c r="B56" s="304" t="s">
        <v>1612</v>
      </c>
      <c r="C56" s="209"/>
      <c r="D56" s="385"/>
      <c r="E56" s="209"/>
      <c r="F56" s="385"/>
      <c r="G56" s="209"/>
      <c r="H56" s="385"/>
      <c r="I56" s="209">
        <f>H47*(1+INDEX(Assumptions_EG!$D$14:$D$22,MATCH(NewFC[[#This Row],[EnergyConvTech]],Assumptions_EG!$B$14:$B$22,0)))</f>
        <v>9928.6887826901675</v>
      </c>
      <c r="J56" s="209">
        <f>I47*(1+INDEX(Assumptions_EG!$D$14:$D$22,MATCH(NewFC[[#This Row],[EnergyConvTech]],Assumptions_EG!$B$14:$B$22,0)))</f>
        <v>9928.6887826901675</v>
      </c>
      <c r="K56" s="209">
        <f>J47*(1+INDEX(Assumptions_EG!$D$14:$D$22,MATCH(NewFC[[#This Row],[EnergyConvTech]],Assumptions_EG!$B$14:$B$22,0)))</f>
        <v>9928.6887826901675</v>
      </c>
      <c r="L56" s="209">
        <f>K47*(1+INDEX(Assumptions_EG!$D$14:$D$22,MATCH(NewFC[[#This Row],[EnergyConvTech]],Assumptions_EG!$B$14:$B$22,0)))</f>
        <v>9928.6887826901675</v>
      </c>
      <c r="M56" s="209">
        <f>L47*(1+INDEX(Assumptions_EG!$D$14:$D$22,MATCH(NewFC[[#This Row],[EnergyConvTech]],Assumptions_EG!$B$14:$B$22,0)))</f>
        <v>9928.6887826901675</v>
      </c>
    </row>
    <row r="57" spans="1:13" x14ac:dyDescent="0.35">
      <c r="A57" s="376">
        <v>2027</v>
      </c>
      <c r="B57" s="304" t="s">
        <v>1613</v>
      </c>
      <c r="C57" s="209"/>
      <c r="D57" s="385"/>
      <c r="E57" s="209"/>
      <c r="F57" s="385"/>
      <c r="G57" s="209"/>
      <c r="H57" s="385"/>
      <c r="I57" s="209">
        <f>H48*(1+INDEX(Assumptions_EG!$D$14:$D$22,MATCH(NewFC[[#This Row],[EnergyConvTech]],Assumptions_EG!$B$14:$B$22,0)))</f>
        <v>8848.5269568257354</v>
      </c>
      <c r="J57" s="209">
        <f>I48*(1+INDEX(Assumptions_EG!$D$14:$D$22,MATCH(NewFC[[#This Row],[EnergyConvTech]],Assumptions_EG!$B$14:$B$22,0)))</f>
        <v>8848.5269568257354</v>
      </c>
      <c r="K57" s="209">
        <f>J48*(1+INDEX(Assumptions_EG!$D$14:$D$22,MATCH(NewFC[[#This Row],[EnergyConvTech]],Assumptions_EG!$B$14:$B$22,0)))</f>
        <v>8848.5269568257354</v>
      </c>
      <c r="L57" s="209">
        <f>K48*(1+INDEX(Assumptions_EG!$D$14:$D$22,MATCH(NewFC[[#This Row],[EnergyConvTech]],Assumptions_EG!$B$14:$B$22,0)))</f>
        <v>8848.5269568257354</v>
      </c>
      <c r="M57" s="209">
        <f>L48*(1+INDEX(Assumptions_EG!$D$14:$D$22,MATCH(NewFC[[#This Row],[EnergyConvTech]],Assumptions_EG!$B$14:$B$22,0)))</f>
        <v>8848.5269568257354</v>
      </c>
    </row>
    <row r="58" spans="1:13" x14ac:dyDescent="0.35">
      <c r="A58" s="376">
        <v>2027</v>
      </c>
      <c r="B58" s="304" t="s">
        <v>1614</v>
      </c>
      <c r="C58" s="209"/>
      <c r="D58" s="385"/>
      <c r="E58" s="209"/>
      <c r="F58" s="385"/>
      <c r="G58" s="209"/>
      <c r="H58" s="385"/>
      <c r="I58" s="209">
        <f>H49*(1+INDEX(Assumptions_EG!$D$14:$D$22,MATCH(NewFC[[#This Row],[EnergyConvTech]],Assumptions_EG!$B$14:$B$22,0)))</f>
        <v>6454.3984013550207</v>
      </c>
      <c r="J58" s="209">
        <f>I49*(1+INDEX(Assumptions_EG!$D$14:$D$22,MATCH(NewFC[[#This Row],[EnergyConvTech]],Assumptions_EG!$B$14:$B$22,0)))</f>
        <v>6454.3984013550207</v>
      </c>
      <c r="K58" s="209">
        <f>J49*(1+INDEX(Assumptions_EG!$D$14:$D$22,MATCH(NewFC[[#This Row],[EnergyConvTech]],Assumptions_EG!$B$14:$B$22,0)))</f>
        <v>6454.3984013550207</v>
      </c>
      <c r="L58" s="209">
        <f>K49*(1+INDEX(Assumptions_EG!$D$14:$D$22,MATCH(NewFC[[#This Row],[EnergyConvTech]],Assumptions_EG!$B$14:$B$22,0)))</f>
        <v>6454.3984013550207</v>
      </c>
      <c r="M58" s="209">
        <f>L49*(1+INDEX(Assumptions_EG!$D$14:$D$22,MATCH(NewFC[[#This Row],[EnergyConvTech]],Assumptions_EG!$B$14:$B$22,0)))</f>
        <v>6454.3984013550207</v>
      </c>
    </row>
    <row r="59" spans="1:13" x14ac:dyDescent="0.35">
      <c r="A59" s="376">
        <v>2027</v>
      </c>
      <c r="B59" s="304" t="s">
        <v>1604</v>
      </c>
      <c r="C59" s="209"/>
      <c r="D59" s="209"/>
      <c r="E59" s="209"/>
      <c r="F59" s="209"/>
      <c r="G59" s="209"/>
      <c r="H59" s="209"/>
      <c r="I59" s="209">
        <f>H50*(1+INDEX(Assumptions_EG!$D$14:$D$22,MATCH(NewFC[[#This Row],[EnergyConvTech]],Assumptions_EG!$B$14:$B$22,0)))</f>
        <v>10872.741503138899</v>
      </c>
      <c r="J59" s="209">
        <f>I50*(1+INDEX(Assumptions_EG!$D$14:$D$22,MATCH(NewFC[[#This Row],[EnergyConvTech]],Assumptions_EG!$B$14:$B$22,0)))</f>
        <v>10872.741503138899</v>
      </c>
      <c r="K59" s="209">
        <f>J50*(1+INDEX(Assumptions_EG!$D$14:$D$22,MATCH(NewFC[[#This Row],[EnergyConvTech]],Assumptions_EG!$B$14:$B$22,0)))</f>
        <v>10872.741503138899</v>
      </c>
      <c r="L59" s="209">
        <f>K50*(1+INDEX(Assumptions_EG!$D$14:$D$22,MATCH(NewFC[[#This Row],[EnergyConvTech]],Assumptions_EG!$B$14:$B$22,0)))</f>
        <v>10872.741503138899</v>
      </c>
      <c r="M59" s="209">
        <f>L50*(1+INDEX(Assumptions_EG!$D$14:$D$22,MATCH(NewFC[[#This Row],[EnergyConvTech]],Assumptions_EG!$B$14:$B$22,0)))</f>
        <v>10872.741503138899</v>
      </c>
    </row>
    <row r="60" spans="1:13" x14ac:dyDescent="0.35">
      <c r="A60" s="376">
        <v>2027</v>
      </c>
      <c r="B60" s="304" t="s">
        <v>1615</v>
      </c>
      <c r="C60" s="209"/>
      <c r="D60" s="209"/>
      <c r="E60" s="209"/>
      <c r="F60" s="209"/>
      <c r="G60" s="209"/>
      <c r="H60" s="209"/>
      <c r="I60" s="209">
        <f>H51*(1+INDEX(Assumptions_EG!$D$14:$D$22,MATCH(NewFC[[#This Row],[EnergyConvTech]],Assumptions_EG!$B$14:$B$22,0)))</f>
        <v>20148.813739673951</v>
      </c>
      <c r="J60" s="209">
        <f>I51*(1+INDEX(Assumptions_EG!$D$14:$D$22,MATCH(NewFC[[#This Row],[EnergyConvTech]],Assumptions_EG!$B$14:$B$22,0)))</f>
        <v>20148.813739673951</v>
      </c>
      <c r="K60" s="209">
        <f>J51*(1+INDEX(Assumptions_EG!$D$14:$D$22,MATCH(NewFC[[#This Row],[EnergyConvTech]],Assumptions_EG!$B$14:$B$22,0)))</f>
        <v>20148.813739673951</v>
      </c>
      <c r="L60" s="209">
        <f>K51*(1+INDEX(Assumptions_EG!$D$14:$D$22,MATCH(NewFC[[#This Row],[EnergyConvTech]],Assumptions_EG!$B$14:$B$22,0)))</f>
        <v>20148.813739673951</v>
      </c>
      <c r="M60" s="209">
        <f>L51*(1+INDEX(Assumptions_EG!$D$14:$D$22,MATCH(NewFC[[#This Row],[EnergyConvTech]],Assumptions_EG!$B$14:$B$22,0)))</f>
        <v>20148.813739673951</v>
      </c>
    </row>
    <row r="61" spans="1:13" x14ac:dyDescent="0.35">
      <c r="A61" s="376">
        <v>2027</v>
      </c>
      <c r="B61" s="304" t="s">
        <v>1603</v>
      </c>
      <c r="C61" s="209"/>
      <c r="D61" s="209"/>
      <c r="E61" s="209"/>
      <c r="F61" s="209"/>
      <c r="G61" s="209"/>
      <c r="H61" s="209"/>
      <c r="I61" s="209">
        <f>H52*(1+INDEX(Assumptions_EG!$D$14:$D$22,MATCH(NewFC[[#This Row],[EnergyConvTech]],Assumptions_EG!$B$14:$B$22,0)))</f>
        <v>6101.463203368502</v>
      </c>
      <c r="J61" s="209">
        <f>I52*(1+INDEX(Assumptions_EG!$D$14:$D$22,MATCH(NewFC[[#This Row],[EnergyConvTech]],Assumptions_EG!$B$14:$B$22,0)))</f>
        <v>6101.463203368502</v>
      </c>
      <c r="K61" s="209">
        <f>J52*(1+INDEX(Assumptions_EG!$D$14:$D$22,MATCH(NewFC[[#This Row],[EnergyConvTech]],Assumptions_EG!$B$14:$B$22,0)))</f>
        <v>6101.463203368502</v>
      </c>
      <c r="L61" s="209">
        <f>K52*(1+INDEX(Assumptions_EG!$D$14:$D$22,MATCH(NewFC[[#This Row],[EnergyConvTech]],Assumptions_EG!$B$14:$B$22,0)))</f>
        <v>6101.463203368502</v>
      </c>
      <c r="M61" s="209">
        <f>L52*(1+INDEX(Assumptions_EG!$D$14:$D$22,MATCH(NewFC[[#This Row],[EnergyConvTech]],Assumptions_EG!$B$14:$B$22,0)))</f>
        <v>6101.463203368502</v>
      </c>
    </row>
    <row r="62" spans="1:13" x14ac:dyDescent="0.35">
      <c r="A62" s="376">
        <v>2027</v>
      </c>
      <c r="B62" s="304" t="s">
        <v>1605</v>
      </c>
      <c r="C62" s="209"/>
      <c r="D62" s="209"/>
      <c r="E62" s="209"/>
      <c r="F62" s="209"/>
      <c r="G62" s="209"/>
      <c r="H62" s="209"/>
      <c r="I62" s="209">
        <f>H53*(1+INDEX(Assumptions_EG!$D$14:$D$22,MATCH(NewFC[[#This Row],[EnergyConvTech]],Assumptions_EG!$B$14:$B$22,0)))</f>
        <v>10426.102375692073</v>
      </c>
      <c r="J62" s="209">
        <f>I53*(1+INDEX(Assumptions_EG!$D$14:$D$22,MATCH(NewFC[[#This Row],[EnergyConvTech]],Assumptions_EG!$B$14:$B$22,0)))</f>
        <v>10426.102375692073</v>
      </c>
      <c r="K62" s="209">
        <f>J53*(1+INDEX(Assumptions_EG!$D$14:$D$22,MATCH(NewFC[[#This Row],[EnergyConvTech]],Assumptions_EG!$B$14:$B$22,0)))</f>
        <v>10426.102375692073</v>
      </c>
      <c r="L62" s="209">
        <f>K53*(1+INDEX(Assumptions_EG!$D$14:$D$22,MATCH(NewFC[[#This Row],[EnergyConvTech]],Assumptions_EG!$B$14:$B$22,0)))</f>
        <v>10426.102375692073</v>
      </c>
      <c r="M62" s="209">
        <f>L53*(1+INDEX(Assumptions_EG!$D$14:$D$22,MATCH(NewFC[[#This Row],[EnergyConvTech]],Assumptions_EG!$B$14:$B$22,0)))</f>
        <v>10426.102375692073</v>
      </c>
    </row>
    <row r="63" spans="1:13" x14ac:dyDescent="0.35">
      <c r="A63" s="376">
        <v>2027</v>
      </c>
      <c r="B63" s="304" t="s">
        <v>1636</v>
      </c>
      <c r="C63" s="209"/>
      <c r="D63" s="209"/>
      <c r="E63" s="209"/>
      <c r="F63" s="209"/>
      <c r="G63" s="209"/>
      <c r="H63" s="209"/>
      <c r="I63" s="209">
        <f>H54*(1+INDEX(Assumptions_EG!$D$14:$D$22,MATCH(NewFC[[#This Row],[EnergyConvTech]],Assumptions_EG!$B$14:$B$22,0)))</f>
        <v>3381.3025762555003</v>
      </c>
      <c r="J63" s="209">
        <f>I54*(1+INDEX(Assumptions_EG!$D$14:$D$22,MATCH(NewFC[[#This Row],[EnergyConvTech]],Assumptions_EG!$B$14:$B$22,0)))</f>
        <v>3381.3025762555003</v>
      </c>
      <c r="K63" s="209">
        <f>J54*(1+INDEX(Assumptions_EG!$D$14:$D$22,MATCH(NewFC[[#This Row],[EnergyConvTech]],Assumptions_EG!$B$14:$B$22,0)))</f>
        <v>3381.3025762555003</v>
      </c>
      <c r="L63" s="209">
        <f>K54*(1+INDEX(Assumptions_EG!$D$14:$D$22,MATCH(NewFC[[#This Row],[EnergyConvTech]],Assumptions_EG!$B$14:$B$22,0)))</f>
        <v>3381.3025762555003</v>
      </c>
      <c r="M63" s="209">
        <f>L54*(1+INDEX(Assumptions_EG!$D$14:$D$22,MATCH(NewFC[[#This Row],[EnergyConvTech]],Assumptions_EG!$B$14:$B$22,0)))</f>
        <v>3381.3025762555003</v>
      </c>
    </row>
    <row r="64" spans="1:13" x14ac:dyDescent="0.35">
      <c r="A64" s="376">
        <v>2027</v>
      </c>
      <c r="B64" s="304" t="s">
        <v>1606</v>
      </c>
      <c r="C64" s="209"/>
      <c r="D64" s="209"/>
      <c r="E64" s="209"/>
      <c r="F64" s="209"/>
      <c r="G64" s="209"/>
      <c r="H64" s="209"/>
      <c r="I64" s="209">
        <f>H55*(1+INDEX(Assumptions_EG!$D$14:$D$22,MATCH(NewFC[[#This Row],[EnergyConvTech]],Assumptions_EG!$B$14:$B$22,0)))</f>
        <v>5815.3523642425034</v>
      </c>
      <c r="J64" s="209">
        <f>I55*(1+INDEX(Assumptions_EG!$D$14:$D$22,MATCH(NewFC[[#This Row],[EnergyConvTech]],Assumptions_EG!$B$14:$B$22,0)))</f>
        <v>5815.3523642425034</v>
      </c>
      <c r="K64" s="209">
        <f>J55*(1+INDEX(Assumptions_EG!$D$14:$D$22,MATCH(NewFC[[#This Row],[EnergyConvTech]],Assumptions_EG!$B$14:$B$22,0)))</f>
        <v>5815.3523642425034</v>
      </c>
      <c r="L64" s="209">
        <f>K55*(1+INDEX(Assumptions_EG!$D$14:$D$22,MATCH(NewFC[[#This Row],[EnergyConvTech]],Assumptions_EG!$B$14:$B$22,0)))</f>
        <v>5815.3523642425034</v>
      </c>
      <c r="M64" s="209">
        <f>L55*(1+INDEX(Assumptions_EG!$D$14:$D$22,MATCH(NewFC[[#This Row],[EnergyConvTech]],Assumptions_EG!$B$14:$B$22,0)))</f>
        <v>5815.3523642425034</v>
      </c>
    </row>
    <row r="65" spans="1:13" x14ac:dyDescent="0.35">
      <c r="A65" s="376">
        <v>2028</v>
      </c>
      <c r="B65" s="304" t="s">
        <v>1612</v>
      </c>
      <c r="C65" s="209"/>
      <c r="D65" s="385"/>
      <c r="E65" s="209"/>
      <c r="F65" s="385"/>
      <c r="G65" s="209"/>
      <c r="H65" s="385"/>
      <c r="I65" s="209"/>
      <c r="J65" s="209">
        <f>I56*(1+INDEX(Assumptions_EG!$D$14:$D$22,MATCH(NewFC[[#This Row],[EnergyConvTech]],Assumptions_EG!$B$14:$B$22,0)))</f>
        <v>9928.6887826901675</v>
      </c>
      <c r="K65" s="209">
        <f>J56*(1+INDEX(Assumptions_EG!$D$14:$D$22,MATCH(NewFC[[#This Row],[EnergyConvTech]],Assumptions_EG!$B$14:$B$22,0)))</f>
        <v>9928.6887826901675</v>
      </c>
      <c r="L65" s="209">
        <f>K56*(1+INDEX(Assumptions_EG!$D$14:$D$22,MATCH(NewFC[[#This Row],[EnergyConvTech]],Assumptions_EG!$B$14:$B$22,0)))</f>
        <v>9928.6887826901675</v>
      </c>
      <c r="M65" s="209">
        <f>L56*(1+INDEX(Assumptions_EG!$D$14:$D$22,MATCH(NewFC[[#This Row],[EnergyConvTech]],Assumptions_EG!$B$14:$B$22,0)))</f>
        <v>9928.6887826901675</v>
      </c>
    </row>
    <row r="66" spans="1:13" x14ac:dyDescent="0.35">
      <c r="A66" s="376">
        <v>2028</v>
      </c>
      <c r="B66" s="304" t="s">
        <v>1613</v>
      </c>
      <c r="C66" s="209"/>
      <c r="D66" s="385"/>
      <c r="E66" s="209"/>
      <c r="F66" s="385"/>
      <c r="G66" s="209"/>
      <c r="H66" s="385"/>
      <c r="I66" s="209"/>
      <c r="J66" s="209">
        <f>I57*(1+INDEX(Assumptions_EG!$D$14:$D$22,MATCH(NewFC[[#This Row],[EnergyConvTech]],Assumptions_EG!$B$14:$B$22,0)))</f>
        <v>8848.5269568257354</v>
      </c>
      <c r="K66" s="209">
        <f>J57*(1+INDEX(Assumptions_EG!$D$14:$D$22,MATCH(NewFC[[#This Row],[EnergyConvTech]],Assumptions_EG!$B$14:$B$22,0)))</f>
        <v>8848.5269568257354</v>
      </c>
      <c r="L66" s="209">
        <f>K57*(1+INDEX(Assumptions_EG!$D$14:$D$22,MATCH(NewFC[[#This Row],[EnergyConvTech]],Assumptions_EG!$B$14:$B$22,0)))</f>
        <v>8848.5269568257354</v>
      </c>
      <c r="M66" s="209">
        <f>L57*(1+INDEX(Assumptions_EG!$D$14:$D$22,MATCH(NewFC[[#This Row],[EnergyConvTech]],Assumptions_EG!$B$14:$B$22,0)))</f>
        <v>8848.5269568257354</v>
      </c>
    </row>
    <row r="67" spans="1:13" x14ac:dyDescent="0.35">
      <c r="A67" s="376">
        <v>2028</v>
      </c>
      <c r="B67" s="304" t="s">
        <v>1614</v>
      </c>
      <c r="C67" s="209"/>
      <c r="D67" s="385"/>
      <c r="E67" s="209"/>
      <c r="F67" s="385"/>
      <c r="G67" s="209"/>
      <c r="H67" s="385"/>
      <c r="I67" s="209"/>
      <c r="J67" s="209">
        <f>I58*(1+INDEX(Assumptions_EG!$D$14:$D$22,MATCH(NewFC[[#This Row],[EnergyConvTech]],Assumptions_EG!$B$14:$B$22,0)))</f>
        <v>6454.3984013550207</v>
      </c>
      <c r="K67" s="209">
        <f>J58*(1+INDEX(Assumptions_EG!$D$14:$D$22,MATCH(NewFC[[#This Row],[EnergyConvTech]],Assumptions_EG!$B$14:$B$22,0)))</f>
        <v>6454.3984013550207</v>
      </c>
      <c r="L67" s="209">
        <f>K58*(1+INDEX(Assumptions_EG!$D$14:$D$22,MATCH(NewFC[[#This Row],[EnergyConvTech]],Assumptions_EG!$B$14:$B$22,0)))</f>
        <v>6454.3984013550207</v>
      </c>
      <c r="M67" s="209">
        <f>L58*(1+INDEX(Assumptions_EG!$D$14:$D$22,MATCH(NewFC[[#This Row],[EnergyConvTech]],Assumptions_EG!$B$14:$B$22,0)))</f>
        <v>6454.3984013550207</v>
      </c>
    </row>
    <row r="68" spans="1:13" x14ac:dyDescent="0.35">
      <c r="A68" s="376">
        <v>2028</v>
      </c>
      <c r="B68" s="304" t="s">
        <v>1604</v>
      </c>
      <c r="C68" s="209"/>
      <c r="D68" s="209"/>
      <c r="E68" s="209"/>
      <c r="F68" s="209"/>
      <c r="G68" s="209"/>
      <c r="H68" s="209"/>
      <c r="I68" s="209"/>
      <c r="J68" s="209">
        <f>I59*(1+INDEX(Assumptions_EG!$D$14:$D$22,MATCH(NewFC[[#This Row],[EnergyConvTech]],Assumptions_EG!$B$14:$B$22,0)))</f>
        <v>10872.741503138899</v>
      </c>
      <c r="K68" s="209">
        <f>J59*(1+INDEX(Assumptions_EG!$D$14:$D$22,MATCH(NewFC[[#This Row],[EnergyConvTech]],Assumptions_EG!$B$14:$B$22,0)))</f>
        <v>10872.741503138899</v>
      </c>
      <c r="L68" s="209">
        <f>K59*(1+INDEX(Assumptions_EG!$D$14:$D$22,MATCH(NewFC[[#This Row],[EnergyConvTech]],Assumptions_EG!$B$14:$B$22,0)))</f>
        <v>10872.741503138899</v>
      </c>
      <c r="M68" s="209">
        <f>L59*(1+INDEX(Assumptions_EG!$D$14:$D$22,MATCH(NewFC[[#This Row],[EnergyConvTech]],Assumptions_EG!$B$14:$B$22,0)))</f>
        <v>10872.741503138899</v>
      </c>
    </row>
    <row r="69" spans="1:13" x14ac:dyDescent="0.35">
      <c r="A69" s="376">
        <v>2028</v>
      </c>
      <c r="B69" s="304" t="s">
        <v>1615</v>
      </c>
      <c r="C69" s="209"/>
      <c r="D69" s="209"/>
      <c r="E69" s="209"/>
      <c r="F69" s="209"/>
      <c r="G69" s="209"/>
      <c r="H69" s="209"/>
      <c r="I69" s="209"/>
      <c r="J69" s="209">
        <f>I60*(1+INDEX(Assumptions_EG!$D$14:$D$22,MATCH(NewFC[[#This Row],[EnergyConvTech]],Assumptions_EG!$B$14:$B$22,0)))</f>
        <v>20148.813739673951</v>
      </c>
      <c r="K69" s="209">
        <f>J60*(1+INDEX(Assumptions_EG!$D$14:$D$22,MATCH(NewFC[[#This Row],[EnergyConvTech]],Assumptions_EG!$B$14:$B$22,0)))</f>
        <v>20148.813739673951</v>
      </c>
      <c r="L69" s="209">
        <f>K60*(1+INDEX(Assumptions_EG!$D$14:$D$22,MATCH(NewFC[[#This Row],[EnergyConvTech]],Assumptions_EG!$B$14:$B$22,0)))</f>
        <v>20148.813739673951</v>
      </c>
      <c r="M69" s="209">
        <f>L60*(1+INDEX(Assumptions_EG!$D$14:$D$22,MATCH(NewFC[[#This Row],[EnergyConvTech]],Assumptions_EG!$B$14:$B$22,0)))</f>
        <v>20148.813739673951</v>
      </c>
    </row>
    <row r="70" spans="1:13" x14ac:dyDescent="0.35">
      <c r="A70" s="376">
        <v>2028</v>
      </c>
      <c r="B70" s="304" t="s">
        <v>1603</v>
      </c>
      <c r="C70" s="209"/>
      <c r="D70" s="209"/>
      <c r="E70" s="209"/>
      <c r="F70" s="209"/>
      <c r="G70" s="209"/>
      <c r="H70" s="209"/>
      <c r="I70" s="209"/>
      <c r="J70" s="209">
        <f>I61*(1+INDEX(Assumptions_EG!$D$14:$D$22,MATCH(NewFC[[#This Row],[EnergyConvTech]],Assumptions_EG!$B$14:$B$22,0)))</f>
        <v>6101.463203368502</v>
      </c>
      <c r="K70" s="209">
        <f>J61*(1+INDEX(Assumptions_EG!$D$14:$D$22,MATCH(NewFC[[#This Row],[EnergyConvTech]],Assumptions_EG!$B$14:$B$22,0)))</f>
        <v>6101.463203368502</v>
      </c>
      <c r="L70" s="209">
        <f>K61*(1+INDEX(Assumptions_EG!$D$14:$D$22,MATCH(NewFC[[#This Row],[EnergyConvTech]],Assumptions_EG!$B$14:$B$22,0)))</f>
        <v>6101.463203368502</v>
      </c>
      <c r="M70" s="209">
        <f>L61*(1+INDEX(Assumptions_EG!$D$14:$D$22,MATCH(NewFC[[#This Row],[EnergyConvTech]],Assumptions_EG!$B$14:$B$22,0)))</f>
        <v>6101.463203368502</v>
      </c>
    </row>
    <row r="71" spans="1:13" x14ac:dyDescent="0.35">
      <c r="A71" s="376">
        <v>2028</v>
      </c>
      <c r="B71" s="304" t="s">
        <v>1605</v>
      </c>
      <c r="C71" s="209"/>
      <c r="D71" s="209"/>
      <c r="E71" s="209"/>
      <c r="F71" s="209"/>
      <c r="G71" s="209"/>
      <c r="H71" s="209"/>
      <c r="I71" s="209"/>
      <c r="J71" s="209">
        <f>I62*(1+INDEX(Assumptions_EG!$D$14:$D$22,MATCH(NewFC[[#This Row],[EnergyConvTech]],Assumptions_EG!$B$14:$B$22,0)))</f>
        <v>10426.102375692073</v>
      </c>
      <c r="K71" s="209">
        <f>J62*(1+INDEX(Assumptions_EG!$D$14:$D$22,MATCH(NewFC[[#This Row],[EnergyConvTech]],Assumptions_EG!$B$14:$B$22,0)))</f>
        <v>10426.102375692073</v>
      </c>
      <c r="L71" s="209">
        <f>K62*(1+INDEX(Assumptions_EG!$D$14:$D$22,MATCH(NewFC[[#This Row],[EnergyConvTech]],Assumptions_EG!$B$14:$B$22,0)))</f>
        <v>10426.102375692073</v>
      </c>
      <c r="M71" s="209">
        <f>L62*(1+INDEX(Assumptions_EG!$D$14:$D$22,MATCH(NewFC[[#This Row],[EnergyConvTech]],Assumptions_EG!$B$14:$B$22,0)))</f>
        <v>10426.102375692073</v>
      </c>
    </row>
    <row r="72" spans="1:13" x14ac:dyDescent="0.35">
      <c r="A72" s="376">
        <v>2028</v>
      </c>
      <c r="B72" s="304" t="s">
        <v>1636</v>
      </c>
      <c r="C72" s="209"/>
      <c r="D72" s="209"/>
      <c r="E72" s="209"/>
      <c r="F72" s="209"/>
      <c r="G72" s="209"/>
      <c r="H72" s="209"/>
      <c r="I72" s="209"/>
      <c r="J72" s="209">
        <f>I63*(1+INDEX(Assumptions_EG!$D$14:$D$22,MATCH(NewFC[[#This Row],[EnergyConvTech]],Assumptions_EG!$B$14:$B$22,0)))</f>
        <v>3313.6765247303902</v>
      </c>
      <c r="K72" s="209">
        <f>J63*(1+INDEX(Assumptions_EG!$D$14:$D$22,MATCH(NewFC[[#This Row],[EnergyConvTech]],Assumptions_EG!$B$14:$B$22,0)))</f>
        <v>3313.6765247303902</v>
      </c>
      <c r="L72" s="209">
        <f>K63*(1+INDEX(Assumptions_EG!$D$14:$D$22,MATCH(NewFC[[#This Row],[EnergyConvTech]],Assumptions_EG!$B$14:$B$22,0)))</f>
        <v>3313.6765247303902</v>
      </c>
      <c r="M72" s="209">
        <f>L63*(1+INDEX(Assumptions_EG!$D$14:$D$22,MATCH(NewFC[[#This Row],[EnergyConvTech]],Assumptions_EG!$B$14:$B$22,0)))</f>
        <v>3313.6765247303902</v>
      </c>
    </row>
    <row r="73" spans="1:13" x14ac:dyDescent="0.35">
      <c r="A73" s="376">
        <v>2028</v>
      </c>
      <c r="B73" s="304" t="s">
        <v>1606</v>
      </c>
      <c r="C73" s="209"/>
      <c r="D73" s="209"/>
      <c r="E73" s="209"/>
      <c r="F73" s="209"/>
      <c r="G73" s="209"/>
      <c r="H73" s="209"/>
      <c r="I73" s="209"/>
      <c r="J73" s="209">
        <f>I64*(1+INDEX(Assumptions_EG!$D$14:$D$22,MATCH(NewFC[[#This Row],[EnergyConvTech]],Assumptions_EG!$B$14:$B$22,0)))</f>
        <v>5757.1988406000783</v>
      </c>
      <c r="K73" s="209">
        <f>J64*(1+INDEX(Assumptions_EG!$D$14:$D$22,MATCH(NewFC[[#This Row],[EnergyConvTech]],Assumptions_EG!$B$14:$B$22,0)))</f>
        <v>5757.1988406000783</v>
      </c>
      <c r="L73" s="209">
        <f>K64*(1+INDEX(Assumptions_EG!$D$14:$D$22,MATCH(NewFC[[#This Row],[EnergyConvTech]],Assumptions_EG!$B$14:$B$22,0)))</f>
        <v>5757.1988406000783</v>
      </c>
      <c r="M73" s="209">
        <f>L64*(1+INDEX(Assumptions_EG!$D$14:$D$22,MATCH(NewFC[[#This Row],[EnergyConvTech]],Assumptions_EG!$B$14:$B$22,0)))</f>
        <v>5757.1988406000783</v>
      </c>
    </row>
    <row r="74" spans="1:13" x14ac:dyDescent="0.35">
      <c r="A74" s="376">
        <v>2029</v>
      </c>
      <c r="B74" s="304" t="s">
        <v>1612</v>
      </c>
      <c r="C74" s="209"/>
      <c r="D74" s="385"/>
      <c r="E74" s="209"/>
      <c r="F74" s="385"/>
      <c r="G74" s="209"/>
      <c r="H74" s="385"/>
      <c r="I74" s="209"/>
      <c r="J74" s="385"/>
      <c r="K74" s="209">
        <f>J65*(1+INDEX(Assumptions_EG!$D$14:$D$22,MATCH(NewFC[[#This Row],[EnergyConvTech]],Assumptions_EG!$B$14:$B$22,0)))</f>
        <v>9928.6887826901675</v>
      </c>
      <c r="L74" s="209">
        <f>K65*(1+INDEX(Assumptions_EG!$D$14:$D$22,MATCH(NewFC[[#This Row],[EnergyConvTech]],Assumptions_EG!$B$14:$B$22,0)))</f>
        <v>9928.6887826901675</v>
      </c>
      <c r="M74" s="209">
        <f>L65*(1+INDEX(Assumptions_EG!$D$14:$D$22,MATCH(NewFC[[#This Row],[EnergyConvTech]],Assumptions_EG!$B$14:$B$22,0)))</f>
        <v>9928.6887826901675</v>
      </c>
    </row>
    <row r="75" spans="1:13" x14ac:dyDescent="0.35">
      <c r="A75" s="376">
        <v>2029</v>
      </c>
      <c r="B75" s="304" t="s">
        <v>1613</v>
      </c>
      <c r="C75" s="209"/>
      <c r="D75" s="385"/>
      <c r="E75" s="209"/>
      <c r="F75" s="385"/>
      <c r="G75" s="209"/>
      <c r="H75" s="385"/>
      <c r="I75" s="209"/>
      <c r="J75" s="385"/>
      <c r="K75" s="209">
        <f>J66*(1+INDEX(Assumptions_EG!$D$14:$D$22,MATCH(NewFC[[#This Row],[EnergyConvTech]],Assumptions_EG!$B$14:$B$22,0)))</f>
        <v>8848.5269568257354</v>
      </c>
      <c r="L75" s="209">
        <f>K66*(1+INDEX(Assumptions_EG!$D$14:$D$22,MATCH(NewFC[[#This Row],[EnergyConvTech]],Assumptions_EG!$B$14:$B$22,0)))</f>
        <v>8848.5269568257354</v>
      </c>
      <c r="M75" s="209">
        <f>L66*(1+INDEX(Assumptions_EG!$D$14:$D$22,MATCH(NewFC[[#This Row],[EnergyConvTech]],Assumptions_EG!$B$14:$B$22,0)))</f>
        <v>8848.5269568257354</v>
      </c>
    </row>
    <row r="76" spans="1:13" x14ac:dyDescent="0.35">
      <c r="A76" s="376">
        <v>2029</v>
      </c>
      <c r="B76" s="304" t="s">
        <v>1614</v>
      </c>
      <c r="C76" s="209"/>
      <c r="D76" s="385"/>
      <c r="E76" s="209"/>
      <c r="F76" s="385"/>
      <c r="G76" s="209"/>
      <c r="H76" s="385"/>
      <c r="I76" s="209"/>
      <c r="J76" s="385"/>
      <c r="K76" s="209">
        <f>J67*(1+INDEX(Assumptions_EG!$D$14:$D$22,MATCH(NewFC[[#This Row],[EnergyConvTech]],Assumptions_EG!$B$14:$B$22,0)))</f>
        <v>6454.3984013550207</v>
      </c>
      <c r="L76" s="209">
        <f>K67*(1+INDEX(Assumptions_EG!$D$14:$D$22,MATCH(NewFC[[#This Row],[EnergyConvTech]],Assumptions_EG!$B$14:$B$22,0)))</f>
        <v>6454.3984013550207</v>
      </c>
      <c r="M76" s="209">
        <f>L67*(1+INDEX(Assumptions_EG!$D$14:$D$22,MATCH(NewFC[[#This Row],[EnergyConvTech]],Assumptions_EG!$B$14:$B$22,0)))</f>
        <v>6454.3984013550207</v>
      </c>
    </row>
    <row r="77" spans="1:13" x14ac:dyDescent="0.35">
      <c r="A77" s="376">
        <v>2029</v>
      </c>
      <c r="B77" s="304" t="s">
        <v>1604</v>
      </c>
      <c r="C77" s="209"/>
      <c r="D77" s="209"/>
      <c r="E77" s="209"/>
      <c r="F77" s="209"/>
      <c r="G77" s="209"/>
      <c r="H77" s="209"/>
      <c r="I77" s="209"/>
      <c r="J77" s="209"/>
      <c r="K77" s="209">
        <f>J68*(1+INDEX(Assumptions_EG!$D$14:$D$22,MATCH(NewFC[[#This Row],[EnergyConvTech]],Assumptions_EG!$B$14:$B$22,0)))</f>
        <v>10872.741503138899</v>
      </c>
      <c r="L77" s="209">
        <f>K68*(1+INDEX(Assumptions_EG!$D$14:$D$22,MATCH(NewFC[[#This Row],[EnergyConvTech]],Assumptions_EG!$B$14:$B$22,0)))</f>
        <v>10872.741503138899</v>
      </c>
      <c r="M77" s="209">
        <f>L68*(1+INDEX(Assumptions_EG!$D$14:$D$22,MATCH(NewFC[[#This Row],[EnergyConvTech]],Assumptions_EG!$B$14:$B$22,0)))</f>
        <v>10872.741503138899</v>
      </c>
    </row>
    <row r="78" spans="1:13" x14ac:dyDescent="0.35">
      <c r="A78" s="376">
        <v>2029</v>
      </c>
      <c r="B78" s="304" t="s">
        <v>1615</v>
      </c>
      <c r="C78" s="209"/>
      <c r="D78" s="209"/>
      <c r="E78" s="209"/>
      <c r="F78" s="209"/>
      <c r="G78" s="209"/>
      <c r="H78" s="209"/>
      <c r="I78" s="209"/>
      <c r="J78" s="209"/>
      <c r="K78" s="209">
        <f>J69*(1+INDEX(Assumptions_EG!$D$14:$D$22,MATCH(NewFC[[#This Row],[EnergyConvTech]],Assumptions_EG!$B$14:$B$22,0)))</f>
        <v>20148.813739673951</v>
      </c>
      <c r="L78" s="209">
        <f>K69*(1+INDEX(Assumptions_EG!$D$14:$D$22,MATCH(NewFC[[#This Row],[EnergyConvTech]],Assumptions_EG!$B$14:$B$22,0)))</f>
        <v>20148.813739673951</v>
      </c>
      <c r="M78" s="209">
        <f>L69*(1+INDEX(Assumptions_EG!$D$14:$D$22,MATCH(NewFC[[#This Row],[EnergyConvTech]],Assumptions_EG!$B$14:$B$22,0)))</f>
        <v>20148.813739673951</v>
      </c>
    </row>
    <row r="79" spans="1:13" x14ac:dyDescent="0.35">
      <c r="A79" s="376">
        <v>2029</v>
      </c>
      <c r="B79" s="304" t="s">
        <v>1603</v>
      </c>
      <c r="C79" s="209"/>
      <c r="D79" s="209"/>
      <c r="E79" s="209"/>
      <c r="F79" s="209"/>
      <c r="G79" s="209"/>
      <c r="H79" s="209"/>
      <c r="I79" s="209"/>
      <c r="J79" s="209"/>
      <c r="K79" s="209">
        <f>J70*(1+INDEX(Assumptions_EG!$D$14:$D$22,MATCH(NewFC[[#This Row],[EnergyConvTech]],Assumptions_EG!$B$14:$B$22,0)))</f>
        <v>6101.463203368502</v>
      </c>
      <c r="L79" s="209">
        <f>K70*(1+INDEX(Assumptions_EG!$D$14:$D$22,MATCH(NewFC[[#This Row],[EnergyConvTech]],Assumptions_EG!$B$14:$B$22,0)))</f>
        <v>6101.463203368502</v>
      </c>
      <c r="M79" s="209">
        <f>L70*(1+INDEX(Assumptions_EG!$D$14:$D$22,MATCH(NewFC[[#This Row],[EnergyConvTech]],Assumptions_EG!$B$14:$B$22,0)))</f>
        <v>6101.463203368502</v>
      </c>
    </row>
    <row r="80" spans="1:13" x14ac:dyDescent="0.35">
      <c r="A80" s="376">
        <v>2029</v>
      </c>
      <c r="B80" s="304" t="s">
        <v>1605</v>
      </c>
      <c r="C80" s="209"/>
      <c r="D80" s="209"/>
      <c r="E80" s="209"/>
      <c r="F80" s="209"/>
      <c r="G80" s="209"/>
      <c r="H80" s="209"/>
      <c r="I80" s="209"/>
      <c r="J80" s="209"/>
      <c r="K80" s="209">
        <f>J71*(1+INDEX(Assumptions_EG!$D$14:$D$22,MATCH(NewFC[[#This Row],[EnergyConvTech]],Assumptions_EG!$B$14:$B$22,0)))</f>
        <v>10426.102375692073</v>
      </c>
      <c r="L80" s="209">
        <f>K71*(1+INDEX(Assumptions_EG!$D$14:$D$22,MATCH(NewFC[[#This Row],[EnergyConvTech]],Assumptions_EG!$B$14:$B$22,0)))</f>
        <v>10426.102375692073</v>
      </c>
      <c r="M80" s="209">
        <f>L71*(1+INDEX(Assumptions_EG!$D$14:$D$22,MATCH(NewFC[[#This Row],[EnergyConvTech]],Assumptions_EG!$B$14:$B$22,0)))</f>
        <v>10426.102375692073</v>
      </c>
    </row>
    <row r="81" spans="1:13" x14ac:dyDescent="0.35">
      <c r="A81" s="376">
        <v>2029</v>
      </c>
      <c r="B81" s="304" t="s">
        <v>1636</v>
      </c>
      <c r="C81" s="209"/>
      <c r="D81" s="209"/>
      <c r="E81" s="209"/>
      <c r="F81" s="209"/>
      <c r="G81" s="209"/>
      <c r="H81" s="209"/>
      <c r="I81" s="209"/>
      <c r="J81" s="209"/>
      <c r="K81" s="209">
        <f>J72*(1+INDEX(Assumptions_EG!$D$14:$D$22,MATCH(NewFC[[#This Row],[EnergyConvTech]],Assumptions_EG!$B$14:$B$22,0)))</f>
        <v>3247.4029942357824</v>
      </c>
      <c r="L81" s="209">
        <f>K72*(1+INDEX(Assumptions_EG!$D$14:$D$22,MATCH(NewFC[[#This Row],[EnergyConvTech]],Assumptions_EG!$B$14:$B$22,0)))</f>
        <v>3247.4029942357824</v>
      </c>
      <c r="M81" s="209">
        <f>L72*(1+INDEX(Assumptions_EG!$D$14:$D$22,MATCH(NewFC[[#This Row],[EnergyConvTech]],Assumptions_EG!$B$14:$B$22,0)))</f>
        <v>3247.4029942357824</v>
      </c>
    </row>
    <row r="82" spans="1:13" x14ac:dyDescent="0.35">
      <c r="A82" s="376">
        <v>2029</v>
      </c>
      <c r="B82" s="304" t="s">
        <v>1606</v>
      </c>
      <c r="C82" s="209"/>
      <c r="D82" s="209"/>
      <c r="E82" s="209"/>
      <c r="F82" s="209"/>
      <c r="G82" s="209"/>
      <c r="H82" s="209"/>
      <c r="I82" s="209"/>
      <c r="J82" s="209"/>
      <c r="K82" s="209">
        <f>J73*(1+INDEX(Assumptions_EG!$D$14:$D$22,MATCH(NewFC[[#This Row],[EnergyConvTech]],Assumptions_EG!$B$14:$B$22,0)))</f>
        <v>5699.6268521940774</v>
      </c>
      <c r="L82" s="209">
        <f>K73*(1+INDEX(Assumptions_EG!$D$14:$D$22,MATCH(NewFC[[#This Row],[EnergyConvTech]],Assumptions_EG!$B$14:$B$22,0)))</f>
        <v>5699.6268521940774</v>
      </c>
      <c r="M82" s="209">
        <f>L73*(1+INDEX(Assumptions_EG!$D$14:$D$22,MATCH(NewFC[[#This Row],[EnergyConvTech]],Assumptions_EG!$B$14:$B$22,0)))</f>
        <v>5699.6268521940774</v>
      </c>
    </row>
    <row r="83" spans="1:13" x14ac:dyDescent="0.35">
      <c r="A83" s="376">
        <v>2030</v>
      </c>
      <c r="B83" s="304" t="s">
        <v>1612</v>
      </c>
      <c r="C83" s="209"/>
      <c r="D83" s="385"/>
      <c r="E83" s="209"/>
      <c r="F83" s="385"/>
      <c r="G83" s="209"/>
      <c r="H83" s="385"/>
      <c r="I83" s="209"/>
      <c r="J83" s="385"/>
      <c r="K83" s="209"/>
      <c r="L83" s="209">
        <f>K74*(1+INDEX(Assumptions_EG!$D$14:$D$22,MATCH(NewFC[[#This Row],[EnergyConvTech]],Assumptions_EG!$B$14:$B$22,0)))</f>
        <v>9928.6887826901675</v>
      </c>
      <c r="M83" s="209">
        <f>L74*(1+INDEX(Assumptions_EG!$D$14:$D$22,MATCH(NewFC[[#This Row],[EnergyConvTech]],Assumptions_EG!$B$14:$B$22,0)))</f>
        <v>9928.6887826901675</v>
      </c>
    </row>
    <row r="84" spans="1:13" x14ac:dyDescent="0.35">
      <c r="A84" s="376">
        <v>2030</v>
      </c>
      <c r="B84" s="304" t="s">
        <v>1613</v>
      </c>
      <c r="C84" s="209"/>
      <c r="D84" s="385"/>
      <c r="E84" s="209"/>
      <c r="F84" s="385"/>
      <c r="G84" s="209"/>
      <c r="H84" s="385"/>
      <c r="I84" s="209"/>
      <c r="J84" s="385"/>
      <c r="K84" s="209"/>
      <c r="L84" s="209">
        <f>K75*(1+INDEX(Assumptions_EG!$D$14:$D$22,MATCH(NewFC[[#This Row],[EnergyConvTech]],Assumptions_EG!$B$14:$B$22,0)))</f>
        <v>8848.5269568257354</v>
      </c>
      <c r="M84" s="209">
        <f>L75*(1+INDEX(Assumptions_EG!$D$14:$D$22,MATCH(NewFC[[#This Row],[EnergyConvTech]],Assumptions_EG!$B$14:$B$22,0)))</f>
        <v>8848.5269568257354</v>
      </c>
    </row>
    <row r="85" spans="1:13" x14ac:dyDescent="0.35">
      <c r="A85" s="376">
        <v>2030</v>
      </c>
      <c r="B85" s="304" t="s">
        <v>1614</v>
      </c>
      <c r="C85" s="209"/>
      <c r="D85" s="385"/>
      <c r="E85" s="209"/>
      <c r="F85" s="385"/>
      <c r="G85" s="209"/>
      <c r="H85" s="385"/>
      <c r="I85" s="209"/>
      <c r="J85" s="385"/>
      <c r="K85" s="209"/>
      <c r="L85" s="209">
        <f>K76*(1+INDEX(Assumptions_EG!$D$14:$D$22,MATCH(NewFC[[#This Row],[EnergyConvTech]],Assumptions_EG!$B$14:$B$22,0)))</f>
        <v>6454.3984013550207</v>
      </c>
      <c r="M85" s="209">
        <f>L76*(1+INDEX(Assumptions_EG!$D$14:$D$22,MATCH(NewFC[[#This Row],[EnergyConvTech]],Assumptions_EG!$B$14:$B$22,0)))</f>
        <v>6454.3984013550207</v>
      </c>
    </row>
    <row r="86" spans="1:13" x14ac:dyDescent="0.35">
      <c r="A86" s="376">
        <v>2030</v>
      </c>
      <c r="B86" s="304" t="s">
        <v>1604</v>
      </c>
      <c r="C86" s="209"/>
      <c r="D86" s="209"/>
      <c r="E86" s="209"/>
      <c r="F86" s="209"/>
      <c r="G86" s="209"/>
      <c r="H86" s="209"/>
      <c r="I86" s="209"/>
      <c r="J86" s="209"/>
      <c r="K86" s="209"/>
      <c r="L86" s="209">
        <f>K77*(1+INDEX(Assumptions_EG!$D$14:$D$22,MATCH(NewFC[[#This Row],[EnergyConvTech]],Assumptions_EG!$B$14:$B$22,0)))</f>
        <v>10872.741503138899</v>
      </c>
      <c r="M86" s="209">
        <f>L77*(1+INDEX(Assumptions_EG!$D$14:$D$22,MATCH(NewFC[[#This Row],[EnergyConvTech]],Assumptions_EG!$B$14:$B$22,0)))</f>
        <v>10872.741503138899</v>
      </c>
    </row>
    <row r="87" spans="1:13" x14ac:dyDescent="0.35">
      <c r="A87" s="376">
        <v>2030</v>
      </c>
      <c r="B87" s="304" t="s">
        <v>1615</v>
      </c>
      <c r="C87" s="209"/>
      <c r="D87" s="209"/>
      <c r="E87" s="209"/>
      <c r="F87" s="209"/>
      <c r="G87" s="209"/>
      <c r="H87" s="209"/>
      <c r="I87" s="209"/>
      <c r="J87" s="209"/>
      <c r="K87" s="209"/>
      <c r="L87" s="209">
        <f>K78*(1+INDEX(Assumptions_EG!$D$14:$D$22,MATCH(NewFC[[#This Row],[EnergyConvTech]],Assumptions_EG!$B$14:$B$22,0)))</f>
        <v>20148.813739673951</v>
      </c>
      <c r="M87" s="209">
        <f>L78*(1+INDEX(Assumptions_EG!$D$14:$D$22,MATCH(NewFC[[#This Row],[EnergyConvTech]],Assumptions_EG!$B$14:$B$22,0)))</f>
        <v>20148.813739673951</v>
      </c>
    </row>
    <row r="88" spans="1:13" x14ac:dyDescent="0.35">
      <c r="A88" s="376">
        <v>2030</v>
      </c>
      <c r="B88" s="304" t="s">
        <v>1603</v>
      </c>
      <c r="C88" s="209"/>
      <c r="D88" s="209"/>
      <c r="E88" s="209"/>
      <c r="F88" s="209"/>
      <c r="G88" s="209"/>
      <c r="H88" s="209"/>
      <c r="I88" s="209"/>
      <c r="J88" s="209"/>
      <c r="K88" s="209"/>
      <c r="L88" s="209">
        <f>K79*(1+INDEX(Assumptions_EG!$D$14:$D$22,MATCH(NewFC[[#This Row],[EnergyConvTech]],Assumptions_EG!$B$14:$B$22,0)))</f>
        <v>6101.463203368502</v>
      </c>
      <c r="M88" s="209">
        <f>L79*(1+INDEX(Assumptions_EG!$D$14:$D$22,MATCH(NewFC[[#This Row],[EnergyConvTech]],Assumptions_EG!$B$14:$B$22,0)))</f>
        <v>6101.463203368502</v>
      </c>
    </row>
    <row r="89" spans="1:13" x14ac:dyDescent="0.35">
      <c r="A89" s="376">
        <v>2030</v>
      </c>
      <c r="B89" s="304" t="s">
        <v>1605</v>
      </c>
      <c r="C89" s="209"/>
      <c r="D89" s="209"/>
      <c r="E89" s="209"/>
      <c r="F89" s="209"/>
      <c r="G89" s="209"/>
      <c r="H89" s="209"/>
      <c r="I89" s="209"/>
      <c r="J89" s="209"/>
      <c r="K89" s="209"/>
      <c r="L89" s="209">
        <f>K80*(1+INDEX(Assumptions_EG!$D$14:$D$22,MATCH(NewFC[[#This Row],[EnergyConvTech]],Assumptions_EG!$B$14:$B$22,0)))</f>
        <v>10426.102375692073</v>
      </c>
      <c r="M89" s="209">
        <f>L80*(1+INDEX(Assumptions_EG!$D$14:$D$22,MATCH(NewFC[[#This Row],[EnergyConvTech]],Assumptions_EG!$B$14:$B$22,0)))</f>
        <v>10426.102375692073</v>
      </c>
    </row>
    <row r="90" spans="1:13" x14ac:dyDescent="0.35">
      <c r="A90" s="376">
        <v>2030</v>
      </c>
      <c r="B90" s="304" t="s">
        <v>1636</v>
      </c>
      <c r="C90" s="209"/>
      <c r="D90" s="209"/>
      <c r="E90" s="209"/>
      <c r="F90" s="209"/>
      <c r="G90" s="209"/>
      <c r="H90" s="209"/>
      <c r="I90" s="209"/>
      <c r="J90" s="209"/>
      <c r="K90" s="209"/>
      <c r="L90" s="209">
        <f>K81*(1+INDEX(Assumptions_EG!$D$14:$D$22,MATCH(NewFC[[#This Row],[EnergyConvTech]],Assumptions_EG!$B$14:$B$22,0)))</f>
        <v>3182.4549343510666</v>
      </c>
      <c r="M90" s="209">
        <f>L81*(1+INDEX(Assumptions_EG!$D$14:$D$22,MATCH(NewFC[[#This Row],[EnergyConvTech]],Assumptions_EG!$B$14:$B$22,0)))</f>
        <v>3182.4549343510666</v>
      </c>
    </row>
    <row r="91" spans="1:13" x14ac:dyDescent="0.35">
      <c r="A91" s="376">
        <v>2030</v>
      </c>
      <c r="B91" s="304" t="s">
        <v>1606</v>
      </c>
      <c r="C91" s="209"/>
      <c r="D91" s="209"/>
      <c r="E91" s="209"/>
      <c r="F91" s="209"/>
      <c r="G91" s="209"/>
      <c r="H91" s="209"/>
      <c r="I91" s="209"/>
      <c r="J91" s="209"/>
      <c r="K91" s="209"/>
      <c r="L91" s="209">
        <f>K82*(1+INDEX(Assumptions_EG!$D$14:$D$22,MATCH(NewFC[[#This Row],[EnergyConvTech]],Assumptions_EG!$B$14:$B$22,0)))</f>
        <v>5642.6305836721367</v>
      </c>
      <c r="M91" s="209">
        <f>L82*(1+INDEX(Assumptions_EG!$D$14:$D$22,MATCH(NewFC[[#This Row],[EnergyConvTech]],Assumptions_EG!$B$14:$B$22,0)))</f>
        <v>5642.6305836721367</v>
      </c>
    </row>
    <row r="92" spans="1:13" x14ac:dyDescent="0.35">
      <c r="A92" s="376">
        <v>2031</v>
      </c>
      <c r="B92" s="304" t="s">
        <v>1612</v>
      </c>
      <c r="C92" s="209"/>
      <c r="D92" s="385"/>
      <c r="E92" s="209"/>
      <c r="F92" s="385"/>
      <c r="G92" s="209"/>
      <c r="H92" s="385"/>
      <c r="I92" s="209"/>
      <c r="J92" s="385"/>
      <c r="K92" s="209"/>
      <c r="L92" s="385"/>
      <c r="M92" s="209">
        <f>L83*(1+INDEX(Assumptions_EG!$D$14:$D$22,MATCH(NewFC[[#This Row],[EnergyConvTech]],Assumptions_EG!$B$14:$B$22,0)))</f>
        <v>9928.6887826901675</v>
      </c>
    </row>
    <row r="93" spans="1:13" x14ac:dyDescent="0.35">
      <c r="A93" s="376">
        <v>2031</v>
      </c>
      <c r="B93" s="304" t="s">
        <v>1613</v>
      </c>
      <c r="C93" s="209"/>
      <c r="D93" s="385"/>
      <c r="E93" s="209"/>
      <c r="F93" s="385"/>
      <c r="G93" s="209"/>
      <c r="H93" s="385"/>
      <c r="I93" s="209"/>
      <c r="J93" s="385"/>
      <c r="K93" s="209"/>
      <c r="L93" s="385"/>
      <c r="M93" s="209">
        <f>L84*(1+INDEX(Assumptions_EG!$D$14:$D$22,MATCH(NewFC[[#This Row],[EnergyConvTech]],Assumptions_EG!$B$14:$B$22,0)))</f>
        <v>8848.5269568257354</v>
      </c>
    </row>
    <row r="94" spans="1:13" x14ac:dyDescent="0.35">
      <c r="A94" s="376">
        <v>2031</v>
      </c>
      <c r="B94" s="304" t="s">
        <v>1614</v>
      </c>
      <c r="C94" s="209"/>
      <c r="D94" s="385"/>
      <c r="E94" s="209"/>
      <c r="F94" s="385"/>
      <c r="G94" s="209"/>
      <c r="H94" s="385"/>
      <c r="I94" s="209"/>
      <c r="J94" s="385"/>
      <c r="K94" s="209"/>
      <c r="L94" s="385"/>
      <c r="M94" s="209">
        <f>L85*(1+INDEX(Assumptions_EG!$D$14:$D$22,MATCH(NewFC[[#This Row],[EnergyConvTech]],Assumptions_EG!$B$14:$B$22,0)))</f>
        <v>6454.3984013550207</v>
      </c>
    </row>
    <row r="95" spans="1:13" x14ac:dyDescent="0.35">
      <c r="A95" s="376">
        <v>2031</v>
      </c>
      <c r="B95" s="304" t="s">
        <v>1604</v>
      </c>
      <c r="C95" s="209"/>
      <c r="D95" s="209"/>
      <c r="E95" s="209"/>
      <c r="F95" s="209"/>
      <c r="G95" s="209"/>
      <c r="H95" s="209"/>
      <c r="I95" s="209"/>
      <c r="J95" s="209"/>
      <c r="K95" s="209"/>
      <c r="L95" s="209"/>
      <c r="M95" s="209">
        <f>L86*(1+INDEX(Assumptions_EG!$D$14:$D$22,MATCH(NewFC[[#This Row],[EnergyConvTech]],Assumptions_EG!$B$14:$B$22,0)))</f>
        <v>10872.741503138899</v>
      </c>
    </row>
    <row r="96" spans="1:13" x14ac:dyDescent="0.35">
      <c r="A96" s="376">
        <v>2031</v>
      </c>
      <c r="B96" s="304" t="s">
        <v>1615</v>
      </c>
      <c r="C96" s="209"/>
      <c r="D96" s="209"/>
      <c r="E96" s="209"/>
      <c r="F96" s="209"/>
      <c r="G96" s="209"/>
      <c r="H96" s="209"/>
      <c r="I96" s="209"/>
      <c r="J96" s="209"/>
      <c r="K96" s="209"/>
      <c r="L96" s="209"/>
      <c r="M96" s="209">
        <f>L87*(1+INDEX(Assumptions_EG!$D$14:$D$22,MATCH(NewFC[[#This Row],[EnergyConvTech]],Assumptions_EG!$B$14:$B$22,0)))</f>
        <v>20148.813739673951</v>
      </c>
    </row>
    <row r="97" spans="1:13" x14ac:dyDescent="0.35">
      <c r="A97" s="376">
        <v>2031</v>
      </c>
      <c r="B97" s="304" t="s">
        <v>1603</v>
      </c>
      <c r="C97" s="209"/>
      <c r="D97" s="209"/>
      <c r="E97" s="209"/>
      <c r="F97" s="209"/>
      <c r="G97" s="209"/>
      <c r="H97" s="209"/>
      <c r="I97" s="209"/>
      <c r="J97" s="209"/>
      <c r="K97" s="209"/>
      <c r="L97" s="209"/>
      <c r="M97" s="209">
        <f>L88*(1+INDEX(Assumptions_EG!$D$14:$D$22,MATCH(NewFC[[#This Row],[EnergyConvTech]],Assumptions_EG!$B$14:$B$22,0)))</f>
        <v>6101.463203368502</v>
      </c>
    </row>
    <row r="98" spans="1:13" x14ac:dyDescent="0.35">
      <c r="A98" s="376">
        <v>2031</v>
      </c>
      <c r="B98" s="304" t="s">
        <v>1605</v>
      </c>
      <c r="C98" s="209"/>
      <c r="D98" s="209"/>
      <c r="E98" s="209"/>
      <c r="F98" s="209"/>
      <c r="G98" s="209"/>
      <c r="H98" s="209"/>
      <c r="I98" s="209"/>
      <c r="J98" s="209"/>
      <c r="K98" s="209"/>
      <c r="L98" s="209"/>
      <c r="M98" s="209">
        <f>L89*(1+INDEX(Assumptions_EG!$D$14:$D$22,MATCH(NewFC[[#This Row],[EnergyConvTech]],Assumptions_EG!$B$14:$B$22,0)))</f>
        <v>10426.102375692073</v>
      </c>
    </row>
    <row r="99" spans="1:13" x14ac:dyDescent="0.35">
      <c r="A99" s="376">
        <v>2031</v>
      </c>
      <c r="B99" s="304" t="s">
        <v>1636</v>
      </c>
      <c r="C99" s="209"/>
      <c r="D99" s="209"/>
      <c r="E99" s="209"/>
      <c r="F99" s="209"/>
      <c r="G99" s="209"/>
      <c r="H99" s="209"/>
      <c r="I99" s="209"/>
      <c r="J99" s="209"/>
      <c r="K99" s="209"/>
      <c r="L99" s="209"/>
      <c r="M99" s="209">
        <f>L90*(1+INDEX(Assumptions_EG!$D$14:$D$22,MATCH(NewFC[[#This Row],[EnergyConvTech]],Assumptions_EG!$B$14:$B$22,0)))</f>
        <v>3118.8058356640454</v>
      </c>
    </row>
    <row r="100" spans="1:13" x14ac:dyDescent="0.35">
      <c r="A100" s="376">
        <v>2031</v>
      </c>
      <c r="B100" s="304" t="s">
        <v>1606</v>
      </c>
      <c r="C100" s="209"/>
      <c r="D100" s="209"/>
      <c r="E100" s="209"/>
      <c r="F100" s="209"/>
      <c r="G100" s="209"/>
      <c r="H100" s="209"/>
      <c r="I100" s="209"/>
      <c r="J100" s="209"/>
      <c r="K100" s="209"/>
      <c r="L100" s="209"/>
      <c r="M100" s="209">
        <f>L91*(1+INDEX(Assumptions_EG!$D$14:$D$22,MATCH(NewFC[[#This Row],[EnergyConvTech]],Assumptions_EG!$B$14:$B$22,0)))</f>
        <v>5586.2042778354153</v>
      </c>
    </row>
    <row r="415" spans="4:4" x14ac:dyDescent="0.35">
      <c r="D415" s="379"/>
    </row>
    <row r="416" spans="4:4" x14ac:dyDescent="0.35">
      <c r="D416" s="379"/>
    </row>
    <row r="417" spans="4:4" x14ac:dyDescent="0.35">
      <c r="D417" s="379"/>
    </row>
    <row r="418" spans="4:4" x14ac:dyDescent="0.35">
      <c r="D418" s="379"/>
    </row>
    <row r="419" spans="4:4" x14ac:dyDescent="0.35">
      <c r="D419" s="379"/>
    </row>
    <row r="420" spans="4:4" x14ac:dyDescent="0.35">
      <c r="D420" s="379"/>
    </row>
    <row r="421" spans="4:4" x14ac:dyDescent="0.35">
      <c r="D421" s="379"/>
    </row>
    <row r="422" spans="4:4" x14ac:dyDescent="0.35">
      <c r="D422" s="379"/>
    </row>
    <row r="423" spans="4:4" x14ac:dyDescent="0.35">
      <c r="D423" s="379"/>
    </row>
    <row r="424" spans="4:4" x14ac:dyDescent="0.35">
      <c r="D424" s="379"/>
    </row>
    <row r="425" spans="4:4" x14ac:dyDescent="0.35">
      <c r="D425" s="379"/>
    </row>
    <row r="426" spans="4:4" x14ac:dyDescent="0.35">
      <c r="D426" s="379"/>
    </row>
    <row r="427" spans="4:4" x14ac:dyDescent="0.35">
      <c r="D427" s="379"/>
    </row>
    <row r="428" spans="4:4" x14ac:dyDescent="0.35">
      <c r="D428" s="379"/>
    </row>
    <row r="429" spans="4:4" x14ac:dyDescent="0.35">
      <c r="D429" s="379"/>
    </row>
    <row r="430" spans="4:4" x14ac:dyDescent="0.35">
      <c r="D430" s="379"/>
    </row>
    <row r="431" spans="4:4" x14ac:dyDescent="0.35">
      <c r="D431" s="379"/>
    </row>
    <row r="432" spans="4:4" x14ac:dyDescent="0.35">
      <c r="D432" s="379"/>
    </row>
    <row r="433" spans="4:4" x14ac:dyDescent="0.35">
      <c r="D433" s="379"/>
    </row>
    <row r="434" spans="4:4" x14ac:dyDescent="0.35">
      <c r="D434" s="379"/>
    </row>
    <row r="435" spans="4:4" x14ac:dyDescent="0.35">
      <c r="D435" s="379"/>
    </row>
    <row r="436" spans="4:4" x14ac:dyDescent="0.35">
      <c r="D436" s="379"/>
    </row>
    <row r="437" spans="4:4" x14ac:dyDescent="0.35">
      <c r="D437" s="379"/>
    </row>
    <row r="438" spans="4:4" x14ac:dyDescent="0.35">
      <c r="D438" s="379"/>
    </row>
    <row r="439" spans="4:4" x14ac:dyDescent="0.35">
      <c r="D439" s="379"/>
    </row>
    <row r="440" spans="4:4" x14ac:dyDescent="0.35">
      <c r="D440" s="379"/>
    </row>
    <row r="441" spans="4:4" x14ac:dyDescent="0.35">
      <c r="D441" s="379"/>
    </row>
    <row r="442" spans="4:4" x14ac:dyDescent="0.35">
      <c r="D442" s="379"/>
    </row>
    <row r="443" spans="4:4" x14ac:dyDescent="0.35">
      <c r="D443" s="379"/>
    </row>
    <row r="444" spans="4:4" x14ac:dyDescent="0.35">
      <c r="D444" s="379"/>
    </row>
    <row r="445" spans="4:4" x14ac:dyDescent="0.35">
      <c r="D445" s="379"/>
    </row>
    <row r="446" spans="4:4" x14ac:dyDescent="0.35">
      <c r="D446" s="379"/>
    </row>
    <row r="447" spans="4:4" x14ac:dyDescent="0.35">
      <c r="D447" s="379"/>
    </row>
    <row r="448" spans="4:4" x14ac:dyDescent="0.35">
      <c r="D448" s="379"/>
    </row>
    <row r="449" spans="4:4" x14ac:dyDescent="0.35">
      <c r="D449" s="379"/>
    </row>
    <row r="450" spans="4:4" x14ac:dyDescent="0.35">
      <c r="D450" s="379"/>
    </row>
    <row r="451" spans="4:4" x14ac:dyDescent="0.35">
      <c r="D451" s="379"/>
    </row>
    <row r="452" spans="4:4" x14ac:dyDescent="0.35">
      <c r="D452" s="379"/>
    </row>
    <row r="453" spans="4:4" x14ac:dyDescent="0.35">
      <c r="D453" s="379"/>
    </row>
    <row r="454" spans="4:4" x14ac:dyDescent="0.35">
      <c r="D454" s="379"/>
    </row>
    <row r="455" spans="4:4" x14ac:dyDescent="0.35">
      <c r="D455" s="379"/>
    </row>
    <row r="456" spans="4:4" x14ac:dyDescent="0.35">
      <c r="D456" s="379"/>
    </row>
    <row r="457" spans="4:4" x14ac:dyDescent="0.35">
      <c r="D457" s="379"/>
    </row>
    <row r="458" spans="4:4" x14ac:dyDescent="0.35">
      <c r="D458" s="379"/>
    </row>
    <row r="459" spans="4:4" x14ac:dyDescent="0.35">
      <c r="D459" s="379"/>
    </row>
    <row r="460" spans="4:4" x14ac:dyDescent="0.35">
      <c r="D460" s="379"/>
    </row>
    <row r="461" spans="4:4" x14ac:dyDescent="0.35">
      <c r="D461" s="379"/>
    </row>
    <row r="462" spans="4:4" x14ac:dyDescent="0.35">
      <c r="D462" s="379"/>
    </row>
    <row r="463" spans="4:4" x14ac:dyDescent="0.35">
      <c r="D463" s="379"/>
    </row>
    <row r="464" spans="4:4" x14ac:dyDescent="0.35">
      <c r="D464" s="379"/>
    </row>
    <row r="465" spans="4:4" x14ac:dyDescent="0.35">
      <c r="D465" s="379"/>
    </row>
    <row r="466" spans="4:4" x14ac:dyDescent="0.35">
      <c r="D466" s="379"/>
    </row>
    <row r="467" spans="4:4" x14ac:dyDescent="0.35">
      <c r="D467" s="379"/>
    </row>
    <row r="468" spans="4:4" x14ac:dyDescent="0.35">
      <c r="D468" s="379"/>
    </row>
    <row r="469" spans="4:4" x14ac:dyDescent="0.35">
      <c r="D469" s="379"/>
    </row>
    <row r="470" spans="4:4" x14ac:dyDescent="0.35">
      <c r="D470" s="379"/>
    </row>
    <row r="471" spans="4:4" x14ac:dyDescent="0.35">
      <c r="D471" s="379"/>
    </row>
    <row r="472" spans="4:4" x14ac:dyDescent="0.35">
      <c r="D472" s="379"/>
    </row>
    <row r="473" spans="4:4" x14ac:dyDescent="0.35">
      <c r="D473" s="379"/>
    </row>
    <row r="474" spans="4:4" x14ac:dyDescent="0.35">
      <c r="D474" s="379"/>
    </row>
    <row r="475" spans="4:4" x14ac:dyDescent="0.35">
      <c r="D475" s="379"/>
    </row>
    <row r="476" spans="4:4" x14ac:dyDescent="0.35">
      <c r="D476" s="379"/>
    </row>
    <row r="477" spans="4:4" x14ac:dyDescent="0.35">
      <c r="D477" s="379"/>
    </row>
    <row r="478" spans="4:4" x14ac:dyDescent="0.35">
      <c r="D478" s="379"/>
    </row>
    <row r="479" spans="4:4" x14ac:dyDescent="0.35">
      <c r="D479" s="379"/>
    </row>
    <row r="480" spans="4:4" x14ac:dyDescent="0.35">
      <c r="D480" s="379"/>
    </row>
    <row r="481" spans="4:4" x14ac:dyDescent="0.35">
      <c r="D481" s="379"/>
    </row>
    <row r="482" spans="4:4" x14ac:dyDescent="0.35">
      <c r="D482" s="379"/>
    </row>
    <row r="483" spans="4:4" x14ac:dyDescent="0.35">
      <c r="D483" s="379"/>
    </row>
    <row r="484" spans="4:4" x14ac:dyDescent="0.35">
      <c r="D484" s="379"/>
    </row>
    <row r="485" spans="4:4" x14ac:dyDescent="0.35">
      <c r="D485" s="379"/>
    </row>
    <row r="486" spans="4:4" x14ac:dyDescent="0.35">
      <c r="D486" s="379"/>
    </row>
    <row r="487" spans="4:4" x14ac:dyDescent="0.35">
      <c r="D487" s="379"/>
    </row>
    <row r="488" spans="4:4" x14ac:dyDescent="0.35">
      <c r="D488" s="379"/>
    </row>
    <row r="489" spans="4:4" x14ac:dyDescent="0.35">
      <c r="D489" s="379"/>
    </row>
    <row r="490" spans="4:4" x14ac:dyDescent="0.35">
      <c r="D490" s="379"/>
    </row>
    <row r="491" spans="4:4" x14ac:dyDescent="0.35">
      <c r="D491" s="379"/>
    </row>
    <row r="492" spans="4:4" x14ac:dyDescent="0.35">
      <c r="D492" s="379"/>
    </row>
  </sheetData>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heetViews>
  <sheetFormatPr defaultRowHeight="14.5" x14ac:dyDescent="0.35"/>
  <cols>
    <col min="1" max="1" width="16.7265625" bestFit="1" customWidth="1"/>
  </cols>
  <sheetData>
    <row r="1" spans="1:13" x14ac:dyDescent="0.35">
      <c r="A1" s="304" t="s">
        <v>1561</v>
      </c>
      <c r="B1" s="304" t="s">
        <v>1472</v>
      </c>
      <c r="C1" s="304" t="s">
        <v>1473</v>
      </c>
      <c r="D1" s="304" t="s">
        <v>1474</v>
      </c>
      <c r="E1" s="304" t="s">
        <v>1475</v>
      </c>
      <c r="F1" s="304" t="s">
        <v>1476</v>
      </c>
      <c r="G1" s="304" t="s">
        <v>1477</v>
      </c>
      <c r="H1" s="304" t="s">
        <v>1478</v>
      </c>
      <c r="I1" s="304" t="s">
        <v>1479</v>
      </c>
      <c r="J1" s="304" t="s">
        <v>1480</v>
      </c>
      <c r="K1" s="304" t="s">
        <v>1481</v>
      </c>
      <c r="L1" s="304" t="s">
        <v>1482</v>
      </c>
      <c r="M1" s="304" t="s">
        <v>1483</v>
      </c>
    </row>
    <row r="2" spans="1:13" x14ac:dyDescent="0.35">
      <c r="A2" s="304" t="s">
        <v>1612</v>
      </c>
      <c r="B2" s="150">
        <f>Assumptions_EG!C69</f>
        <v>0.25</v>
      </c>
      <c r="C2" s="150">
        <f>B2*(1+Assumptions_EG!$D69)</f>
        <v>0.25416153763803245</v>
      </c>
      <c r="D2" s="150">
        <f>C2*(1+Assumptions_EG!$D69)</f>
        <v>0.25839234885811596</v>
      </c>
      <c r="E2" s="150">
        <f>D2*(1+Assumptions_EG!$D69)</f>
        <v>0.26269358679872662</v>
      </c>
      <c r="F2" s="150">
        <f>E2*(1+Assumptions_EG!$D69)</f>
        <v>0.26706642379365719</v>
      </c>
      <c r="G2" s="150">
        <f>F2*(1+Assumptions_EG!$D69)</f>
        <v>0.2715120516915453</v>
      </c>
      <c r="H2" s="150">
        <f>G2*(1+Assumptions_EG!$D69)</f>
        <v>0.27603168218072044</v>
      </c>
      <c r="I2" s="150">
        <f>H2*(1+Assumptions_EG!$D69)</f>
        <v>0.28062654711945834</v>
      </c>
      <c r="J2" s="150">
        <f>I2*(1+Assumptions_EG!$D69)</f>
        <v>0.28529789887173318</v>
      </c>
      <c r="K2" s="150">
        <f>J2*(1+Assumptions_EG!$D69)</f>
        <v>0.29004701064855837</v>
      </c>
      <c r="L2" s="150">
        <f>K2*(1+Assumptions_EG!$D69)</f>
        <v>0.29487517685500947</v>
      </c>
      <c r="M2" s="150">
        <f>L2*(1+Assumptions_EG!$D69)</f>
        <v>0.29978371344302385</v>
      </c>
    </row>
    <row r="3" spans="1:13" x14ac:dyDescent="0.35">
      <c r="A3" s="304" t="s">
        <v>1613</v>
      </c>
      <c r="B3" s="150">
        <f>Assumptions_EG!C70</f>
        <v>0.25</v>
      </c>
      <c r="C3" s="150">
        <f>B3*(1+Assumptions_EG!$D70)</f>
        <v>0.25299087477082649</v>
      </c>
      <c r="D3" s="150">
        <f>C3*(1+Assumptions_EG!$D70)</f>
        <v>0.25601753086923207</v>
      </c>
      <c r="E3" s="150">
        <f>D3*(1+Assumptions_EG!$D70)</f>
        <v>0.25908039636509639</v>
      </c>
      <c r="F3" s="150">
        <f>E3*(1+Assumptions_EG!$D70)</f>
        <v>0.26217990444951278</v>
      </c>
      <c r="G3" s="150">
        <f>F3*(1+Assumptions_EG!$D70)</f>
        <v>0.26531649349605579</v>
      </c>
      <c r="H3" s="150">
        <f>G3*(1+Assumptions_EG!$D70)</f>
        <v>0.26849060712278183</v>
      </c>
      <c r="I3" s="150">
        <f>H3*(1+Assumptions_EG!$D70)</f>
        <v>0.27170269425497151</v>
      </c>
      <c r="J3" s="150">
        <f>I3*(1+Assumptions_EG!$D70)</f>
        <v>0.27495320918862265</v>
      </c>
      <c r="K3" s="150">
        <f>J3*(1+Assumptions_EG!$D70)</f>
        <v>0.27824261165470277</v>
      </c>
      <c r="L3" s="150">
        <f>K3*(1+Assumptions_EG!$D70)</f>
        <v>0.28157136688417045</v>
      </c>
      <c r="M3" s="150">
        <f>L3*(1+Assumptions_EG!$D70)</f>
        <v>0.28493994567377445</v>
      </c>
    </row>
    <row r="4" spans="1:13" x14ac:dyDescent="0.35">
      <c r="A4" s="304" t="s">
        <v>1614</v>
      </c>
      <c r="B4" s="150">
        <f>Assumptions_EG!C71</f>
        <v>0.25</v>
      </c>
      <c r="C4" s="150">
        <f>B4*(1+Assumptions_EG!$D71)</f>
        <v>0.25299087477082649</v>
      </c>
      <c r="D4" s="150">
        <f>C4*(1+Assumptions_EG!$D71)</f>
        <v>0.25601753086923207</v>
      </c>
      <c r="E4" s="150">
        <f>D4*(1+Assumptions_EG!$D71)</f>
        <v>0.25908039636509639</v>
      </c>
      <c r="F4" s="150">
        <f>E4*(1+Assumptions_EG!$D71)</f>
        <v>0.26217990444951278</v>
      </c>
      <c r="G4" s="150">
        <f>F4*(1+Assumptions_EG!$D71)</f>
        <v>0.26531649349605579</v>
      </c>
      <c r="H4" s="150">
        <f>G4*(1+Assumptions_EG!$D71)</f>
        <v>0.26849060712278183</v>
      </c>
      <c r="I4" s="150">
        <f>H4*(1+Assumptions_EG!$D71)</f>
        <v>0.27170269425497151</v>
      </c>
      <c r="J4" s="150">
        <f>I4*(1+Assumptions_EG!$D71)</f>
        <v>0.27495320918862265</v>
      </c>
      <c r="K4" s="150">
        <f>J4*(1+Assumptions_EG!$D71)</f>
        <v>0.27824261165470277</v>
      </c>
      <c r="L4" s="150">
        <f>K4*(1+Assumptions_EG!$D71)</f>
        <v>0.28157136688417045</v>
      </c>
      <c r="M4" s="150">
        <f>L4*(1+Assumptions_EG!$D71)</f>
        <v>0.28493994567377445</v>
      </c>
    </row>
    <row r="5" spans="1:13" x14ac:dyDescent="0.35">
      <c r="A5" s="304" t="s">
        <v>1605</v>
      </c>
      <c r="B5" s="304">
        <v>0</v>
      </c>
      <c r="C5" s="304">
        <f t="shared" ref="C5:C10" si="0">B5</f>
        <v>0</v>
      </c>
      <c r="D5" s="304">
        <f t="shared" ref="D5:M10" si="1">C5</f>
        <v>0</v>
      </c>
      <c r="E5" s="304">
        <f t="shared" si="1"/>
        <v>0</v>
      </c>
      <c r="F5" s="304">
        <f t="shared" si="1"/>
        <v>0</v>
      </c>
      <c r="G5" s="304">
        <f t="shared" si="1"/>
        <v>0</v>
      </c>
      <c r="H5" s="304">
        <f t="shared" si="1"/>
        <v>0</v>
      </c>
      <c r="I5" s="304">
        <f t="shared" si="1"/>
        <v>0</v>
      </c>
      <c r="J5" s="304">
        <f t="shared" si="1"/>
        <v>0</v>
      </c>
      <c r="K5" s="304">
        <f t="shared" si="1"/>
        <v>0</v>
      </c>
      <c r="L5" s="304">
        <f t="shared" si="1"/>
        <v>0</v>
      </c>
      <c r="M5" s="304">
        <f t="shared" si="1"/>
        <v>0</v>
      </c>
    </row>
    <row r="6" spans="1:13" x14ac:dyDescent="0.35">
      <c r="A6" s="304" t="s">
        <v>1615</v>
      </c>
      <c r="B6" s="304">
        <v>0</v>
      </c>
      <c r="C6" s="304">
        <f t="shared" si="0"/>
        <v>0</v>
      </c>
      <c r="D6" s="304">
        <f t="shared" si="1"/>
        <v>0</v>
      </c>
      <c r="E6" s="304">
        <f t="shared" si="1"/>
        <v>0</v>
      </c>
      <c r="F6" s="304">
        <f t="shared" si="1"/>
        <v>0</v>
      </c>
      <c r="G6" s="304">
        <f t="shared" si="1"/>
        <v>0</v>
      </c>
      <c r="H6" s="304">
        <f t="shared" si="1"/>
        <v>0</v>
      </c>
      <c r="I6" s="304">
        <f t="shared" si="1"/>
        <v>0</v>
      </c>
      <c r="J6" s="304">
        <f t="shared" si="1"/>
        <v>0</v>
      </c>
      <c r="K6" s="304">
        <f t="shared" si="1"/>
        <v>0</v>
      </c>
      <c r="L6" s="304">
        <f t="shared" si="1"/>
        <v>0</v>
      </c>
      <c r="M6" s="304">
        <f t="shared" si="1"/>
        <v>0</v>
      </c>
    </row>
    <row r="7" spans="1:13" x14ac:dyDescent="0.35">
      <c r="A7" s="304" t="s">
        <v>1604</v>
      </c>
      <c r="B7" s="304">
        <v>0</v>
      </c>
      <c r="C7" s="304">
        <f t="shared" si="0"/>
        <v>0</v>
      </c>
      <c r="D7" s="304">
        <f t="shared" si="1"/>
        <v>0</v>
      </c>
      <c r="E7" s="304">
        <f t="shared" si="1"/>
        <v>0</v>
      </c>
      <c r="F7" s="304">
        <f t="shared" si="1"/>
        <v>0</v>
      </c>
      <c r="G7" s="304">
        <f t="shared" si="1"/>
        <v>0</v>
      </c>
      <c r="H7" s="304">
        <f t="shared" si="1"/>
        <v>0</v>
      </c>
      <c r="I7" s="304">
        <f t="shared" si="1"/>
        <v>0</v>
      </c>
      <c r="J7" s="304">
        <f t="shared" si="1"/>
        <v>0</v>
      </c>
      <c r="K7" s="304">
        <f t="shared" si="1"/>
        <v>0</v>
      </c>
      <c r="L7" s="304">
        <f t="shared" si="1"/>
        <v>0</v>
      </c>
      <c r="M7" s="304">
        <f t="shared" si="1"/>
        <v>0</v>
      </c>
    </row>
    <row r="8" spans="1:13" x14ac:dyDescent="0.35">
      <c r="A8" s="304" t="s">
        <v>1603</v>
      </c>
      <c r="B8" s="304">
        <v>0</v>
      </c>
      <c r="C8" s="304">
        <f t="shared" si="0"/>
        <v>0</v>
      </c>
      <c r="D8" s="304">
        <f t="shared" si="1"/>
        <v>0</v>
      </c>
      <c r="E8" s="304">
        <f t="shared" si="1"/>
        <v>0</v>
      </c>
      <c r="F8" s="304">
        <f t="shared" si="1"/>
        <v>0</v>
      </c>
      <c r="G8" s="304">
        <f t="shared" si="1"/>
        <v>0</v>
      </c>
      <c r="H8" s="304">
        <f t="shared" si="1"/>
        <v>0</v>
      </c>
      <c r="I8" s="304">
        <f t="shared" si="1"/>
        <v>0</v>
      </c>
      <c r="J8" s="304">
        <f t="shared" si="1"/>
        <v>0</v>
      </c>
      <c r="K8" s="304">
        <f t="shared" si="1"/>
        <v>0</v>
      </c>
      <c r="L8" s="304">
        <f t="shared" si="1"/>
        <v>0</v>
      </c>
      <c r="M8" s="304">
        <f t="shared" si="1"/>
        <v>0</v>
      </c>
    </row>
    <row r="9" spans="1:13" x14ac:dyDescent="0.35">
      <c r="A9" s="304" t="s">
        <v>1636</v>
      </c>
      <c r="B9" s="304">
        <v>0</v>
      </c>
      <c r="C9" s="304">
        <f t="shared" si="0"/>
        <v>0</v>
      </c>
      <c r="D9" s="304">
        <f t="shared" si="1"/>
        <v>0</v>
      </c>
      <c r="E9" s="304">
        <f t="shared" si="1"/>
        <v>0</v>
      </c>
      <c r="F9" s="304">
        <f t="shared" si="1"/>
        <v>0</v>
      </c>
      <c r="G9" s="304">
        <f t="shared" si="1"/>
        <v>0</v>
      </c>
      <c r="H9" s="304">
        <f t="shared" si="1"/>
        <v>0</v>
      </c>
      <c r="I9" s="304">
        <f t="shared" si="1"/>
        <v>0</v>
      </c>
      <c r="J9" s="304">
        <f t="shared" si="1"/>
        <v>0</v>
      </c>
      <c r="K9" s="304">
        <f t="shared" si="1"/>
        <v>0</v>
      </c>
      <c r="L9" s="304">
        <f t="shared" si="1"/>
        <v>0</v>
      </c>
      <c r="M9" s="304">
        <f t="shared" si="1"/>
        <v>0</v>
      </c>
    </row>
    <row r="10" spans="1:13" x14ac:dyDescent="0.35">
      <c r="A10" s="304" t="s">
        <v>1606</v>
      </c>
      <c r="B10" s="304">
        <v>0</v>
      </c>
      <c r="C10" s="304">
        <f t="shared" si="0"/>
        <v>0</v>
      </c>
      <c r="D10" s="304">
        <f t="shared" si="1"/>
        <v>0</v>
      </c>
      <c r="E10" s="304">
        <f t="shared" si="1"/>
        <v>0</v>
      </c>
      <c r="F10" s="304">
        <f t="shared" si="1"/>
        <v>0</v>
      </c>
      <c r="G10" s="304">
        <f t="shared" si="1"/>
        <v>0</v>
      </c>
      <c r="H10" s="304">
        <f t="shared" si="1"/>
        <v>0</v>
      </c>
      <c r="I10" s="304">
        <f t="shared" si="1"/>
        <v>0</v>
      </c>
      <c r="J10" s="304">
        <f t="shared" si="1"/>
        <v>0</v>
      </c>
      <c r="K10" s="304">
        <f t="shared" si="1"/>
        <v>0</v>
      </c>
      <c r="L10" s="304">
        <f t="shared" si="1"/>
        <v>0</v>
      </c>
      <c r="M10" s="304">
        <f t="shared" si="1"/>
        <v>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heetViews>
  <sheetFormatPr defaultColWidth="8.7265625" defaultRowHeight="14.5" x14ac:dyDescent="0.35"/>
  <cols>
    <col min="1" max="1" width="16.7265625" style="304" bestFit="1" customWidth="1"/>
    <col min="2" max="16384" width="8.7265625" style="304"/>
  </cols>
  <sheetData>
    <row r="1" spans="1:13" x14ac:dyDescent="0.35">
      <c r="A1" s="304" t="s">
        <v>1561</v>
      </c>
      <c r="B1" s="304" t="s">
        <v>1472</v>
      </c>
      <c r="C1" s="304" t="s">
        <v>1473</v>
      </c>
      <c r="D1" s="304" t="s">
        <v>1474</v>
      </c>
      <c r="E1" s="304" t="s">
        <v>1475</v>
      </c>
      <c r="F1" s="304" t="s">
        <v>1476</v>
      </c>
      <c r="G1" s="304" t="s">
        <v>1477</v>
      </c>
      <c r="H1" s="304" t="s">
        <v>1478</v>
      </c>
      <c r="I1" s="304" t="s">
        <v>1479</v>
      </c>
      <c r="J1" s="304" t="s">
        <v>1480</v>
      </c>
      <c r="K1" s="304" t="s">
        <v>1481</v>
      </c>
      <c r="L1" s="304" t="s">
        <v>1482</v>
      </c>
      <c r="M1" s="304" t="s">
        <v>1483</v>
      </c>
    </row>
    <row r="2" spans="1:13" x14ac:dyDescent="0.35">
      <c r="A2" s="304" t="s">
        <v>1612</v>
      </c>
      <c r="B2" s="304">
        <f>ConvEff!D7</f>
        <v>0.35737526128209052</v>
      </c>
      <c r="C2" s="304">
        <f>ConvEff!D9</f>
        <v>0.37384575124303709</v>
      </c>
      <c r="D2" s="304">
        <f>ConvEff!D9</f>
        <v>0.37384575124303709</v>
      </c>
      <c r="E2" s="304">
        <f t="shared" ref="E2:M2" si="0">D2</f>
        <v>0.37384575124303709</v>
      </c>
      <c r="F2" s="304">
        <f t="shared" si="0"/>
        <v>0.37384575124303709</v>
      </c>
      <c r="G2" s="304">
        <f t="shared" si="0"/>
        <v>0.37384575124303709</v>
      </c>
      <c r="H2" s="304">
        <f t="shared" si="0"/>
        <v>0.37384575124303709</v>
      </c>
      <c r="I2" s="304">
        <f t="shared" si="0"/>
        <v>0.37384575124303709</v>
      </c>
      <c r="J2" s="304">
        <f t="shared" si="0"/>
        <v>0.37384575124303709</v>
      </c>
      <c r="K2" s="304">
        <f t="shared" si="0"/>
        <v>0.37384575124303709</v>
      </c>
      <c r="L2" s="304">
        <f t="shared" si="0"/>
        <v>0.37384575124303709</v>
      </c>
      <c r="M2" s="304">
        <f t="shared" si="0"/>
        <v>0.37384575124303709</v>
      </c>
    </row>
    <row r="3" spans="1:13" x14ac:dyDescent="0.35">
      <c r="A3" s="304" t="s">
        <v>1613</v>
      </c>
      <c r="B3" s="304">
        <f>ConvEff!D8</f>
        <v>0.40444272241720852</v>
      </c>
      <c r="C3" s="304">
        <f>ConvEff!D10</f>
        <v>0.40444272241720852</v>
      </c>
      <c r="D3" s="304">
        <f t="shared" ref="D3:M3" si="1">C3</f>
        <v>0.40444272241720852</v>
      </c>
      <c r="E3" s="304">
        <f t="shared" si="1"/>
        <v>0.40444272241720852</v>
      </c>
      <c r="F3" s="304">
        <f t="shared" si="1"/>
        <v>0.40444272241720852</v>
      </c>
      <c r="G3" s="304">
        <f t="shared" si="1"/>
        <v>0.40444272241720852</v>
      </c>
      <c r="H3" s="304">
        <f t="shared" si="1"/>
        <v>0.40444272241720852</v>
      </c>
      <c r="I3" s="304">
        <f t="shared" si="1"/>
        <v>0.40444272241720852</v>
      </c>
      <c r="J3" s="304">
        <f t="shared" si="1"/>
        <v>0.40444272241720852</v>
      </c>
      <c r="K3" s="304">
        <f t="shared" si="1"/>
        <v>0.40444272241720852</v>
      </c>
      <c r="L3" s="304">
        <f t="shared" si="1"/>
        <v>0.40444272241720852</v>
      </c>
      <c r="M3" s="304">
        <f t="shared" si="1"/>
        <v>0.40444272241720852</v>
      </c>
    </row>
    <row r="4" spans="1:13" x14ac:dyDescent="0.35">
      <c r="A4" s="304" t="s">
        <v>1614</v>
      </c>
      <c r="C4" s="304">
        <f>ConvEff!D11</f>
        <v>0.28070162831646173</v>
      </c>
      <c r="D4" s="304">
        <f t="shared" ref="D4:M4" si="2">C4</f>
        <v>0.28070162831646173</v>
      </c>
      <c r="E4" s="304">
        <f t="shared" si="2"/>
        <v>0.28070162831646173</v>
      </c>
      <c r="F4" s="304">
        <f t="shared" si="2"/>
        <v>0.28070162831646173</v>
      </c>
      <c r="G4" s="304">
        <f t="shared" si="2"/>
        <v>0.28070162831646173</v>
      </c>
      <c r="H4" s="304">
        <f t="shared" si="2"/>
        <v>0.28070162831646173</v>
      </c>
      <c r="I4" s="304">
        <f t="shared" si="2"/>
        <v>0.28070162831646173</v>
      </c>
      <c r="J4" s="304">
        <f t="shared" si="2"/>
        <v>0.28070162831646173</v>
      </c>
      <c r="K4" s="304">
        <f t="shared" si="2"/>
        <v>0.28070162831646173</v>
      </c>
      <c r="L4" s="304">
        <f t="shared" si="2"/>
        <v>0.28070162831646173</v>
      </c>
      <c r="M4" s="304">
        <f t="shared" si="2"/>
        <v>0.28070162831646173</v>
      </c>
    </row>
    <row r="5" spans="1:13" x14ac:dyDescent="0.35">
      <c r="A5" s="304" t="s">
        <v>1605</v>
      </c>
      <c r="B5" s="304">
        <f>ConvEff!D12</f>
        <v>0.23884589662749595</v>
      </c>
      <c r="C5" s="304">
        <f t="shared" ref="C5:C10" si="3">B5</f>
        <v>0.23884589662749595</v>
      </c>
      <c r="D5" s="304">
        <f t="shared" ref="D5:M5" si="4">C5</f>
        <v>0.23884589662749595</v>
      </c>
      <c r="E5" s="304">
        <f t="shared" si="4"/>
        <v>0.23884589662749595</v>
      </c>
      <c r="F5" s="304">
        <f t="shared" si="4"/>
        <v>0.23884589662749595</v>
      </c>
      <c r="G5" s="304">
        <f t="shared" si="4"/>
        <v>0.23884589662749595</v>
      </c>
      <c r="H5" s="304">
        <f t="shared" si="4"/>
        <v>0.23884589662749595</v>
      </c>
      <c r="I5" s="304">
        <f t="shared" si="4"/>
        <v>0.23884589662749595</v>
      </c>
      <c r="J5" s="304">
        <f t="shared" si="4"/>
        <v>0.23884589662749595</v>
      </c>
      <c r="K5" s="304">
        <f t="shared" si="4"/>
        <v>0.23884589662749595</v>
      </c>
      <c r="L5" s="304">
        <f t="shared" si="4"/>
        <v>0.23884589662749595</v>
      </c>
      <c r="M5" s="304">
        <f t="shared" si="4"/>
        <v>0.23884589662749595</v>
      </c>
    </row>
    <row r="6" spans="1:13" x14ac:dyDescent="0.35">
      <c r="A6" s="304" t="s">
        <v>1615</v>
      </c>
      <c r="B6" s="376">
        <f>ConvEff!D13</f>
        <v>1</v>
      </c>
      <c r="C6" s="304">
        <f t="shared" si="3"/>
        <v>1</v>
      </c>
      <c r="D6" s="304">
        <f t="shared" ref="D6:M6" si="5">C6</f>
        <v>1</v>
      </c>
      <c r="E6" s="304">
        <f t="shared" si="5"/>
        <v>1</v>
      </c>
      <c r="F6" s="304">
        <f t="shared" si="5"/>
        <v>1</v>
      </c>
      <c r="G6" s="304">
        <f t="shared" si="5"/>
        <v>1</v>
      </c>
      <c r="H6" s="304">
        <f t="shared" si="5"/>
        <v>1</v>
      </c>
      <c r="I6" s="304">
        <f t="shared" si="5"/>
        <v>1</v>
      </c>
      <c r="J6" s="304">
        <f t="shared" si="5"/>
        <v>1</v>
      </c>
      <c r="K6" s="304">
        <f t="shared" si="5"/>
        <v>1</v>
      </c>
      <c r="L6" s="304">
        <f t="shared" si="5"/>
        <v>1</v>
      </c>
      <c r="M6" s="304">
        <f t="shared" si="5"/>
        <v>1</v>
      </c>
    </row>
    <row r="7" spans="1:13" x14ac:dyDescent="0.35">
      <c r="A7" s="304" t="s">
        <v>1604</v>
      </c>
      <c r="B7" s="376">
        <f>ConvEff!D13</f>
        <v>1</v>
      </c>
      <c r="C7" s="304">
        <f t="shared" si="3"/>
        <v>1</v>
      </c>
      <c r="D7" s="304">
        <f t="shared" ref="D7:M7" si="6">C7</f>
        <v>1</v>
      </c>
      <c r="E7" s="304">
        <f t="shared" si="6"/>
        <v>1</v>
      </c>
      <c r="F7" s="304">
        <f t="shared" si="6"/>
        <v>1</v>
      </c>
      <c r="G7" s="304">
        <f t="shared" si="6"/>
        <v>1</v>
      </c>
      <c r="H7" s="304">
        <f t="shared" si="6"/>
        <v>1</v>
      </c>
      <c r="I7" s="304">
        <f t="shared" si="6"/>
        <v>1</v>
      </c>
      <c r="J7" s="304">
        <f t="shared" si="6"/>
        <v>1</v>
      </c>
      <c r="K7" s="304">
        <f t="shared" si="6"/>
        <v>1</v>
      </c>
      <c r="L7" s="304">
        <f t="shared" si="6"/>
        <v>1</v>
      </c>
      <c r="M7" s="304">
        <f t="shared" si="6"/>
        <v>1</v>
      </c>
    </row>
    <row r="8" spans="1:13" x14ac:dyDescent="0.35">
      <c r="A8" s="304" t="s">
        <v>1603</v>
      </c>
      <c r="B8" s="376">
        <f>ConvEff!D13</f>
        <v>1</v>
      </c>
      <c r="C8" s="304">
        <f t="shared" si="3"/>
        <v>1</v>
      </c>
      <c r="D8" s="304">
        <f t="shared" ref="D8:M8" si="7">C8</f>
        <v>1</v>
      </c>
      <c r="E8" s="304">
        <f t="shared" si="7"/>
        <v>1</v>
      </c>
      <c r="F8" s="304">
        <f t="shared" si="7"/>
        <v>1</v>
      </c>
      <c r="G8" s="304">
        <f t="shared" si="7"/>
        <v>1</v>
      </c>
      <c r="H8" s="304">
        <f t="shared" si="7"/>
        <v>1</v>
      </c>
      <c r="I8" s="304">
        <f t="shared" si="7"/>
        <v>1</v>
      </c>
      <c r="J8" s="304">
        <f t="shared" si="7"/>
        <v>1</v>
      </c>
      <c r="K8" s="304">
        <f t="shared" si="7"/>
        <v>1</v>
      </c>
      <c r="L8" s="304">
        <f t="shared" si="7"/>
        <v>1</v>
      </c>
      <c r="M8" s="304">
        <f t="shared" si="7"/>
        <v>1</v>
      </c>
    </row>
    <row r="9" spans="1:13" x14ac:dyDescent="0.35">
      <c r="A9" s="304" t="s">
        <v>1636</v>
      </c>
      <c r="B9" s="376">
        <f>ConvEff!D13</f>
        <v>1</v>
      </c>
      <c r="C9" s="304">
        <f t="shared" si="3"/>
        <v>1</v>
      </c>
      <c r="D9" s="304">
        <f t="shared" ref="D9:M9" si="8">C9</f>
        <v>1</v>
      </c>
      <c r="E9" s="304">
        <f t="shared" si="8"/>
        <v>1</v>
      </c>
      <c r="F9" s="304">
        <f t="shared" si="8"/>
        <v>1</v>
      </c>
      <c r="G9" s="304">
        <f t="shared" si="8"/>
        <v>1</v>
      </c>
      <c r="H9" s="304">
        <f t="shared" si="8"/>
        <v>1</v>
      </c>
      <c r="I9" s="304">
        <f t="shared" si="8"/>
        <v>1</v>
      </c>
      <c r="J9" s="304">
        <f t="shared" si="8"/>
        <v>1</v>
      </c>
      <c r="K9" s="304">
        <f t="shared" si="8"/>
        <v>1</v>
      </c>
      <c r="L9" s="304">
        <f t="shared" si="8"/>
        <v>1</v>
      </c>
      <c r="M9" s="304">
        <f t="shared" si="8"/>
        <v>1</v>
      </c>
    </row>
    <row r="10" spans="1:13" x14ac:dyDescent="0.35">
      <c r="A10" s="304" t="s">
        <v>1606</v>
      </c>
      <c r="B10" s="376">
        <f>ConvEff!D13</f>
        <v>1</v>
      </c>
      <c r="C10" s="304">
        <f t="shared" si="3"/>
        <v>1</v>
      </c>
      <c r="D10" s="304">
        <f t="shared" ref="D10:M10" si="9">C10</f>
        <v>1</v>
      </c>
      <c r="E10" s="304">
        <f t="shared" si="9"/>
        <v>1</v>
      </c>
      <c r="F10" s="304">
        <f t="shared" si="9"/>
        <v>1</v>
      </c>
      <c r="G10" s="304">
        <f t="shared" si="9"/>
        <v>1</v>
      </c>
      <c r="H10" s="304">
        <f t="shared" si="9"/>
        <v>1</v>
      </c>
      <c r="I10" s="304">
        <f t="shared" si="9"/>
        <v>1</v>
      </c>
      <c r="J10" s="304">
        <f t="shared" si="9"/>
        <v>1</v>
      </c>
      <c r="K10" s="304">
        <f t="shared" si="9"/>
        <v>1</v>
      </c>
      <c r="L10" s="304">
        <f t="shared" si="9"/>
        <v>1</v>
      </c>
      <c r="M10" s="304">
        <f t="shared" si="9"/>
        <v>1</v>
      </c>
    </row>
  </sheetData>
  <pageMargins left="0.7" right="0.7" top="0.75" bottom="0.75" header="0.3" footer="0.3"/>
  <pageSetup paperSize="9" orientation="portrait"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26953125" defaultRowHeight="14.5" x14ac:dyDescent="0.35"/>
  <cols>
    <col min="1" max="1" width="20.54296875" style="304" bestFit="1" customWidth="1"/>
    <col min="2" max="2" width="20.26953125" style="304" customWidth="1"/>
    <col min="3" max="3" width="25.453125" style="304" customWidth="1"/>
    <col min="4" max="4" width="82.453125" style="304" customWidth="1"/>
    <col min="5" max="5" width="42.54296875" style="304" bestFit="1" customWidth="1"/>
    <col min="6" max="16384" width="9.26953125" style="304"/>
  </cols>
  <sheetData>
    <row r="1" spans="1:3" x14ac:dyDescent="0.35">
      <c r="A1" s="29" t="s">
        <v>1879</v>
      </c>
    </row>
    <row r="2" spans="1:3" x14ac:dyDescent="0.35">
      <c r="B2" s="304" t="s">
        <v>1561</v>
      </c>
      <c r="C2" t="s">
        <v>1879</v>
      </c>
    </row>
    <row r="3" spans="1:3" x14ac:dyDescent="0.35">
      <c r="B3" s="139" t="str">
        <f>MaxAnnualUF!B20</f>
        <v>EG_COAL</v>
      </c>
      <c r="C3" s="150">
        <f>MaxAnnualUF!C20</f>
        <v>0.85</v>
      </c>
    </row>
    <row r="4" spans="1:3" x14ac:dyDescent="0.35">
      <c r="B4" s="139" t="str">
        <f>MaxAnnualUF!B21</f>
        <v>EG_CCGT</v>
      </c>
      <c r="C4" s="150">
        <f>MaxAnnualUF!C21</f>
        <v>0.85</v>
      </c>
    </row>
    <row r="5" spans="1:3" x14ac:dyDescent="0.35">
      <c r="B5" s="139" t="str">
        <f>MaxAnnualUF!B22</f>
        <v>EG_OCGT</v>
      </c>
      <c r="C5" s="150">
        <f>MaxAnnualUF!C22</f>
        <v>0.85</v>
      </c>
    </row>
    <row r="6" spans="1:3" x14ac:dyDescent="0.35">
      <c r="B6" s="139" t="str">
        <f>MaxAnnualUF!B23</f>
        <v>EG_BIOMASS</v>
      </c>
      <c r="C6" s="150">
        <f>MaxAnnualUF!C23</f>
        <v>1</v>
      </c>
    </row>
    <row r="7" spans="1:3" x14ac:dyDescent="0.35">
      <c r="B7" s="139" t="str">
        <f>MaxAnnualUF!B24</f>
        <v>EG_LH</v>
      </c>
      <c r="C7" s="150">
        <f>MaxAnnualUF!C24</f>
        <v>1</v>
      </c>
    </row>
    <row r="8" spans="1:3" x14ac:dyDescent="0.35">
      <c r="B8" s="139" t="str">
        <f>MaxAnnualUF!B25</f>
        <v>EG_SH</v>
      </c>
      <c r="C8" s="150">
        <f>MaxAnnualUF!C25</f>
        <v>1</v>
      </c>
    </row>
    <row r="9" spans="1:3" x14ac:dyDescent="0.35">
      <c r="B9" s="139" t="str">
        <f>MaxAnnualUF!B26</f>
        <v>EG_SOLARPV</v>
      </c>
      <c r="C9" s="150">
        <f>MaxAnnualUF!C26</f>
        <v>1</v>
      </c>
    </row>
    <row r="10" spans="1:3" x14ac:dyDescent="0.35">
      <c r="B10" s="139" t="str">
        <f>MaxAnnualUF!B27</f>
        <v>EG_WIND</v>
      </c>
      <c r="C10" s="150">
        <f>MaxAnnualUF!C27</f>
        <v>1</v>
      </c>
    </row>
    <row r="11" spans="1:3" x14ac:dyDescent="0.35">
      <c r="B11" s="139" t="s">
        <v>1615</v>
      </c>
      <c r="C11" s="150">
        <f>MaxAnnualUF!C28</f>
        <v>0.65716939790195539</v>
      </c>
    </row>
    <row r="12" spans="1:3" x14ac:dyDescent="0.35">
      <c r="B12" s="376" t="str">
        <f>MaxAnnualUF!B29</f>
        <v>RF_MS</v>
      </c>
      <c r="C12" s="633">
        <f>MaxAnnualUF!C29</f>
        <v>1</v>
      </c>
    </row>
    <row r="13" spans="1:3" x14ac:dyDescent="0.35">
      <c r="B13" s="376" t="str">
        <f>MaxAnnualUF!B30</f>
        <v>RF_HSD</v>
      </c>
      <c r="C13" s="633">
        <f>MaxAnnualUF!C30</f>
        <v>1</v>
      </c>
    </row>
    <row r="14" spans="1:3" x14ac:dyDescent="0.35">
      <c r="B14" s="376" t="str">
        <f>MaxAnnualUF!B31</f>
        <v>RF_ATF</v>
      </c>
      <c r="C14" s="633">
        <f>MaxAnnualUF!C31</f>
        <v>1</v>
      </c>
    </row>
    <row r="15" spans="1:3" x14ac:dyDescent="0.35">
      <c r="B15" s="376" t="str">
        <f>MaxAnnualUF!B32</f>
        <v>RF_LPG</v>
      </c>
      <c r="C15" s="633">
        <f>MaxAnnualUF!C32</f>
        <v>1</v>
      </c>
    </row>
    <row r="16" spans="1:3" x14ac:dyDescent="0.35">
      <c r="B16" s="376" t="str">
        <f>MaxAnnualUF!B33</f>
        <v>RF_OTHERPP</v>
      </c>
      <c r="C16" s="633">
        <f>MaxAnnualUF!C33</f>
        <v>1</v>
      </c>
    </row>
    <row r="17" spans="1:5" x14ac:dyDescent="0.35">
      <c r="A17" s="376"/>
      <c r="B17" s="633"/>
    </row>
    <row r="18" spans="1:5" x14ac:dyDescent="0.35">
      <c r="A18" s="705" t="s">
        <v>1950</v>
      </c>
      <c r="B18" s="633"/>
    </row>
    <row r="19" spans="1:5" ht="29" x14ac:dyDescent="0.35">
      <c r="B19" s="180" t="s">
        <v>157</v>
      </c>
      <c r="C19" s="420" t="s">
        <v>1880</v>
      </c>
      <c r="D19" s="29" t="s">
        <v>249</v>
      </c>
    </row>
    <row r="20" spans="1:5" x14ac:dyDescent="0.35">
      <c r="B20" s="304" t="s">
        <v>1612</v>
      </c>
      <c r="C20" s="303">
        <v>0.85</v>
      </c>
      <c r="D20" s="173" t="s">
        <v>1869</v>
      </c>
    </row>
    <row r="21" spans="1:5" x14ac:dyDescent="0.35">
      <c r="B21" s="304" t="s">
        <v>1613</v>
      </c>
      <c r="C21" s="303">
        <v>0.85</v>
      </c>
      <c r="D21" s="173" t="s">
        <v>1869</v>
      </c>
    </row>
    <row r="22" spans="1:5" x14ac:dyDescent="0.35">
      <c r="B22" s="304" t="s">
        <v>1614</v>
      </c>
      <c r="C22" s="303">
        <v>0.85</v>
      </c>
      <c r="D22" s="173" t="s">
        <v>1869</v>
      </c>
    </row>
    <row r="23" spans="1:5" x14ac:dyDescent="0.35">
      <c r="B23" s="304" t="s">
        <v>1605</v>
      </c>
      <c r="C23" s="303">
        <v>1</v>
      </c>
      <c r="D23" s="631" t="s">
        <v>1882</v>
      </c>
    </row>
    <row r="24" spans="1:5" x14ac:dyDescent="0.35">
      <c r="B24" s="304" t="s">
        <v>1604</v>
      </c>
      <c r="C24" s="303">
        <v>1</v>
      </c>
      <c r="D24" s="631" t="s">
        <v>1882</v>
      </c>
    </row>
    <row r="25" spans="1:5" x14ac:dyDescent="0.35">
      <c r="B25" s="304" t="s">
        <v>1603</v>
      </c>
      <c r="C25" s="303">
        <v>1</v>
      </c>
      <c r="D25" s="631" t="s">
        <v>1882</v>
      </c>
    </row>
    <row r="26" spans="1:5" x14ac:dyDescent="0.35">
      <c r="B26" s="304" t="s">
        <v>1636</v>
      </c>
      <c r="C26" s="303">
        <v>1</v>
      </c>
      <c r="D26" s="631" t="s">
        <v>1881</v>
      </c>
    </row>
    <row r="27" spans="1:5" x14ac:dyDescent="0.35">
      <c r="B27" s="304" t="s">
        <v>1606</v>
      </c>
      <c r="C27" s="303">
        <v>1</v>
      </c>
      <c r="D27" s="631" t="s">
        <v>1881</v>
      </c>
    </row>
    <row r="28" spans="1:5" x14ac:dyDescent="0.35">
      <c r="B28" s="304" t="s">
        <v>1615</v>
      </c>
      <c r="C28" s="303">
        <f>C58</f>
        <v>0.65716939790195539</v>
      </c>
      <c r="D28" s="631" t="s">
        <v>1949</v>
      </c>
    </row>
    <row r="29" spans="1:5" x14ac:dyDescent="0.35">
      <c r="B29" s="304" t="s">
        <v>1848</v>
      </c>
      <c r="C29" s="303">
        <v>1</v>
      </c>
      <c r="D29" s="20" t="s">
        <v>1951</v>
      </c>
      <c r="E29" s="631"/>
    </row>
    <row r="30" spans="1:5" x14ac:dyDescent="0.35">
      <c r="B30" s="304" t="s">
        <v>1849</v>
      </c>
      <c r="C30" s="303">
        <v>1</v>
      </c>
      <c r="D30" s="20" t="s">
        <v>1951</v>
      </c>
    </row>
    <row r="31" spans="1:5" x14ac:dyDescent="0.35">
      <c r="B31" s="304" t="s">
        <v>1850</v>
      </c>
      <c r="C31" s="303">
        <v>1</v>
      </c>
      <c r="D31" s="20" t="s">
        <v>1951</v>
      </c>
    </row>
    <row r="32" spans="1:5" x14ac:dyDescent="0.35">
      <c r="B32" s="304" t="s">
        <v>1840</v>
      </c>
      <c r="C32" s="303">
        <v>1</v>
      </c>
      <c r="D32" s="20" t="s">
        <v>1951</v>
      </c>
    </row>
    <row r="33" spans="1:4" x14ac:dyDescent="0.35">
      <c r="B33" s="304" t="s">
        <v>1851</v>
      </c>
      <c r="C33" s="303">
        <v>1</v>
      </c>
      <c r="D33" s="20" t="s">
        <v>1951</v>
      </c>
    </row>
    <row r="37" spans="1:4" x14ac:dyDescent="0.35">
      <c r="A37" s="178" t="s">
        <v>1952</v>
      </c>
    </row>
    <row r="38" spans="1:4" x14ac:dyDescent="0.35">
      <c r="A38" s="304" t="s">
        <v>1870</v>
      </c>
    </row>
    <row r="39" spans="1:4" ht="29" x14ac:dyDescent="0.35">
      <c r="B39" s="13" t="s">
        <v>1877</v>
      </c>
    </row>
    <row r="40" spans="1:4" x14ac:dyDescent="0.35">
      <c r="B40" s="704" t="s">
        <v>1871</v>
      </c>
      <c r="C40" s="3">
        <v>5780</v>
      </c>
      <c r="D40" s="304" t="s">
        <v>1957</v>
      </c>
    </row>
    <row r="41" spans="1:4" x14ac:dyDescent="0.35">
      <c r="B41" s="219" t="s">
        <v>1872</v>
      </c>
      <c r="C41" s="3">
        <v>6780</v>
      </c>
      <c r="D41" s="304" t="s">
        <v>1957</v>
      </c>
    </row>
    <row r="42" spans="1:4" x14ac:dyDescent="0.35">
      <c r="B42" s="704" t="s">
        <v>1873</v>
      </c>
      <c r="C42" s="3">
        <v>6780</v>
      </c>
      <c r="D42" s="304" t="s">
        <v>1957</v>
      </c>
    </row>
    <row r="43" spans="1:4" x14ac:dyDescent="0.35">
      <c r="B43" s="219" t="s">
        <v>1874</v>
      </c>
      <c r="C43" s="3">
        <v>6780</v>
      </c>
      <c r="D43" s="304" t="s">
        <v>1957</v>
      </c>
    </row>
    <row r="44" spans="1:4" x14ac:dyDescent="0.35">
      <c r="B44" s="704" t="s">
        <v>1875</v>
      </c>
      <c r="C44" s="3">
        <v>6780</v>
      </c>
      <c r="D44" s="304" t="s">
        <v>1957</v>
      </c>
    </row>
    <row r="45" spans="1:4" x14ac:dyDescent="0.35">
      <c r="B45" s="219" t="s">
        <v>1876</v>
      </c>
      <c r="C45" s="3">
        <v>6780</v>
      </c>
      <c r="D45" s="304" t="s">
        <v>1957</v>
      </c>
    </row>
    <row r="46" spans="1:4" ht="29" x14ac:dyDescent="0.35">
      <c r="B46" s="13" t="s">
        <v>1877</v>
      </c>
    </row>
    <row r="47" spans="1:4" x14ac:dyDescent="0.35">
      <c r="B47" s="375" t="s">
        <v>1493</v>
      </c>
      <c r="C47" s="3">
        <f>AVERAGE(C40:C41)</f>
        <v>6280</v>
      </c>
    </row>
    <row r="48" spans="1:4" x14ac:dyDescent="0.35">
      <c r="B48" s="173" t="s">
        <v>1494</v>
      </c>
      <c r="C48" s="3">
        <f>AVERAGE(C42:C43)</f>
        <v>6780</v>
      </c>
    </row>
    <row r="49" spans="2:4" x14ac:dyDescent="0.35">
      <c r="B49" s="632" t="s">
        <v>1550</v>
      </c>
      <c r="C49" s="3">
        <f>AVERAGE(C44:C45)</f>
        <v>6780</v>
      </c>
    </row>
    <row r="50" spans="2:4" x14ac:dyDescent="0.35">
      <c r="B50" s="13" t="s">
        <v>1564</v>
      </c>
    </row>
    <row r="51" spans="2:4" x14ac:dyDescent="0.35">
      <c r="B51" s="375" t="s">
        <v>1493</v>
      </c>
      <c r="C51" s="143">
        <v>37915.9</v>
      </c>
      <c r="D51" s="304" t="s">
        <v>1954</v>
      </c>
    </row>
    <row r="52" spans="2:4" x14ac:dyDescent="0.35">
      <c r="B52" s="173" t="s">
        <v>1494</v>
      </c>
      <c r="C52" s="143">
        <v>38346.120000000003</v>
      </c>
      <c r="D52" s="304" t="s">
        <v>1955</v>
      </c>
    </row>
    <row r="53" spans="2:4" x14ac:dyDescent="0.35">
      <c r="B53" s="632" t="s">
        <v>1550</v>
      </c>
      <c r="C53" s="143">
        <v>37812.589999999997</v>
      </c>
      <c r="D53" s="304" t="s">
        <v>1956</v>
      </c>
    </row>
    <row r="54" spans="2:4" x14ac:dyDescent="0.35">
      <c r="C54" s="13" t="s">
        <v>1878</v>
      </c>
    </row>
    <row r="55" spans="2:4" x14ac:dyDescent="0.35">
      <c r="B55" s="375" t="s">
        <v>1493</v>
      </c>
      <c r="C55" s="23">
        <f>(C51*1000)/(C47*365*24)</f>
        <v>0.6892195998022278</v>
      </c>
    </row>
    <row r="56" spans="2:4" x14ac:dyDescent="0.35">
      <c r="B56" s="173" t="s">
        <v>1494</v>
      </c>
      <c r="C56" s="23">
        <f>(C52*1000)/(C48*24*365)</f>
        <v>0.64563583464662389</v>
      </c>
    </row>
    <row r="57" spans="2:4" x14ac:dyDescent="0.35">
      <c r="B57" s="632" t="s">
        <v>1550</v>
      </c>
      <c r="C57" s="23">
        <f>(C53*1000)/(C49*24*365)</f>
        <v>0.63665275925701437</v>
      </c>
    </row>
    <row r="58" spans="2:4" x14ac:dyDescent="0.35">
      <c r="B58" s="3" t="s">
        <v>1953</v>
      </c>
      <c r="C58" s="204">
        <f>AVERAGE(C55:C57)</f>
        <v>0.65716939790195539</v>
      </c>
    </row>
  </sheetData>
  <pageMargins left="0.7" right="0.7" top="0.75" bottom="0.75" header="0.3" footer="0.3"/>
  <pageSetup paperSize="9" orientation="portrait"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752"/>
  <sheetViews>
    <sheetView workbookViewId="0"/>
  </sheetViews>
  <sheetFormatPr defaultRowHeight="14.5" x14ac:dyDescent="0.35"/>
  <cols>
    <col min="1" max="1" width="16.90625" bestFit="1" customWidth="1"/>
    <col min="2" max="2" width="17.6328125" bestFit="1" customWidth="1"/>
    <col min="3" max="3" width="16.36328125" bestFit="1" customWidth="1"/>
    <col min="4" max="4" width="10" bestFit="1" customWidth="1"/>
    <col min="5" max="5" width="6.81640625" bestFit="1" customWidth="1"/>
    <col min="6" max="8" width="11.81640625" bestFit="1" customWidth="1"/>
    <col min="9" max="9" width="14.81640625" style="304" bestFit="1" customWidth="1"/>
  </cols>
  <sheetData>
    <row r="1" spans="1:9" x14ac:dyDescent="0.35">
      <c r="A1" s="376" t="s">
        <v>1561</v>
      </c>
      <c r="B1" s="376" t="s">
        <v>1562</v>
      </c>
      <c r="C1" s="376" t="s">
        <v>1563</v>
      </c>
      <c r="D1" s="376" t="s">
        <v>1619</v>
      </c>
      <c r="E1" s="376" t="s">
        <v>180</v>
      </c>
      <c r="F1" s="376" t="s">
        <v>1649</v>
      </c>
      <c r="G1" s="376" t="s">
        <v>1646</v>
      </c>
      <c r="H1" s="376" t="s">
        <v>1648</v>
      </c>
      <c r="I1" s="376" t="s">
        <v>1879</v>
      </c>
    </row>
    <row r="2" spans="1:9" x14ac:dyDescent="0.35">
      <c r="A2" s="376" t="s">
        <v>1840</v>
      </c>
      <c r="B2" s="376" t="s">
        <v>1609</v>
      </c>
      <c r="C2" s="376"/>
      <c r="D2" s="376">
        <v>2020</v>
      </c>
      <c r="E2" s="376">
        <v>2021</v>
      </c>
      <c r="F2" s="376">
        <v>0.98</v>
      </c>
      <c r="G2" s="376">
        <v>5705.3347119527834</v>
      </c>
      <c r="H2" s="376">
        <v>6889.2709138217533</v>
      </c>
      <c r="I2" s="376">
        <v>1</v>
      </c>
    </row>
    <row r="3" spans="1:9" x14ac:dyDescent="0.35">
      <c r="A3" s="376" t="s">
        <v>1840</v>
      </c>
      <c r="B3" s="376" t="s">
        <v>1609</v>
      </c>
      <c r="C3" s="376"/>
      <c r="D3" s="376">
        <v>2020</v>
      </c>
      <c r="E3" s="376">
        <v>2022</v>
      </c>
      <c r="F3" s="376">
        <v>0.98</v>
      </c>
      <c r="G3" s="376">
        <v>5705.3347119527834</v>
      </c>
      <c r="H3" s="376">
        <v>6889.2709138217533</v>
      </c>
      <c r="I3" s="376">
        <v>1</v>
      </c>
    </row>
    <row r="4" spans="1:9" x14ac:dyDescent="0.35">
      <c r="A4" s="376" t="s">
        <v>1840</v>
      </c>
      <c r="B4" s="376" t="s">
        <v>1609</v>
      </c>
      <c r="C4" s="376"/>
      <c r="D4" s="376">
        <v>2020</v>
      </c>
      <c r="E4" s="376">
        <v>2023</v>
      </c>
      <c r="F4" s="376">
        <v>0.98</v>
      </c>
      <c r="G4" s="376">
        <v>5705.3347119527834</v>
      </c>
      <c r="H4" s="376">
        <v>6889.2709138217533</v>
      </c>
      <c r="I4" s="376">
        <v>1</v>
      </c>
    </row>
    <row r="5" spans="1:9" x14ac:dyDescent="0.35">
      <c r="A5" s="376" t="s">
        <v>1840</v>
      </c>
      <c r="B5" s="376" t="s">
        <v>1609</v>
      </c>
      <c r="C5" s="376"/>
      <c r="D5" s="376">
        <v>2020</v>
      </c>
      <c r="E5" s="376">
        <v>2024</v>
      </c>
      <c r="F5" s="376">
        <v>0.98</v>
      </c>
      <c r="G5" s="376">
        <v>5705.3347119527834</v>
      </c>
      <c r="H5" s="376">
        <v>6889.2709138217533</v>
      </c>
      <c r="I5" s="376">
        <v>1</v>
      </c>
    </row>
    <row r="6" spans="1:9" x14ac:dyDescent="0.35">
      <c r="A6" s="376" t="s">
        <v>1840</v>
      </c>
      <c r="B6" s="376" t="s">
        <v>1609</v>
      </c>
      <c r="C6" s="376"/>
      <c r="D6" s="376">
        <v>2020</v>
      </c>
      <c r="E6" s="376">
        <v>2025</v>
      </c>
      <c r="F6" s="376">
        <v>0.98</v>
      </c>
      <c r="G6" s="376">
        <v>5705.3347119527834</v>
      </c>
      <c r="H6" s="376">
        <v>6889.2709138217533</v>
      </c>
      <c r="I6" s="376">
        <v>1</v>
      </c>
    </row>
    <row r="7" spans="1:9" x14ac:dyDescent="0.35">
      <c r="A7" s="376" t="s">
        <v>1840</v>
      </c>
      <c r="B7" s="376" t="s">
        <v>1609</v>
      </c>
      <c r="C7" s="376"/>
      <c r="D7" s="376">
        <v>2020</v>
      </c>
      <c r="E7" s="376">
        <v>2026</v>
      </c>
      <c r="F7" s="376">
        <v>0.98</v>
      </c>
      <c r="G7" s="376">
        <v>5705.3347119527834</v>
      </c>
      <c r="H7" s="376">
        <v>6889.2709138217533</v>
      </c>
      <c r="I7" s="376">
        <v>1</v>
      </c>
    </row>
    <row r="8" spans="1:9" x14ac:dyDescent="0.35">
      <c r="A8" s="376" t="s">
        <v>1840</v>
      </c>
      <c r="B8" s="376" t="s">
        <v>1609</v>
      </c>
      <c r="C8" s="376"/>
      <c r="D8" s="376">
        <v>2020</v>
      </c>
      <c r="E8" s="376">
        <v>2027</v>
      </c>
      <c r="F8" s="376">
        <v>0.98</v>
      </c>
      <c r="G8" s="376">
        <v>5705.3347119527834</v>
      </c>
      <c r="H8" s="376">
        <v>6889.2709138217533</v>
      </c>
      <c r="I8" s="376">
        <v>1</v>
      </c>
    </row>
    <row r="9" spans="1:9" x14ac:dyDescent="0.35">
      <c r="A9" s="376" t="s">
        <v>1840</v>
      </c>
      <c r="B9" s="376" t="s">
        <v>1609</v>
      </c>
      <c r="C9" s="376"/>
      <c r="D9" s="376">
        <v>2020</v>
      </c>
      <c r="E9" s="376">
        <v>2028</v>
      </c>
      <c r="F9" s="376">
        <v>0.98</v>
      </c>
      <c r="G9" s="376">
        <v>5705.3347119527834</v>
      </c>
      <c r="H9" s="376">
        <v>6889.2709138217533</v>
      </c>
      <c r="I9" s="376">
        <v>1</v>
      </c>
    </row>
    <row r="10" spans="1:9" x14ac:dyDescent="0.35">
      <c r="A10" s="376" t="s">
        <v>1840</v>
      </c>
      <c r="B10" s="376" t="s">
        <v>1609</v>
      </c>
      <c r="C10" s="376"/>
      <c r="D10" s="376">
        <v>2020</v>
      </c>
      <c r="E10" s="376">
        <v>2029</v>
      </c>
      <c r="F10" s="376">
        <v>0.98</v>
      </c>
      <c r="G10" s="376">
        <v>5705.3347119527834</v>
      </c>
      <c r="H10" s="376">
        <v>6889.2709138217533</v>
      </c>
      <c r="I10" s="376">
        <v>1</v>
      </c>
    </row>
    <row r="11" spans="1:9" x14ac:dyDescent="0.35">
      <c r="A11" s="376" t="s">
        <v>1840</v>
      </c>
      <c r="B11" s="376" t="s">
        <v>1609</v>
      </c>
      <c r="C11" s="376"/>
      <c r="D11" s="376">
        <v>2020</v>
      </c>
      <c r="E11" s="376">
        <v>2030</v>
      </c>
      <c r="F11" s="376">
        <v>0.98</v>
      </c>
      <c r="G11" s="376">
        <v>5705.3347119527834</v>
      </c>
      <c r="H11" s="376">
        <v>6889.2709138217533</v>
      </c>
      <c r="I11" s="376">
        <v>1</v>
      </c>
    </row>
    <row r="12" spans="1:9" x14ac:dyDescent="0.35">
      <c r="A12" s="376" t="s">
        <v>1840</v>
      </c>
      <c r="B12" s="376" t="s">
        <v>1609</v>
      </c>
      <c r="C12" s="376"/>
      <c r="D12" s="376">
        <v>2020</v>
      </c>
      <c r="E12" s="376">
        <v>2031</v>
      </c>
      <c r="F12" s="376">
        <v>0.98</v>
      </c>
      <c r="G12" s="376">
        <v>5705.3347119527834</v>
      </c>
      <c r="H12" s="376">
        <v>6889.2709138217533</v>
      </c>
      <c r="I12" s="376">
        <v>1</v>
      </c>
    </row>
    <row r="13" spans="1:9" x14ac:dyDescent="0.35">
      <c r="A13" s="376" t="s">
        <v>1840</v>
      </c>
      <c r="B13" s="376" t="s">
        <v>1609</v>
      </c>
      <c r="C13" s="376"/>
      <c r="D13" s="376">
        <v>2021</v>
      </c>
      <c r="E13" s="376">
        <v>2021</v>
      </c>
      <c r="F13" s="376">
        <v>0.98</v>
      </c>
      <c r="G13" s="376">
        <v>5705.3347119527834</v>
      </c>
      <c r="H13" s="376">
        <v>6889.2709138217533</v>
      </c>
      <c r="I13" s="376">
        <v>1</v>
      </c>
    </row>
    <row r="14" spans="1:9" x14ac:dyDescent="0.35">
      <c r="A14" s="376" t="s">
        <v>1840</v>
      </c>
      <c r="B14" s="376" t="s">
        <v>1609</v>
      </c>
      <c r="C14" s="376"/>
      <c r="D14" s="376">
        <v>2021</v>
      </c>
      <c r="E14" s="376">
        <v>2022</v>
      </c>
      <c r="F14" s="376">
        <v>0.98</v>
      </c>
      <c r="G14" s="376">
        <v>5705.3347119527834</v>
      </c>
      <c r="H14" s="376">
        <v>6889.2709138217533</v>
      </c>
      <c r="I14" s="376">
        <v>1</v>
      </c>
    </row>
    <row r="15" spans="1:9" x14ac:dyDescent="0.35">
      <c r="A15" s="376" t="s">
        <v>1840</v>
      </c>
      <c r="B15" s="376" t="s">
        <v>1609</v>
      </c>
      <c r="C15" s="376"/>
      <c r="D15" s="376">
        <v>2022</v>
      </c>
      <c r="E15" s="376">
        <v>2022</v>
      </c>
      <c r="F15" s="376">
        <v>0.98</v>
      </c>
      <c r="G15" s="376">
        <v>5705.3347119527834</v>
      </c>
      <c r="H15" s="376">
        <v>6889.2709138217533</v>
      </c>
      <c r="I15" s="376">
        <v>1</v>
      </c>
    </row>
    <row r="16" spans="1:9" x14ac:dyDescent="0.35">
      <c r="A16" s="376" t="s">
        <v>1840</v>
      </c>
      <c r="B16" s="376" t="s">
        <v>1609</v>
      </c>
      <c r="C16" s="376"/>
      <c r="D16" s="376">
        <v>2021</v>
      </c>
      <c r="E16" s="376">
        <v>2023</v>
      </c>
      <c r="F16" s="376">
        <v>0.98</v>
      </c>
      <c r="G16" s="376">
        <v>5705.3347119527834</v>
      </c>
      <c r="H16" s="376">
        <v>6889.2709138217533</v>
      </c>
      <c r="I16" s="376">
        <v>1</v>
      </c>
    </row>
    <row r="17" spans="1:9" x14ac:dyDescent="0.35">
      <c r="A17" s="376" t="s">
        <v>1840</v>
      </c>
      <c r="B17" s="376" t="s">
        <v>1609</v>
      </c>
      <c r="C17" s="376"/>
      <c r="D17" s="376">
        <v>2022</v>
      </c>
      <c r="E17" s="376">
        <v>2023</v>
      </c>
      <c r="F17" s="376">
        <v>0.98</v>
      </c>
      <c r="G17" s="376">
        <v>5705.3347119527834</v>
      </c>
      <c r="H17" s="376">
        <v>6889.2709138217533</v>
      </c>
      <c r="I17" s="376">
        <v>1</v>
      </c>
    </row>
    <row r="18" spans="1:9" x14ac:dyDescent="0.35">
      <c r="A18" s="376" t="s">
        <v>1840</v>
      </c>
      <c r="B18" s="376" t="s">
        <v>1609</v>
      </c>
      <c r="C18" s="376"/>
      <c r="D18" s="376">
        <v>2023</v>
      </c>
      <c r="E18" s="376">
        <v>2023</v>
      </c>
      <c r="F18" s="376">
        <v>0.98</v>
      </c>
      <c r="G18" s="376">
        <v>5705.3347119527834</v>
      </c>
      <c r="H18" s="376">
        <v>6889.2709138217533</v>
      </c>
      <c r="I18" s="376">
        <v>1</v>
      </c>
    </row>
    <row r="19" spans="1:9" x14ac:dyDescent="0.35">
      <c r="A19" s="376" t="s">
        <v>1840</v>
      </c>
      <c r="B19" s="376" t="s">
        <v>1609</v>
      </c>
      <c r="C19" s="376"/>
      <c r="D19" s="376">
        <v>2021</v>
      </c>
      <c r="E19" s="376">
        <v>2024</v>
      </c>
      <c r="F19" s="376">
        <v>0.98</v>
      </c>
      <c r="G19" s="376">
        <v>5705.3347119527834</v>
      </c>
      <c r="H19" s="376">
        <v>6889.2709138217533</v>
      </c>
      <c r="I19" s="376">
        <v>1</v>
      </c>
    </row>
    <row r="20" spans="1:9" x14ac:dyDescent="0.35">
      <c r="A20" s="376" t="s">
        <v>1840</v>
      </c>
      <c r="B20" s="376" t="s">
        <v>1609</v>
      </c>
      <c r="C20" s="376"/>
      <c r="D20" s="376">
        <v>2022</v>
      </c>
      <c r="E20" s="376">
        <v>2024</v>
      </c>
      <c r="F20" s="376">
        <v>0.98</v>
      </c>
      <c r="G20" s="376">
        <v>5705.3347119527834</v>
      </c>
      <c r="H20" s="376">
        <v>6889.2709138217533</v>
      </c>
      <c r="I20" s="376">
        <v>1</v>
      </c>
    </row>
    <row r="21" spans="1:9" x14ac:dyDescent="0.35">
      <c r="A21" s="376" t="s">
        <v>1840</v>
      </c>
      <c r="B21" s="376" t="s">
        <v>1609</v>
      </c>
      <c r="C21" s="376"/>
      <c r="D21" s="376">
        <v>2023</v>
      </c>
      <c r="E21" s="376">
        <v>2024</v>
      </c>
      <c r="F21" s="376">
        <v>0.98</v>
      </c>
      <c r="G21" s="376">
        <v>5705.3347119527834</v>
      </c>
      <c r="H21" s="376">
        <v>6889.2709138217533</v>
      </c>
      <c r="I21" s="376">
        <v>1</v>
      </c>
    </row>
    <row r="22" spans="1:9" x14ac:dyDescent="0.35">
      <c r="A22" s="376" t="s">
        <v>1840</v>
      </c>
      <c r="B22" s="376" t="s">
        <v>1609</v>
      </c>
      <c r="C22" s="376"/>
      <c r="D22" s="376">
        <v>2024</v>
      </c>
      <c r="E22" s="376">
        <v>2024</v>
      </c>
      <c r="F22" s="376">
        <v>0.98</v>
      </c>
      <c r="G22" s="376">
        <v>5705.3347119527834</v>
      </c>
      <c r="H22" s="376">
        <v>6889.2709138217533</v>
      </c>
      <c r="I22" s="376">
        <v>1</v>
      </c>
    </row>
    <row r="23" spans="1:9" x14ac:dyDescent="0.35">
      <c r="A23" s="376" t="s">
        <v>1840</v>
      </c>
      <c r="B23" s="376" t="s">
        <v>1609</v>
      </c>
      <c r="C23" s="376"/>
      <c r="D23" s="376">
        <v>2021</v>
      </c>
      <c r="E23" s="376">
        <v>2025</v>
      </c>
      <c r="F23" s="376">
        <v>0.98</v>
      </c>
      <c r="G23" s="376">
        <v>5705.3347119527834</v>
      </c>
      <c r="H23" s="376">
        <v>6889.2709138217533</v>
      </c>
      <c r="I23" s="376">
        <v>1</v>
      </c>
    </row>
    <row r="24" spans="1:9" x14ac:dyDescent="0.35">
      <c r="A24" s="376" t="s">
        <v>1840</v>
      </c>
      <c r="B24" s="376" t="s">
        <v>1609</v>
      </c>
      <c r="C24" s="376"/>
      <c r="D24" s="376">
        <v>2022</v>
      </c>
      <c r="E24" s="376">
        <v>2025</v>
      </c>
      <c r="F24" s="376">
        <v>0.98</v>
      </c>
      <c r="G24" s="376">
        <v>5705.3347119527834</v>
      </c>
      <c r="H24" s="376">
        <v>6889.2709138217533</v>
      </c>
      <c r="I24" s="376">
        <v>1</v>
      </c>
    </row>
    <row r="25" spans="1:9" x14ac:dyDescent="0.35">
      <c r="A25" s="376" t="s">
        <v>1840</v>
      </c>
      <c r="B25" s="376" t="s">
        <v>1609</v>
      </c>
      <c r="C25" s="376"/>
      <c r="D25" s="376">
        <v>2023</v>
      </c>
      <c r="E25" s="376">
        <v>2025</v>
      </c>
      <c r="F25" s="376">
        <v>0.98</v>
      </c>
      <c r="G25" s="376">
        <v>5705.3347119527834</v>
      </c>
      <c r="H25" s="376">
        <v>6889.2709138217533</v>
      </c>
      <c r="I25" s="376">
        <v>1</v>
      </c>
    </row>
    <row r="26" spans="1:9" x14ac:dyDescent="0.35">
      <c r="A26" s="376" t="s">
        <v>1840</v>
      </c>
      <c r="B26" s="376" t="s">
        <v>1609</v>
      </c>
      <c r="C26" s="376"/>
      <c r="D26" s="376">
        <v>2024</v>
      </c>
      <c r="E26" s="376">
        <v>2025</v>
      </c>
      <c r="F26" s="376">
        <v>0.98</v>
      </c>
      <c r="G26" s="376">
        <v>5705.3347119527834</v>
      </c>
      <c r="H26" s="376">
        <v>6889.2709138217533</v>
      </c>
      <c r="I26" s="376">
        <v>1</v>
      </c>
    </row>
    <row r="27" spans="1:9" x14ac:dyDescent="0.35">
      <c r="A27" s="376" t="s">
        <v>1840</v>
      </c>
      <c r="B27" s="376" t="s">
        <v>1609</v>
      </c>
      <c r="C27" s="376"/>
      <c r="D27" s="376">
        <v>2025</v>
      </c>
      <c r="E27" s="376">
        <v>2025</v>
      </c>
      <c r="F27" s="376">
        <v>0.98</v>
      </c>
      <c r="G27" s="376">
        <v>5705.3347119527834</v>
      </c>
      <c r="H27" s="376">
        <v>6889.2709138217533</v>
      </c>
      <c r="I27" s="376">
        <v>1</v>
      </c>
    </row>
    <row r="28" spans="1:9" x14ac:dyDescent="0.35">
      <c r="A28" s="376" t="s">
        <v>1840</v>
      </c>
      <c r="B28" s="376" t="s">
        <v>1609</v>
      </c>
      <c r="C28" s="376"/>
      <c r="D28" s="376">
        <v>2021</v>
      </c>
      <c r="E28" s="376">
        <v>2026</v>
      </c>
      <c r="F28" s="376">
        <v>0.98</v>
      </c>
      <c r="G28" s="376">
        <v>5705.3347119527834</v>
      </c>
      <c r="H28" s="376">
        <v>6889.2709138217533</v>
      </c>
      <c r="I28" s="376">
        <v>1</v>
      </c>
    </row>
    <row r="29" spans="1:9" x14ac:dyDescent="0.35">
      <c r="A29" s="376" t="s">
        <v>1840</v>
      </c>
      <c r="B29" s="376" t="s">
        <v>1609</v>
      </c>
      <c r="C29" s="376"/>
      <c r="D29" s="376">
        <v>2022</v>
      </c>
      <c r="E29" s="376">
        <v>2026</v>
      </c>
      <c r="F29" s="376">
        <v>0.98</v>
      </c>
      <c r="G29" s="376">
        <v>5705.3347119527834</v>
      </c>
      <c r="H29" s="376">
        <v>6889.2709138217533</v>
      </c>
      <c r="I29" s="376">
        <v>1</v>
      </c>
    </row>
    <row r="30" spans="1:9" x14ac:dyDescent="0.35">
      <c r="A30" s="376" t="s">
        <v>1840</v>
      </c>
      <c r="B30" s="376" t="s">
        <v>1609</v>
      </c>
      <c r="C30" s="376"/>
      <c r="D30" s="376">
        <v>2023</v>
      </c>
      <c r="E30" s="376">
        <v>2026</v>
      </c>
      <c r="F30" s="376">
        <v>0.98</v>
      </c>
      <c r="G30" s="376">
        <v>5705.3347119527834</v>
      </c>
      <c r="H30" s="376">
        <v>6889.2709138217533</v>
      </c>
      <c r="I30" s="376">
        <v>1</v>
      </c>
    </row>
    <row r="31" spans="1:9" x14ac:dyDescent="0.35">
      <c r="A31" s="376" t="s">
        <v>1840</v>
      </c>
      <c r="B31" s="376" t="s">
        <v>1609</v>
      </c>
      <c r="C31" s="376"/>
      <c r="D31" s="376">
        <v>2024</v>
      </c>
      <c r="E31" s="376">
        <v>2026</v>
      </c>
      <c r="F31" s="376">
        <v>0.98</v>
      </c>
      <c r="G31" s="376">
        <v>5705.3347119527834</v>
      </c>
      <c r="H31" s="376">
        <v>6889.2709138217533</v>
      </c>
      <c r="I31" s="376">
        <v>1</v>
      </c>
    </row>
    <row r="32" spans="1:9" x14ac:dyDescent="0.35">
      <c r="A32" s="376" t="s">
        <v>1840</v>
      </c>
      <c r="B32" s="376" t="s">
        <v>1609</v>
      </c>
      <c r="C32" s="376"/>
      <c r="D32" s="376">
        <v>2025</v>
      </c>
      <c r="E32" s="376">
        <v>2026</v>
      </c>
      <c r="F32" s="376">
        <v>0.98</v>
      </c>
      <c r="G32" s="376">
        <v>5705.3347119527834</v>
      </c>
      <c r="H32" s="376">
        <v>6889.2709138217533</v>
      </c>
      <c r="I32" s="376">
        <v>1</v>
      </c>
    </row>
    <row r="33" spans="1:9" x14ac:dyDescent="0.35">
      <c r="A33" s="376" t="s">
        <v>1840</v>
      </c>
      <c r="B33" s="376" t="s">
        <v>1609</v>
      </c>
      <c r="C33" s="376"/>
      <c r="D33" s="376">
        <v>2026</v>
      </c>
      <c r="E33" s="376">
        <v>2026</v>
      </c>
      <c r="F33" s="376">
        <v>0.98</v>
      </c>
      <c r="G33" s="376">
        <v>5705.3347119527834</v>
      </c>
      <c r="H33" s="376">
        <v>6889.2709138217533</v>
      </c>
      <c r="I33" s="376">
        <v>1</v>
      </c>
    </row>
    <row r="34" spans="1:9" x14ac:dyDescent="0.35">
      <c r="A34" s="376" t="s">
        <v>1840</v>
      </c>
      <c r="B34" s="376" t="s">
        <v>1609</v>
      </c>
      <c r="C34" s="376"/>
      <c r="D34" s="376">
        <v>2021</v>
      </c>
      <c r="E34" s="376">
        <v>2027</v>
      </c>
      <c r="F34" s="376">
        <v>0.98</v>
      </c>
      <c r="G34" s="376">
        <v>5705.3347119527834</v>
      </c>
      <c r="H34" s="376">
        <v>6889.2709138217533</v>
      </c>
      <c r="I34" s="376">
        <v>1</v>
      </c>
    </row>
    <row r="35" spans="1:9" x14ac:dyDescent="0.35">
      <c r="A35" s="376" t="s">
        <v>1840</v>
      </c>
      <c r="B35" s="376" t="s">
        <v>1609</v>
      </c>
      <c r="C35" s="376"/>
      <c r="D35" s="376">
        <v>2022</v>
      </c>
      <c r="E35" s="376">
        <v>2027</v>
      </c>
      <c r="F35" s="376">
        <v>0.98</v>
      </c>
      <c r="G35" s="376">
        <v>5705.3347119527834</v>
      </c>
      <c r="H35" s="376">
        <v>6889.2709138217533</v>
      </c>
      <c r="I35" s="376">
        <v>1</v>
      </c>
    </row>
    <row r="36" spans="1:9" x14ac:dyDescent="0.35">
      <c r="A36" s="376" t="s">
        <v>1840</v>
      </c>
      <c r="B36" s="376" t="s">
        <v>1609</v>
      </c>
      <c r="C36" s="376"/>
      <c r="D36" s="376">
        <v>2023</v>
      </c>
      <c r="E36" s="376">
        <v>2027</v>
      </c>
      <c r="F36" s="376">
        <v>0.98</v>
      </c>
      <c r="G36" s="376">
        <v>5705.3347119527834</v>
      </c>
      <c r="H36" s="376">
        <v>6889.2709138217533</v>
      </c>
      <c r="I36" s="376">
        <v>1</v>
      </c>
    </row>
    <row r="37" spans="1:9" x14ac:dyDescent="0.35">
      <c r="A37" s="376" t="s">
        <v>1840</v>
      </c>
      <c r="B37" s="376" t="s">
        <v>1609</v>
      </c>
      <c r="C37" s="376"/>
      <c r="D37" s="376">
        <v>2024</v>
      </c>
      <c r="E37" s="376">
        <v>2027</v>
      </c>
      <c r="F37" s="376">
        <v>0.98</v>
      </c>
      <c r="G37" s="376">
        <v>5705.3347119527834</v>
      </c>
      <c r="H37" s="376">
        <v>6889.2709138217533</v>
      </c>
      <c r="I37" s="376">
        <v>1</v>
      </c>
    </row>
    <row r="38" spans="1:9" x14ac:dyDescent="0.35">
      <c r="A38" s="376" t="s">
        <v>1840</v>
      </c>
      <c r="B38" s="376" t="s">
        <v>1609</v>
      </c>
      <c r="C38" s="376"/>
      <c r="D38" s="376">
        <v>2025</v>
      </c>
      <c r="E38" s="376">
        <v>2027</v>
      </c>
      <c r="F38" s="376">
        <v>0.98</v>
      </c>
      <c r="G38" s="376">
        <v>5705.3347119527834</v>
      </c>
      <c r="H38" s="376">
        <v>6889.2709138217533</v>
      </c>
      <c r="I38" s="376">
        <v>1</v>
      </c>
    </row>
    <row r="39" spans="1:9" x14ac:dyDescent="0.35">
      <c r="A39" s="376" t="s">
        <v>1840</v>
      </c>
      <c r="B39" s="376" t="s">
        <v>1609</v>
      </c>
      <c r="C39" s="376"/>
      <c r="D39" s="376">
        <v>2026</v>
      </c>
      <c r="E39" s="376">
        <v>2027</v>
      </c>
      <c r="F39" s="376">
        <v>0.98</v>
      </c>
      <c r="G39" s="376">
        <v>5705.3347119527834</v>
      </c>
      <c r="H39" s="376">
        <v>6889.2709138217533</v>
      </c>
      <c r="I39" s="376">
        <v>1</v>
      </c>
    </row>
    <row r="40" spans="1:9" x14ac:dyDescent="0.35">
      <c r="A40" s="376" t="s">
        <v>1840</v>
      </c>
      <c r="B40" s="376" t="s">
        <v>1609</v>
      </c>
      <c r="C40" s="376"/>
      <c r="D40" s="376">
        <v>2027</v>
      </c>
      <c r="E40" s="376">
        <v>2027</v>
      </c>
      <c r="F40" s="376">
        <v>0.98</v>
      </c>
      <c r="G40" s="376">
        <v>5705.3347119527834</v>
      </c>
      <c r="H40" s="376">
        <v>6889.2709138217533</v>
      </c>
      <c r="I40" s="376">
        <v>1</v>
      </c>
    </row>
    <row r="41" spans="1:9" x14ac:dyDescent="0.35">
      <c r="A41" s="376" t="s">
        <v>1840</v>
      </c>
      <c r="B41" s="376" t="s">
        <v>1609</v>
      </c>
      <c r="C41" s="376"/>
      <c r="D41" s="376">
        <v>2021</v>
      </c>
      <c r="E41" s="376">
        <v>2028</v>
      </c>
      <c r="F41" s="376">
        <v>0.98</v>
      </c>
      <c r="G41" s="376">
        <v>5705.3347119527834</v>
      </c>
      <c r="H41" s="376">
        <v>6889.2709138217533</v>
      </c>
      <c r="I41" s="376">
        <v>1</v>
      </c>
    </row>
    <row r="42" spans="1:9" x14ac:dyDescent="0.35">
      <c r="A42" s="376" t="s">
        <v>1840</v>
      </c>
      <c r="B42" s="376" t="s">
        <v>1609</v>
      </c>
      <c r="C42" s="376"/>
      <c r="D42" s="376">
        <v>2022</v>
      </c>
      <c r="E42" s="376">
        <v>2028</v>
      </c>
      <c r="F42" s="376">
        <v>0.98</v>
      </c>
      <c r="G42" s="376">
        <v>5705.3347119527834</v>
      </c>
      <c r="H42" s="376">
        <v>6889.2709138217533</v>
      </c>
      <c r="I42" s="376">
        <v>1</v>
      </c>
    </row>
    <row r="43" spans="1:9" x14ac:dyDescent="0.35">
      <c r="A43" s="376" t="s">
        <v>1840</v>
      </c>
      <c r="B43" s="376" t="s">
        <v>1609</v>
      </c>
      <c r="C43" s="376"/>
      <c r="D43" s="376">
        <v>2023</v>
      </c>
      <c r="E43" s="376">
        <v>2028</v>
      </c>
      <c r="F43" s="376">
        <v>0.98</v>
      </c>
      <c r="G43" s="376">
        <v>5705.3347119527834</v>
      </c>
      <c r="H43" s="376">
        <v>6889.2709138217533</v>
      </c>
      <c r="I43" s="376">
        <v>1</v>
      </c>
    </row>
    <row r="44" spans="1:9" x14ac:dyDescent="0.35">
      <c r="A44" s="376" t="s">
        <v>1840</v>
      </c>
      <c r="B44" s="376" t="s">
        <v>1609</v>
      </c>
      <c r="C44" s="376"/>
      <c r="D44" s="376">
        <v>2024</v>
      </c>
      <c r="E44" s="376">
        <v>2028</v>
      </c>
      <c r="F44" s="376">
        <v>0.98</v>
      </c>
      <c r="G44" s="376">
        <v>5705.3347119527834</v>
      </c>
      <c r="H44" s="376">
        <v>6889.2709138217533</v>
      </c>
      <c r="I44" s="376">
        <v>1</v>
      </c>
    </row>
    <row r="45" spans="1:9" x14ac:dyDescent="0.35">
      <c r="A45" s="376" t="s">
        <v>1840</v>
      </c>
      <c r="B45" s="376" t="s">
        <v>1609</v>
      </c>
      <c r="C45" s="376"/>
      <c r="D45" s="376">
        <v>2025</v>
      </c>
      <c r="E45" s="376">
        <v>2028</v>
      </c>
      <c r="F45" s="376">
        <v>0.98</v>
      </c>
      <c r="G45" s="376">
        <v>5705.3347119527834</v>
      </c>
      <c r="H45" s="376">
        <v>6889.2709138217533</v>
      </c>
      <c r="I45" s="376">
        <v>1</v>
      </c>
    </row>
    <row r="46" spans="1:9" x14ac:dyDescent="0.35">
      <c r="A46" s="376" t="s">
        <v>1840</v>
      </c>
      <c r="B46" s="376" t="s">
        <v>1609</v>
      </c>
      <c r="C46" s="376"/>
      <c r="D46" s="376">
        <v>2026</v>
      </c>
      <c r="E46" s="376">
        <v>2028</v>
      </c>
      <c r="F46" s="376">
        <v>0.98</v>
      </c>
      <c r="G46" s="376">
        <v>5705.3347119527834</v>
      </c>
      <c r="H46" s="376">
        <v>6889.2709138217533</v>
      </c>
      <c r="I46" s="376">
        <v>1</v>
      </c>
    </row>
    <row r="47" spans="1:9" x14ac:dyDescent="0.35">
      <c r="A47" s="376" t="s">
        <v>1840</v>
      </c>
      <c r="B47" s="376" t="s">
        <v>1609</v>
      </c>
      <c r="C47" s="376"/>
      <c r="D47" s="376">
        <v>2027</v>
      </c>
      <c r="E47" s="376">
        <v>2028</v>
      </c>
      <c r="F47" s="376">
        <v>0.98</v>
      </c>
      <c r="G47" s="376">
        <v>5705.3347119527834</v>
      </c>
      <c r="H47" s="376">
        <v>6889.2709138217533</v>
      </c>
      <c r="I47" s="376">
        <v>1</v>
      </c>
    </row>
    <row r="48" spans="1:9" x14ac:dyDescent="0.35">
      <c r="A48" s="376" t="s">
        <v>1840</v>
      </c>
      <c r="B48" s="376" t="s">
        <v>1609</v>
      </c>
      <c r="C48" s="376"/>
      <c r="D48" s="376">
        <v>2028</v>
      </c>
      <c r="E48" s="376">
        <v>2028</v>
      </c>
      <c r="F48" s="376">
        <v>0.98</v>
      </c>
      <c r="G48" s="376">
        <v>5705.3347119527834</v>
      </c>
      <c r="H48" s="376">
        <v>6889.2709138217533</v>
      </c>
      <c r="I48" s="376">
        <v>1</v>
      </c>
    </row>
    <row r="49" spans="1:9" x14ac:dyDescent="0.35">
      <c r="A49" s="376" t="s">
        <v>1840</v>
      </c>
      <c r="B49" s="376" t="s">
        <v>1609</v>
      </c>
      <c r="C49" s="376"/>
      <c r="D49" s="376">
        <v>2021</v>
      </c>
      <c r="E49" s="376">
        <v>2029</v>
      </c>
      <c r="F49" s="376">
        <v>0.98</v>
      </c>
      <c r="G49" s="376">
        <v>5705.3347119527834</v>
      </c>
      <c r="H49" s="376">
        <v>6889.2709138217533</v>
      </c>
      <c r="I49" s="376">
        <v>1</v>
      </c>
    </row>
    <row r="50" spans="1:9" x14ac:dyDescent="0.35">
      <c r="A50" s="376" t="s">
        <v>1840</v>
      </c>
      <c r="B50" s="376" t="s">
        <v>1609</v>
      </c>
      <c r="C50" s="376"/>
      <c r="D50" s="376">
        <v>2022</v>
      </c>
      <c r="E50" s="376">
        <v>2029</v>
      </c>
      <c r="F50" s="376">
        <v>0.98</v>
      </c>
      <c r="G50" s="376">
        <v>5705.3347119527834</v>
      </c>
      <c r="H50" s="376">
        <v>6889.2709138217533</v>
      </c>
      <c r="I50" s="376">
        <v>1</v>
      </c>
    </row>
    <row r="51" spans="1:9" x14ac:dyDescent="0.35">
      <c r="A51" s="376" t="s">
        <v>1840</v>
      </c>
      <c r="B51" s="376" t="s">
        <v>1609</v>
      </c>
      <c r="C51" s="376"/>
      <c r="D51" s="376">
        <v>2023</v>
      </c>
      <c r="E51" s="376">
        <v>2029</v>
      </c>
      <c r="F51" s="376">
        <v>0.98</v>
      </c>
      <c r="G51" s="376">
        <v>5705.3347119527834</v>
      </c>
      <c r="H51" s="376">
        <v>6889.2709138217533</v>
      </c>
      <c r="I51" s="376">
        <v>1</v>
      </c>
    </row>
    <row r="52" spans="1:9" x14ac:dyDescent="0.35">
      <c r="A52" s="376" t="s">
        <v>1840</v>
      </c>
      <c r="B52" s="376" t="s">
        <v>1609</v>
      </c>
      <c r="C52" s="376"/>
      <c r="D52" s="376">
        <v>2024</v>
      </c>
      <c r="E52" s="376">
        <v>2029</v>
      </c>
      <c r="F52" s="376">
        <v>0.98</v>
      </c>
      <c r="G52" s="376">
        <v>5705.3347119527834</v>
      </c>
      <c r="H52" s="376">
        <v>6889.2709138217533</v>
      </c>
      <c r="I52" s="376">
        <v>1</v>
      </c>
    </row>
    <row r="53" spans="1:9" x14ac:dyDescent="0.35">
      <c r="A53" s="376" t="s">
        <v>1840</v>
      </c>
      <c r="B53" s="376" t="s">
        <v>1609</v>
      </c>
      <c r="C53" s="376"/>
      <c r="D53" s="376">
        <v>2025</v>
      </c>
      <c r="E53" s="376">
        <v>2029</v>
      </c>
      <c r="F53" s="376">
        <v>0.98</v>
      </c>
      <c r="G53" s="376">
        <v>5705.3347119527834</v>
      </c>
      <c r="H53" s="376">
        <v>6889.2709138217533</v>
      </c>
      <c r="I53" s="376">
        <v>1</v>
      </c>
    </row>
    <row r="54" spans="1:9" x14ac:dyDescent="0.35">
      <c r="A54" s="376" t="s">
        <v>1840</v>
      </c>
      <c r="B54" s="376" t="s">
        <v>1609</v>
      </c>
      <c r="C54" s="376"/>
      <c r="D54" s="376">
        <v>2026</v>
      </c>
      <c r="E54" s="376">
        <v>2029</v>
      </c>
      <c r="F54" s="376">
        <v>0.98</v>
      </c>
      <c r="G54" s="376">
        <v>5705.3347119527834</v>
      </c>
      <c r="H54" s="376">
        <v>6889.2709138217533</v>
      </c>
      <c r="I54" s="376">
        <v>1</v>
      </c>
    </row>
    <row r="55" spans="1:9" x14ac:dyDescent="0.35">
      <c r="A55" s="376" t="s">
        <v>1840</v>
      </c>
      <c r="B55" s="376" t="s">
        <v>1609</v>
      </c>
      <c r="C55" s="376"/>
      <c r="D55" s="376">
        <v>2027</v>
      </c>
      <c r="E55" s="376">
        <v>2029</v>
      </c>
      <c r="F55" s="376">
        <v>0.98</v>
      </c>
      <c r="G55" s="376">
        <v>5705.3347119527834</v>
      </c>
      <c r="H55" s="376">
        <v>6889.2709138217533</v>
      </c>
      <c r="I55" s="376">
        <v>1</v>
      </c>
    </row>
    <row r="56" spans="1:9" x14ac:dyDescent="0.35">
      <c r="A56" s="376" t="s">
        <v>1840</v>
      </c>
      <c r="B56" s="376" t="s">
        <v>1609</v>
      </c>
      <c r="C56" s="376"/>
      <c r="D56" s="376">
        <v>2028</v>
      </c>
      <c r="E56" s="376">
        <v>2029</v>
      </c>
      <c r="F56" s="376">
        <v>0.98</v>
      </c>
      <c r="G56" s="376">
        <v>5705.3347119527834</v>
      </c>
      <c r="H56" s="376">
        <v>6889.2709138217533</v>
      </c>
      <c r="I56" s="376">
        <v>1</v>
      </c>
    </row>
    <row r="57" spans="1:9" x14ac:dyDescent="0.35">
      <c r="A57" s="376" t="s">
        <v>1840</v>
      </c>
      <c r="B57" s="376" t="s">
        <v>1609</v>
      </c>
      <c r="C57" s="376"/>
      <c r="D57" s="376">
        <v>2029</v>
      </c>
      <c r="E57" s="376">
        <v>2029</v>
      </c>
      <c r="F57" s="376">
        <v>0.98</v>
      </c>
      <c r="G57" s="376">
        <v>5705.3347119527834</v>
      </c>
      <c r="H57" s="376">
        <v>6889.2709138217533</v>
      </c>
      <c r="I57" s="376">
        <v>1</v>
      </c>
    </row>
    <row r="58" spans="1:9" x14ac:dyDescent="0.35">
      <c r="A58" s="376" t="s">
        <v>1840</v>
      </c>
      <c r="B58" s="376" t="s">
        <v>1609</v>
      </c>
      <c r="C58" s="376"/>
      <c r="D58" s="376">
        <v>2021</v>
      </c>
      <c r="E58" s="376">
        <v>2030</v>
      </c>
      <c r="F58" s="376">
        <v>0.98</v>
      </c>
      <c r="G58" s="376">
        <v>5705.3347119527834</v>
      </c>
      <c r="H58" s="376">
        <v>6889.2709138217533</v>
      </c>
      <c r="I58" s="376">
        <v>1</v>
      </c>
    </row>
    <row r="59" spans="1:9" x14ac:dyDescent="0.35">
      <c r="A59" s="376" t="s">
        <v>1840</v>
      </c>
      <c r="B59" s="376" t="s">
        <v>1609</v>
      </c>
      <c r="C59" s="376"/>
      <c r="D59" s="376">
        <v>2022</v>
      </c>
      <c r="E59" s="376">
        <v>2030</v>
      </c>
      <c r="F59" s="376">
        <v>0.98</v>
      </c>
      <c r="G59" s="376">
        <v>5705.3347119527834</v>
      </c>
      <c r="H59" s="376">
        <v>6889.2709138217533</v>
      </c>
      <c r="I59" s="376">
        <v>1</v>
      </c>
    </row>
    <row r="60" spans="1:9" x14ac:dyDescent="0.35">
      <c r="A60" s="376" t="s">
        <v>1840</v>
      </c>
      <c r="B60" s="376" t="s">
        <v>1609</v>
      </c>
      <c r="C60" s="376"/>
      <c r="D60" s="376">
        <v>2023</v>
      </c>
      <c r="E60" s="376">
        <v>2030</v>
      </c>
      <c r="F60" s="376">
        <v>0.98</v>
      </c>
      <c r="G60" s="376">
        <v>5705.3347119527834</v>
      </c>
      <c r="H60" s="376">
        <v>6889.2709138217533</v>
      </c>
      <c r="I60" s="376">
        <v>1</v>
      </c>
    </row>
    <row r="61" spans="1:9" x14ac:dyDescent="0.35">
      <c r="A61" s="376" t="s">
        <v>1840</v>
      </c>
      <c r="B61" s="376" t="s">
        <v>1609</v>
      </c>
      <c r="C61" s="376"/>
      <c r="D61" s="376">
        <v>2024</v>
      </c>
      <c r="E61" s="376">
        <v>2030</v>
      </c>
      <c r="F61" s="376">
        <v>0.98</v>
      </c>
      <c r="G61" s="376">
        <v>5705.3347119527834</v>
      </c>
      <c r="H61" s="376">
        <v>6889.2709138217533</v>
      </c>
      <c r="I61" s="376">
        <v>1</v>
      </c>
    </row>
    <row r="62" spans="1:9" x14ac:dyDescent="0.35">
      <c r="A62" s="376" t="s">
        <v>1840</v>
      </c>
      <c r="B62" s="376" t="s">
        <v>1609</v>
      </c>
      <c r="C62" s="376"/>
      <c r="D62" s="376">
        <v>2025</v>
      </c>
      <c r="E62" s="376">
        <v>2030</v>
      </c>
      <c r="F62" s="376">
        <v>0.98</v>
      </c>
      <c r="G62" s="376">
        <v>5705.3347119527834</v>
      </c>
      <c r="H62" s="376">
        <v>6889.2709138217533</v>
      </c>
      <c r="I62" s="376">
        <v>1</v>
      </c>
    </row>
    <row r="63" spans="1:9" x14ac:dyDescent="0.35">
      <c r="A63" s="376" t="s">
        <v>1840</v>
      </c>
      <c r="B63" s="376" t="s">
        <v>1609</v>
      </c>
      <c r="C63" s="376"/>
      <c r="D63" s="376">
        <v>2026</v>
      </c>
      <c r="E63" s="376">
        <v>2030</v>
      </c>
      <c r="F63" s="376">
        <v>0.98</v>
      </c>
      <c r="G63" s="376">
        <v>5705.3347119527834</v>
      </c>
      <c r="H63" s="376">
        <v>6889.2709138217533</v>
      </c>
      <c r="I63" s="376">
        <v>1</v>
      </c>
    </row>
    <row r="64" spans="1:9" x14ac:dyDescent="0.35">
      <c r="A64" s="376" t="s">
        <v>1840</v>
      </c>
      <c r="B64" s="376" t="s">
        <v>1609</v>
      </c>
      <c r="C64" s="376"/>
      <c r="D64" s="376">
        <v>2027</v>
      </c>
      <c r="E64" s="376">
        <v>2030</v>
      </c>
      <c r="F64" s="376">
        <v>0.98</v>
      </c>
      <c r="G64" s="376">
        <v>5705.3347119527834</v>
      </c>
      <c r="H64" s="376">
        <v>6889.2709138217533</v>
      </c>
      <c r="I64" s="376">
        <v>1</v>
      </c>
    </row>
    <row r="65" spans="1:9" x14ac:dyDescent="0.35">
      <c r="A65" s="376" t="s">
        <v>1840</v>
      </c>
      <c r="B65" s="376" t="s">
        <v>1609</v>
      </c>
      <c r="C65" s="376"/>
      <c r="D65" s="376">
        <v>2028</v>
      </c>
      <c r="E65" s="376">
        <v>2030</v>
      </c>
      <c r="F65" s="376">
        <v>0.98</v>
      </c>
      <c r="G65" s="376">
        <v>5705.3347119527834</v>
      </c>
      <c r="H65" s="376">
        <v>6889.2709138217533</v>
      </c>
      <c r="I65" s="376">
        <v>1</v>
      </c>
    </row>
    <row r="66" spans="1:9" x14ac:dyDescent="0.35">
      <c r="A66" s="376" t="s">
        <v>1840</v>
      </c>
      <c r="B66" s="376" t="s">
        <v>1609</v>
      </c>
      <c r="C66" s="376"/>
      <c r="D66" s="376">
        <v>2029</v>
      </c>
      <c r="E66" s="376">
        <v>2030</v>
      </c>
      <c r="F66" s="376">
        <v>0.98</v>
      </c>
      <c r="G66" s="376">
        <v>5705.3347119527834</v>
      </c>
      <c r="H66" s="376">
        <v>6889.2709138217533</v>
      </c>
      <c r="I66" s="376">
        <v>1</v>
      </c>
    </row>
    <row r="67" spans="1:9" x14ac:dyDescent="0.35">
      <c r="A67" s="376" t="s">
        <v>1840</v>
      </c>
      <c r="B67" s="376" t="s">
        <v>1609</v>
      </c>
      <c r="C67" s="376"/>
      <c r="D67" s="376">
        <v>2030</v>
      </c>
      <c r="E67" s="376">
        <v>2030</v>
      </c>
      <c r="F67" s="376">
        <v>0.98</v>
      </c>
      <c r="G67" s="376">
        <v>5705.3347119527834</v>
      </c>
      <c r="H67" s="376">
        <v>6889.2709138217533</v>
      </c>
      <c r="I67" s="376">
        <v>1</v>
      </c>
    </row>
    <row r="68" spans="1:9" x14ac:dyDescent="0.35">
      <c r="A68" s="376" t="s">
        <v>1840</v>
      </c>
      <c r="B68" s="376" t="s">
        <v>1609</v>
      </c>
      <c r="C68" s="376"/>
      <c r="D68" s="376">
        <v>2021</v>
      </c>
      <c r="E68" s="376">
        <v>2031</v>
      </c>
      <c r="F68" s="376">
        <v>0.98</v>
      </c>
      <c r="G68" s="376">
        <v>5705.3347119527834</v>
      </c>
      <c r="H68" s="376">
        <v>6889.2709138217533</v>
      </c>
      <c r="I68" s="376">
        <v>1</v>
      </c>
    </row>
    <row r="69" spans="1:9" x14ac:dyDescent="0.35">
      <c r="A69" s="376" t="s">
        <v>1840</v>
      </c>
      <c r="B69" s="376" t="s">
        <v>1609</v>
      </c>
      <c r="C69" s="376"/>
      <c r="D69" s="376">
        <v>2022</v>
      </c>
      <c r="E69" s="376">
        <v>2031</v>
      </c>
      <c r="F69" s="376">
        <v>0.98</v>
      </c>
      <c r="G69" s="376">
        <v>5705.3347119527834</v>
      </c>
      <c r="H69" s="376">
        <v>6889.2709138217533</v>
      </c>
      <c r="I69" s="376">
        <v>1</v>
      </c>
    </row>
    <row r="70" spans="1:9" x14ac:dyDescent="0.35">
      <c r="A70" s="376" t="s">
        <v>1840</v>
      </c>
      <c r="B70" s="376" t="s">
        <v>1609</v>
      </c>
      <c r="C70" s="376"/>
      <c r="D70" s="376">
        <v>2023</v>
      </c>
      <c r="E70" s="376">
        <v>2031</v>
      </c>
      <c r="F70" s="376">
        <v>0.98</v>
      </c>
      <c r="G70" s="376">
        <v>5705.3347119527834</v>
      </c>
      <c r="H70" s="376">
        <v>6889.2709138217533</v>
      </c>
      <c r="I70" s="376">
        <v>1</v>
      </c>
    </row>
    <row r="71" spans="1:9" x14ac:dyDescent="0.35">
      <c r="A71" s="376" t="s">
        <v>1840</v>
      </c>
      <c r="B71" s="376" t="s">
        <v>1609</v>
      </c>
      <c r="C71" s="376"/>
      <c r="D71" s="376">
        <v>2024</v>
      </c>
      <c r="E71" s="376">
        <v>2031</v>
      </c>
      <c r="F71" s="376">
        <v>0.98</v>
      </c>
      <c r="G71" s="376">
        <v>5705.3347119527834</v>
      </c>
      <c r="H71" s="376">
        <v>6889.2709138217533</v>
      </c>
      <c r="I71" s="376">
        <v>1</v>
      </c>
    </row>
    <row r="72" spans="1:9" x14ac:dyDescent="0.35">
      <c r="A72" s="376" t="s">
        <v>1840</v>
      </c>
      <c r="B72" s="376" t="s">
        <v>1609</v>
      </c>
      <c r="C72" s="376"/>
      <c r="D72" s="376">
        <v>2025</v>
      </c>
      <c r="E72" s="376">
        <v>2031</v>
      </c>
      <c r="F72" s="376">
        <v>0.98</v>
      </c>
      <c r="G72" s="376">
        <v>5705.3347119527834</v>
      </c>
      <c r="H72" s="376">
        <v>6889.2709138217533</v>
      </c>
      <c r="I72" s="376">
        <v>1</v>
      </c>
    </row>
    <row r="73" spans="1:9" x14ac:dyDescent="0.35">
      <c r="A73" s="376" t="s">
        <v>1840</v>
      </c>
      <c r="B73" s="376" t="s">
        <v>1609</v>
      </c>
      <c r="C73" s="376"/>
      <c r="D73" s="376">
        <v>2026</v>
      </c>
      <c r="E73" s="376">
        <v>2031</v>
      </c>
      <c r="F73" s="376">
        <v>0.98</v>
      </c>
      <c r="G73" s="376">
        <v>5705.3347119527834</v>
      </c>
      <c r="H73" s="376">
        <v>6889.2709138217533</v>
      </c>
      <c r="I73" s="376">
        <v>1</v>
      </c>
    </row>
    <row r="74" spans="1:9" x14ac:dyDescent="0.35">
      <c r="A74" s="376" t="s">
        <v>1840</v>
      </c>
      <c r="B74" s="376" t="s">
        <v>1609</v>
      </c>
      <c r="C74" s="376"/>
      <c r="D74" s="376">
        <v>2027</v>
      </c>
      <c r="E74" s="376">
        <v>2031</v>
      </c>
      <c r="F74" s="376">
        <v>0.98</v>
      </c>
      <c r="G74" s="376">
        <v>5705.3347119527834</v>
      </c>
      <c r="H74" s="376">
        <v>6889.2709138217533</v>
      </c>
      <c r="I74" s="376">
        <v>1</v>
      </c>
    </row>
    <row r="75" spans="1:9" x14ac:dyDescent="0.35">
      <c r="A75" s="376" t="s">
        <v>1840</v>
      </c>
      <c r="B75" s="376" t="s">
        <v>1609</v>
      </c>
      <c r="C75" s="376"/>
      <c r="D75" s="376">
        <v>2028</v>
      </c>
      <c r="E75" s="376">
        <v>2031</v>
      </c>
      <c r="F75" s="376">
        <v>0.98</v>
      </c>
      <c r="G75" s="376">
        <v>5705.3347119527834</v>
      </c>
      <c r="H75" s="376">
        <v>6889.2709138217533</v>
      </c>
      <c r="I75" s="376">
        <v>1</v>
      </c>
    </row>
    <row r="76" spans="1:9" x14ac:dyDescent="0.35">
      <c r="A76" s="376" t="s">
        <v>1840</v>
      </c>
      <c r="B76" s="376" t="s">
        <v>1609</v>
      </c>
      <c r="C76" s="376"/>
      <c r="D76" s="376">
        <v>2029</v>
      </c>
      <c r="E76" s="376">
        <v>2031</v>
      </c>
      <c r="F76" s="376">
        <v>0.98</v>
      </c>
      <c r="G76" s="376">
        <v>5705.3347119527834</v>
      </c>
      <c r="H76" s="376">
        <v>6889.2709138217533</v>
      </c>
      <c r="I76" s="376">
        <v>1</v>
      </c>
    </row>
    <row r="77" spans="1:9" x14ac:dyDescent="0.35">
      <c r="A77" s="376" t="s">
        <v>1840</v>
      </c>
      <c r="B77" s="376" t="s">
        <v>1609</v>
      </c>
      <c r="C77" s="376"/>
      <c r="D77" s="376">
        <v>2030</v>
      </c>
      <c r="E77" s="376">
        <v>2031</v>
      </c>
      <c r="F77" s="376">
        <v>0.98</v>
      </c>
      <c r="G77" s="376">
        <v>5705.3347119527834</v>
      </c>
      <c r="H77" s="376">
        <v>6889.2709138217533</v>
      </c>
      <c r="I77" s="376">
        <v>1</v>
      </c>
    </row>
    <row r="78" spans="1:9" x14ac:dyDescent="0.35">
      <c r="A78" s="376" t="s">
        <v>1840</v>
      </c>
      <c r="B78" s="376" t="s">
        <v>1609</v>
      </c>
      <c r="C78" s="376"/>
      <c r="D78" s="376">
        <v>2031</v>
      </c>
      <c r="E78" s="376">
        <v>2031</v>
      </c>
      <c r="F78" s="376">
        <v>0.98</v>
      </c>
      <c r="G78" s="376">
        <v>5705.3347119527834</v>
      </c>
      <c r="H78" s="376">
        <v>6889.2709138217533</v>
      </c>
      <c r="I78" s="376">
        <v>1</v>
      </c>
    </row>
    <row r="79" spans="1:9" x14ac:dyDescent="0.35">
      <c r="A79" s="376" t="s">
        <v>1848</v>
      </c>
      <c r="B79" s="376" t="s">
        <v>1609</v>
      </c>
      <c r="C79" s="376"/>
      <c r="D79" s="376">
        <v>2020</v>
      </c>
      <c r="E79" s="376">
        <v>2021</v>
      </c>
      <c r="F79" s="376">
        <v>0.98</v>
      </c>
      <c r="G79" s="376">
        <v>5705.3347119527834</v>
      </c>
      <c r="H79" s="376">
        <v>1864.2789281593423</v>
      </c>
      <c r="I79" s="376">
        <v>1</v>
      </c>
    </row>
    <row r="80" spans="1:9" x14ac:dyDescent="0.35">
      <c r="A80" s="376" t="s">
        <v>1848</v>
      </c>
      <c r="B80" s="376" t="s">
        <v>1609</v>
      </c>
      <c r="C80" s="376"/>
      <c r="D80" s="376">
        <v>2020</v>
      </c>
      <c r="E80" s="376">
        <v>2022</v>
      </c>
      <c r="F80" s="376">
        <v>0.98</v>
      </c>
      <c r="G80" s="376">
        <v>5705.3347119527834</v>
      </c>
      <c r="H80" s="376">
        <v>1864.2789281593423</v>
      </c>
      <c r="I80" s="376">
        <v>1</v>
      </c>
    </row>
    <row r="81" spans="1:9" x14ac:dyDescent="0.35">
      <c r="A81" s="376" t="s">
        <v>1848</v>
      </c>
      <c r="B81" s="376" t="s">
        <v>1609</v>
      </c>
      <c r="C81" s="376"/>
      <c r="D81" s="376">
        <v>2020</v>
      </c>
      <c r="E81" s="376">
        <v>2023</v>
      </c>
      <c r="F81" s="376">
        <v>0.98</v>
      </c>
      <c r="G81" s="376">
        <v>5705.3347119527834</v>
      </c>
      <c r="H81" s="376">
        <v>1864.2789281593423</v>
      </c>
      <c r="I81" s="376">
        <v>1</v>
      </c>
    </row>
    <row r="82" spans="1:9" x14ac:dyDescent="0.35">
      <c r="A82" s="376" t="s">
        <v>1848</v>
      </c>
      <c r="B82" s="376" t="s">
        <v>1609</v>
      </c>
      <c r="C82" s="376"/>
      <c r="D82" s="376">
        <v>2020</v>
      </c>
      <c r="E82" s="376">
        <v>2024</v>
      </c>
      <c r="F82" s="376">
        <v>0.98</v>
      </c>
      <c r="G82" s="376">
        <v>5705.3347119527834</v>
      </c>
      <c r="H82" s="376">
        <v>1864.2789281593423</v>
      </c>
      <c r="I82" s="376">
        <v>1</v>
      </c>
    </row>
    <row r="83" spans="1:9" x14ac:dyDescent="0.35">
      <c r="A83" s="376" t="s">
        <v>1848</v>
      </c>
      <c r="B83" s="376" t="s">
        <v>1609</v>
      </c>
      <c r="C83" s="376"/>
      <c r="D83" s="376">
        <v>2020</v>
      </c>
      <c r="E83" s="376">
        <v>2025</v>
      </c>
      <c r="F83" s="376">
        <v>0.98</v>
      </c>
      <c r="G83" s="376">
        <v>5705.3347119527834</v>
      </c>
      <c r="H83" s="376">
        <v>1864.2789281593423</v>
      </c>
      <c r="I83" s="376">
        <v>1</v>
      </c>
    </row>
    <row r="84" spans="1:9" x14ac:dyDescent="0.35">
      <c r="A84" s="376" t="s">
        <v>1848</v>
      </c>
      <c r="B84" s="376" t="s">
        <v>1609</v>
      </c>
      <c r="C84" s="376"/>
      <c r="D84" s="376">
        <v>2020</v>
      </c>
      <c r="E84" s="376">
        <v>2026</v>
      </c>
      <c r="F84" s="376">
        <v>0.98</v>
      </c>
      <c r="G84" s="376">
        <v>5705.3347119527834</v>
      </c>
      <c r="H84" s="376">
        <v>1864.2789281593423</v>
      </c>
      <c r="I84" s="376">
        <v>1</v>
      </c>
    </row>
    <row r="85" spans="1:9" x14ac:dyDescent="0.35">
      <c r="A85" s="376" t="s">
        <v>1848</v>
      </c>
      <c r="B85" s="376" t="s">
        <v>1609</v>
      </c>
      <c r="C85" s="376"/>
      <c r="D85" s="376">
        <v>2020</v>
      </c>
      <c r="E85" s="376">
        <v>2027</v>
      </c>
      <c r="F85" s="376">
        <v>0.98</v>
      </c>
      <c r="G85" s="376">
        <v>5705.3347119527834</v>
      </c>
      <c r="H85" s="376">
        <v>1864.2789281593423</v>
      </c>
      <c r="I85" s="376">
        <v>1</v>
      </c>
    </row>
    <row r="86" spans="1:9" x14ac:dyDescent="0.35">
      <c r="A86" s="376" t="s">
        <v>1848</v>
      </c>
      <c r="B86" s="376" t="s">
        <v>1609</v>
      </c>
      <c r="C86" s="376"/>
      <c r="D86" s="376">
        <v>2020</v>
      </c>
      <c r="E86" s="376">
        <v>2028</v>
      </c>
      <c r="F86" s="376">
        <v>0.98</v>
      </c>
      <c r="G86" s="376">
        <v>5705.3347119527834</v>
      </c>
      <c r="H86" s="376">
        <v>1864.2789281593423</v>
      </c>
      <c r="I86" s="376">
        <v>1</v>
      </c>
    </row>
    <row r="87" spans="1:9" x14ac:dyDescent="0.35">
      <c r="A87" s="376" t="s">
        <v>1848</v>
      </c>
      <c r="B87" s="376" t="s">
        <v>1609</v>
      </c>
      <c r="C87" s="376"/>
      <c r="D87" s="376">
        <v>2020</v>
      </c>
      <c r="E87" s="376">
        <v>2029</v>
      </c>
      <c r="F87" s="376">
        <v>0.98</v>
      </c>
      <c r="G87" s="376">
        <v>5705.3347119527834</v>
      </c>
      <c r="H87" s="376">
        <v>1864.2789281593423</v>
      </c>
      <c r="I87" s="376">
        <v>1</v>
      </c>
    </row>
    <row r="88" spans="1:9" x14ac:dyDescent="0.35">
      <c r="A88" s="376" t="s">
        <v>1848</v>
      </c>
      <c r="B88" s="376" t="s">
        <v>1609</v>
      </c>
      <c r="C88" s="376"/>
      <c r="D88" s="376">
        <v>2020</v>
      </c>
      <c r="E88" s="376">
        <v>2030</v>
      </c>
      <c r="F88" s="376">
        <v>0.98</v>
      </c>
      <c r="G88" s="376">
        <v>5705.3347119527834</v>
      </c>
      <c r="H88" s="376">
        <v>1864.2789281593423</v>
      </c>
      <c r="I88" s="376">
        <v>1</v>
      </c>
    </row>
    <row r="89" spans="1:9" x14ac:dyDescent="0.35">
      <c r="A89" s="376" t="s">
        <v>1848</v>
      </c>
      <c r="B89" s="376" t="s">
        <v>1609</v>
      </c>
      <c r="C89" s="376"/>
      <c r="D89" s="376">
        <v>2020</v>
      </c>
      <c r="E89" s="376">
        <v>2031</v>
      </c>
      <c r="F89" s="376">
        <v>0.98</v>
      </c>
      <c r="G89" s="376">
        <v>5705.3347119527834</v>
      </c>
      <c r="H89" s="376">
        <v>1864.2789281593423</v>
      </c>
      <c r="I89" s="376">
        <v>1</v>
      </c>
    </row>
    <row r="90" spans="1:9" x14ac:dyDescent="0.35">
      <c r="A90" s="376" t="s">
        <v>1848</v>
      </c>
      <c r="B90" s="376" t="s">
        <v>1609</v>
      </c>
      <c r="C90" s="376"/>
      <c r="D90" s="376">
        <v>2021</v>
      </c>
      <c r="E90" s="376">
        <v>2021</v>
      </c>
      <c r="F90" s="376">
        <v>0.98</v>
      </c>
      <c r="G90" s="376">
        <v>5705.3347119527834</v>
      </c>
      <c r="H90" s="376">
        <v>1864.2789281593423</v>
      </c>
      <c r="I90" s="376">
        <v>1</v>
      </c>
    </row>
    <row r="91" spans="1:9" x14ac:dyDescent="0.35">
      <c r="A91" s="376" t="s">
        <v>1848</v>
      </c>
      <c r="B91" s="376" t="s">
        <v>1609</v>
      </c>
      <c r="C91" s="376"/>
      <c r="D91" s="376">
        <v>2021</v>
      </c>
      <c r="E91" s="376">
        <v>2022</v>
      </c>
      <c r="F91" s="376">
        <v>0.98</v>
      </c>
      <c r="G91" s="376">
        <v>5705.3347119527834</v>
      </c>
      <c r="H91" s="376">
        <v>1864.2789281593423</v>
      </c>
      <c r="I91" s="376">
        <v>1</v>
      </c>
    </row>
    <row r="92" spans="1:9" x14ac:dyDescent="0.35">
      <c r="A92" s="376" t="s">
        <v>1848</v>
      </c>
      <c r="B92" s="376" t="s">
        <v>1609</v>
      </c>
      <c r="C92" s="376"/>
      <c r="D92" s="376">
        <v>2022</v>
      </c>
      <c r="E92" s="376">
        <v>2022</v>
      </c>
      <c r="F92" s="376">
        <v>0.98</v>
      </c>
      <c r="G92" s="376">
        <v>5705.3347119527834</v>
      </c>
      <c r="H92" s="376">
        <v>1864.2789281593423</v>
      </c>
      <c r="I92" s="376">
        <v>1</v>
      </c>
    </row>
    <row r="93" spans="1:9" x14ac:dyDescent="0.35">
      <c r="A93" s="376" t="s">
        <v>1848</v>
      </c>
      <c r="B93" s="376" t="s">
        <v>1609</v>
      </c>
      <c r="C93" s="376"/>
      <c r="D93" s="376">
        <v>2021</v>
      </c>
      <c r="E93" s="376">
        <v>2023</v>
      </c>
      <c r="F93" s="376">
        <v>0.98</v>
      </c>
      <c r="G93" s="376">
        <v>5705.3347119527834</v>
      </c>
      <c r="H93" s="376">
        <v>1864.2789281593423</v>
      </c>
      <c r="I93" s="376">
        <v>1</v>
      </c>
    </row>
    <row r="94" spans="1:9" x14ac:dyDescent="0.35">
      <c r="A94" s="376" t="s">
        <v>1848</v>
      </c>
      <c r="B94" s="376" t="s">
        <v>1609</v>
      </c>
      <c r="C94" s="376"/>
      <c r="D94" s="376">
        <v>2022</v>
      </c>
      <c r="E94" s="376">
        <v>2023</v>
      </c>
      <c r="F94" s="376">
        <v>0.98</v>
      </c>
      <c r="G94" s="376">
        <v>5705.3347119527834</v>
      </c>
      <c r="H94" s="376">
        <v>1864.2789281593423</v>
      </c>
      <c r="I94" s="376">
        <v>1</v>
      </c>
    </row>
    <row r="95" spans="1:9" x14ac:dyDescent="0.35">
      <c r="A95" s="376" t="s">
        <v>1848</v>
      </c>
      <c r="B95" s="376" t="s">
        <v>1609</v>
      </c>
      <c r="C95" s="376"/>
      <c r="D95" s="376">
        <v>2023</v>
      </c>
      <c r="E95" s="376">
        <v>2023</v>
      </c>
      <c r="F95" s="376">
        <v>0.98</v>
      </c>
      <c r="G95" s="376">
        <v>5705.3347119527834</v>
      </c>
      <c r="H95" s="376">
        <v>1864.2789281593423</v>
      </c>
      <c r="I95" s="376">
        <v>1</v>
      </c>
    </row>
    <row r="96" spans="1:9" x14ac:dyDescent="0.35">
      <c r="A96" s="376" t="s">
        <v>1848</v>
      </c>
      <c r="B96" s="376" t="s">
        <v>1609</v>
      </c>
      <c r="C96" s="376"/>
      <c r="D96" s="376">
        <v>2021</v>
      </c>
      <c r="E96" s="376">
        <v>2024</v>
      </c>
      <c r="F96" s="376">
        <v>0.98</v>
      </c>
      <c r="G96" s="376">
        <v>5705.3347119527834</v>
      </c>
      <c r="H96" s="376">
        <v>1864.2789281593423</v>
      </c>
      <c r="I96" s="376">
        <v>1</v>
      </c>
    </row>
    <row r="97" spans="1:9" x14ac:dyDescent="0.35">
      <c r="A97" s="376" t="s">
        <v>1848</v>
      </c>
      <c r="B97" s="376" t="s">
        <v>1609</v>
      </c>
      <c r="C97" s="376"/>
      <c r="D97" s="376">
        <v>2022</v>
      </c>
      <c r="E97" s="376">
        <v>2024</v>
      </c>
      <c r="F97" s="376">
        <v>0.98</v>
      </c>
      <c r="G97" s="376">
        <v>5705.3347119527834</v>
      </c>
      <c r="H97" s="376">
        <v>1864.2789281593423</v>
      </c>
      <c r="I97" s="376">
        <v>1</v>
      </c>
    </row>
    <row r="98" spans="1:9" x14ac:dyDescent="0.35">
      <c r="A98" s="376" t="s">
        <v>1848</v>
      </c>
      <c r="B98" s="376" t="s">
        <v>1609</v>
      </c>
      <c r="C98" s="376"/>
      <c r="D98" s="376">
        <v>2023</v>
      </c>
      <c r="E98" s="376">
        <v>2024</v>
      </c>
      <c r="F98" s="376">
        <v>0.98</v>
      </c>
      <c r="G98" s="376">
        <v>5705.3347119527834</v>
      </c>
      <c r="H98" s="376">
        <v>1864.2789281593423</v>
      </c>
      <c r="I98" s="376">
        <v>1</v>
      </c>
    </row>
    <row r="99" spans="1:9" x14ac:dyDescent="0.35">
      <c r="A99" s="376" t="s">
        <v>1848</v>
      </c>
      <c r="B99" s="376" t="s">
        <v>1609</v>
      </c>
      <c r="C99" s="376"/>
      <c r="D99" s="376">
        <v>2024</v>
      </c>
      <c r="E99" s="376">
        <v>2024</v>
      </c>
      <c r="F99" s="376">
        <v>0.98</v>
      </c>
      <c r="G99" s="376">
        <v>5705.3347119527834</v>
      </c>
      <c r="H99" s="376">
        <v>1864.2789281593423</v>
      </c>
      <c r="I99" s="376">
        <v>1</v>
      </c>
    </row>
    <row r="100" spans="1:9" x14ac:dyDescent="0.35">
      <c r="A100" s="376" t="s">
        <v>1848</v>
      </c>
      <c r="B100" s="376" t="s">
        <v>1609</v>
      </c>
      <c r="C100" s="376"/>
      <c r="D100" s="376">
        <v>2021</v>
      </c>
      <c r="E100" s="376">
        <v>2025</v>
      </c>
      <c r="F100" s="376">
        <v>0.98</v>
      </c>
      <c r="G100" s="376">
        <v>5705.3347119527834</v>
      </c>
      <c r="H100" s="376">
        <v>1864.2789281593423</v>
      </c>
      <c r="I100" s="376">
        <v>1</v>
      </c>
    </row>
    <row r="101" spans="1:9" x14ac:dyDescent="0.35">
      <c r="A101" s="376" t="s">
        <v>1848</v>
      </c>
      <c r="B101" s="376" t="s">
        <v>1609</v>
      </c>
      <c r="C101" s="376"/>
      <c r="D101" s="376">
        <v>2022</v>
      </c>
      <c r="E101" s="376">
        <v>2025</v>
      </c>
      <c r="F101" s="376">
        <v>0.98</v>
      </c>
      <c r="G101" s="376">
        <v>5705.3347119527834</v>
      </c>
      <c r="H101" s="376">
        <v>1864.2789281593423</v>
      </c>
      <c r="I101" s="376">
        <v>1</v>
      </c>
    </row>
    <row r="102" spans="1:9" x14ac:dyDescent="0.35">
      <c r="A102" s="376" t="s">
        <v>1848</v>
      </c>
      <c r="B102" s="376" t="s">
        <v>1609</v>
      </c>
      <c r="C102" s="376"/>
      <c r="D102" s="376">
        <v>2023</v>
      </c>
      <c r="E102" s="376">
        <v>2025</v>
      </c>
      <c r="F102" s="376">
        <v>0.98</v>
      </c>
      <c r="G102" s="376">
        <v>5705.3347119527834</v>
      </c>
      <c r="H102" s="376">
        <v>1864.2789281593423</v>
      </c>
      <c r="I102" s="376">
        <v>1</v>
      </c>
    </row>
    <row r="103" spans="1:9" x14ac:dyDescent="0.35">
      <c r="A103" s="376" t="s">
        <v>1848</v>
      </c>
      <c r="B103" s="376" t="s">
        <v>1609</v>
      </c>
      <c r="C103" s="376"/>
      <c r="D103" s="376">
        <v>2024</v>
      </c>
      <c r="E103" s="376">
        <v>2025</v>
      </c>
      <c r="F103" s="376">
        <v>0.98</v>
      </c>
      <c r="G103" s="376">
        <v>5705.3347119527834</v>
      </c>
      <c r="H103" s="376">
        <v>1864.2789281593423</v>
      </c>
      <c r="I103" s="376">
        <v>1</v>
      </c>
    </row>
    <row r="104" spans="1:9" x14ac:dyDescent="0.35">
      <c r="A104" s="376" t="s">
        <v>1848</v>
      </c>
      <c r="B104" s="376" t="s">
        <v>1609</v>
      </c>
      <c r="C104" s="376"/>
      <c r="D104" s="376">
        <v>2025</v>
      </c>
      <c r="E104" s="376">
        <v>2025</v>
      </c>
      <c r="F104" s="376">
        <v>0.98</v>
      </c>
      <c r="G104" s="376">
        <v>5705.3347119527834</v>
      </c>
      <c r="H104" s="376">
        <v>1864.2789281593423</v>
      </c>
      <c r="I104" s="376">
        <v>1</v>
      </c>
    </row>
    <row r="105" spans="1:9" x14ac:dyDescent="0.35">
      <c r="A105" s="376" t="s">
        <v>1848</v>
      </c>
      <c r="B105" s="376" t="s">
        <v>1609</v>
      </c>
      <c r="C105" s="376"/>
      <c r="D105" s="376">
        <v>2021</v>
      </c>
      <c r="E105" s="376">
        <v>2026</v>
      </c>
      <c r="F105" s="376">
        <v>0.98</v>
      </c>
      <c r="G105" s="376">
        <v>5705.3347119527834</v>
      </c>
      <c r="H105" s="376">
        <v>1864.2789281593423</v>
      </c>
      <c r="I105" s="376">
        <v>1</v>
      </c>
    </row>
    <row r="106" spans="1:9" x14ac:dyDescent="0.35">
      <c r="A106" s="376" t="s">
        <v>1848</v>
      </c>
      <c r="B106" s="376" t="s">
        <v>1609</v>
      </c>
      <c r="C106" s="376"/>
      <c r="D106" s="376">
        <v>2022</v>
      </c>
      <c r="E106" s="376">
        <v>2026</v>
      </c>
      <c r="F106" s="376">
        <v>0.98</v>
      </c>
      <c r="G106" s="376">
        <v>5705.3347119527834</v>
      </c>
      <c r="H106" s="376">
        <v>1864.2789281593423</v>
      </c>
      <c r="I106" s="376">
        <v>1</v>
      </c>
    </row>
    <row r="107" spans="1:9" x14ac:dyDescent="0.35">
      <c r="A107" s="376" t="s">
        <v>1848</v>
      </c>
      <c r="B107" s="376" t="s">
        <v>1609</v>
      </c>
      <c r="C107" s="376"/>
      <c r="D107" s="376">
        <v>2023</v>
      </c>
      <c r="E107" s="376">
        <v>2026</v>
      </c>
      <c r="F107" s="376">
        <v>0.98</v>
      </c>
      <c r="G107" s="376">
        <v>5705.3347119527834</v>
      </c>
      <c r="H107" s="376">
        <v>1864.2789281593423</v>
      </c>
      <c r="I107" s="376">
        <v>1</v>
      </c>
    </row>
    <row r="108" spans="1:9" x14ac:dyDescent="0.35">
      <c r="A108" s="376" t="s">
        <v>1848</v>
      </c>
      <c r="B108" s="376" t="s">
        <v>1609</v>
      </c>
      <c r="C108" s="376"/>
      <c r="D108" s="376">
        <v>2024</v>
      </c>
      <c r="E108" s="376">
        <v>2026</v>
      </c>
      <c r="F108" s="376">
        <v>0.98</v>
      </c>
      <c r="G108" s="376">
        <v>5705.3347119527834</v>
      </c>
      <c r="H108" s="376">
        <v>1864.2789281593423</v>
      </c>
      <c r="I108" s="376">
        <v>1</v>
      </c>
    </row>
    <row r="109" spans="1:9" x14ac:dyDescent="0.35">
      <c r="A109" s="376" t="s">
        <v>1848</v>
      </c>
      <c r="B109" s="376" t="s">
        <v>1609</v>
      </c>
      <c r="C109" s="376"/>
      <c r="D109" s="376">
        <v>2025</v>
      </c>
      <c r="E109" s="376">
        <v>2026</v>
      </c>
      <c r="F109" s="376">
        <v>0.98</v>
      </c>
      <c r="G109" s="376">
        <v>5705.3347119527834</v>
      </c>
      <c r="H109" s="376">
        <v>1864.2789281593423</v>
      </c>
      <c r="I109" s="376">
        <v>1</v>
      </c>
    </row>
    <row r="110" spans="1:9" x14ac:dyDescent="0.35">
      <c r="A110" s="376" t="s">
        <v>1848</v>
      </c>
      <c r="B110" s="376" t="s">
        <v>1609</v>
      </c>
      <c r="C110" s="376"/>
      <c r="D110" s="376">
        <v>2026</v>
      </c>
      <c r="E110" s="376">
        <v>2026</v>
      </c>
      <c r="F110" s="376">
        <v>0.98</v>
      </c>
      <c r="G110" s="376">
        <v>5705.3347119527834</v>
      </c>
      <c r="H110" s="376">
        <v>1864.2789281593423</v>
      </c>
      <c r="I110" s="376">
        <v>1</v>
      </c>
    </row>
    <row r="111" spans="1:9" x14ac:dyDescent="0.35">
      <c r="A111" s="376" t="s">
        <v>1848</v>
      </c>
      <c r="B111" s="376" t="s">
        <v>1609</v>
      </c>
      <c r="C111" s="376"/>
      <c r="D111" s="376">
        <v>2021</v>
      </c>
      <c r="E111" s="376">
        <v>2027</v>
      </c>
      <c r="F111" s="376">
        <v>0.98</v>
      </c>
      <c r="G111" s="376">
        <v>5705.3347119527834</v>
      </c>
      <c r="H111" s="376">
        <v>1864.2789281593423</v>
      </c>
      <c r="I111" s="376">
        <v>1</v>
      </c>
    </row>
    <row r="112" spans="1:9" x14ac:dyDescent="0.35">
      <c r="A112" s="376" t="s">
        <v>1848</v>
      </c>
      <c r="B112" s="376" t="s">
        <v>1609</v>
      </c>
      <c r="C112" s="376"/>
      <c r="D112" s="376">
        <v>2022</v>
      </c>
      <c r="E112" s="376">
        <v>2027</v>
      </c>
      <c r="F112" s="376">
        <v>0.98</v>
      </c>
      <c r="G112" s="376">
        <v>5705.3347119527834</v>
      </c>
      <c r="H112" s="376">
        <v>1864.2789281593423</v>
      </c>
      <c r="I112" s="376">
        <v>1</v>
      </c>
    </row>
    <row r="113" spans="1:9" x14ac:dyDescent="0.35">
      <c r="A113" s="376" t="s">
        <v>1848</v>
      </c>
      <c r="B113" s="376" t="s">
        <v>1609</v>
      </c>
      <c r="C113" s="376"/>
      <c r="D113" s="376">
        <v>2023</v>
      </c>
      <c r="E113" s="376">
        <v>2027</v>
      </c>
      <c r="F113" s="376">
        <v>0.98</v>
      </c>
      <c r="G113" s="376">
        <v>5705.3347119527834</v>
      </c>
      <c r="H113" s="376">
        <v>1864.2789281593423</v>
      </c>
      <c r="I113" s="376">
        <v>1</v>
      </c>
    </row>
    <row r="114" spans="1:9" x14ac:dyDescent="0.35">
      <c r="A114" s="376" t="s">
        <v>1848</v>
      </c>
      <c r="B114" s="376" t="s">
        <v>1609</v>
      </c>
      <c r="C114" s="376"/>
      <c r="D114" s="376">
        <v>2024</v>
      </c>
      <c r="E114" s="376">
        <v>2027</v>
      </c>
      <c r="F114" s="376">
        <v>0.98</v>
      </c>
      <c r="G114" s="376">
        <v>5705.3347119527834</v>
      </c>
      <c r="H114" s="376">
        <v>1864.2789281593423</v>
      </c>
      <c r="I114" s="376">
        <v>1</v>
      </c>
    </row>
    <row r="115" spans="1:9" x14ac:dyDescent="0.35">
      <c r="A115" s="376" t="s">
        <v>1848</v>
      </c>
      <c r="B115" s="376" t="s">
        <v>1609</v>
      </c>
      <c r="C115" s="376"/>
      <c r="D115" s="376">
        <v>2025</v>
      </c>
      <c r="E115" s="376">
        <v>2027</v>
      </c>
      <c r="F115" s="376">
        <v>0.98</v>
      </c>
      <c r="G115" s="376">
        <v>5705.3347119527834</v>
      </c>
      <c r="H115" s="376">
        <v>1864.2789281593423</v>
      </c>
      <c r="I115" s="376">
        <v>1</v>
      </c>
    </row>
    <row r="116" spans="1:9" x14ac:dyDescent="0.35">
      <c r="A116" s="376" t="s">
        <v>1848</v>
      </c>
      <c r="B116" s="376" t="s">
        <v>1609</v>
      </c>
      <c r="C116" s="376"/>
      <c r="D116" s="376">
        <v>2026</v>
      </c>
      <c r="E116" s="376">
        <v>2027</v>
      </c>
      <c r="F116" s="376">
        <v>0.98</v>
      </c>
      <c r="G116" s="376">
        <v>5705.3347119527834</v>
      </c>
      <c r="H116" s="376">
        <v>1864.2789281593423</v>
      </c>
      <c r="I116" s="376">
        <v>1</v>
      </c>
    </row>
    <row r="117" spans="1:9" x14ac:dyDescent="0.35">
      <c r="A117" s="376" t="s">
        <v>1848</v>
      </c>
      <c r="B117" s="376" t="s">
        <v>1609</v>
      </c>
      <c r="C117" s="376"/>
      <c r="D117" s="376">
        <v>2027</v>
      </c>
      <c r="E117" s="376">
        <v>2027</v>
      </c>
      <c r="F117" s="376">
        <v>0.98</v>
      </c>
      <c r="G117" s="376">
        <v>5705.3347119527834</v>
      </c>
      <c r="H117" s="376">
        <v>1864.2789281593423</v>
      </c>
      <c r="I117" s="376">
        <v>1</v>
      </c>
    </row>
    <row r="118" spans="1:9" x14ac:dyDescent="0.35">
      <c r="A118" s="376" t="s">
        <v>1848</v>
      </c>
      <c r="B118" s="376" t="s">
        <v>1609</v>
      </c>
      <c r="C118" s="376"/>
      <c r="D118" s="376">
        <v>2021</v>
      </c>
      <c r="E118" s="376">
        <v>2028</v>
      </c>
      <c r="F118" s="376">
        <v>0.98</v>
      </c>
      <c r="G118" s="376">
        <v>5705.3347119527834</v>
      </c>
      <c r="H118" s="376">
        <v>1864.2789281593423</v>
      </c>
      <c r="I118" s="376">
        <v>1</v>
      </c>
    </row>
    <row r="119" spans="1:9" x14ac:dyDescent="0.35">
      <c r="A119" s="376" t="s">
        <v>1848</v>
      </c>
      <c r="B119" s="376" t="s">
        <v>1609</v>
      </c>
      <c r="C119" s="376"/>
      <c r="D119" s="376">
        <v>2022</v>
      </c>
      <c r="E119" s="376">
        <v>2028</v>
      </c>
      <c r="F119" s="376">
        <v>0.98</v>
      </c>
      <c r="G119" s="376">
        <v>5705.3347119527834</v>
      </c>
      <c r="H119" s="376">
        <v>1864.2789281593423</v>
      </c>
      <c r="I119" s="376">
        <v>1</v>
      </c>
    </row>
    <row r="120" spans="1:9" x14ac:dyDescent="0.35">
      <c r="A120" s="376" t="s">
        <v>1848</v>
      </c>
      <c r="B120" s="376" t="s">
        <v>1609</v>
      </c>
      <c r="C120" s="376"/>
      <c r="D120" s="376">
        <v>2023</v>
      </c>
      <c r="E120" s="376">
        <v>2028</v>
      </c>
      <c r="F120" s="376">
        <v>0.98</v>
      </c>
      <c r="G120" s="376">
        <v>5705.3347119527834</v>
      </c>
      <c r="H120" s="376">
        <v>1864.2789281593423</v>
      </c>
      <c r="I120" s="376">
        <v>1</v>
      </c>
    </row>
    <row r="121" spans="1:9" x14ac:dyDescent="0.35">
      <c r="A121" s="376" t="s">
        <v>1848</v>
      </c>
      <c r="B121" s="376" t="s">
        <v>1609</v>
      </c>
      <c r="C121" s="376"/>
      <c r="D121" s="376">
        <v>2024</v>
      </c>
      <c r="E121" s="376">
        <v>2028</v>
      </c>
      <c r="F121" s="376">
        <v>0.98</v>
      </c>
      <c r="G121" s="376">
        <v>5705.3347119527834</v>
      </c>
      <c r="H121" s="376">
        <v>1864.2789281593423</v>
      </c>
      <c r="I121" s="376">
        <v>1</v>
      </c>
    </row>
    <row r="122" spans="1:9" x14ac:dyDescent="0.35">
      <c r="A122" s="376" t="s">
        <v>1848</v>
      </c>
      <c r="B122" s="376" t="s">
        <v>1609</v>
      </c>
      <c r="C122" s="376"/>
      <c r="D122" s="376">
        <v>2025</v>
      </c>
      <c r="E122" s="376">
        <v>2028</v>
      </c>
      <c r="F122" s="376">
        <v>0.98</v>
      </c>
      <c r="G122" s="376">
        <v>5705.3347119527834</v>
      </c>
      <c r="H122" s="376">
        <v>1864.2789281593423</v>
      </c>
      <c r="I122" s="376">
        <v>1</v>
      </c>
    </row>
    <row r="123" spans="1:9" x14ac:dyDescent="0.35">
      <c r="A123" s="376" t="s">
        <v>1848</v>
      </c>
      <c r="B123" s="376" t="s">
        <v>1609</v>
      </c>
      <c r="C123" s="376"/>
      <c r="D123" s="376">
        <v>2026</v>
      </c>
      <c r="E123" s="376">
        <v>2028</v>
      </c>
      <c r="F123" s="376">
        <v>0.98</v>
      </c>
      <c r="G123" s="376">
        <v>5705.3347119527834</v>
      </c>
      <c r="H123" s="376">
        <v>1864.2789281593423</v>
      </c>
      <c r="I123" s="376">
        <v>1</v>
      </c>
    </row>
    <row r="124" spans="1:9" x14ac:dyDescent="0.35">
      <c r="A124" s="376" t="s">
        <v>1848</v>
      </c>
      <c r="B124" s="376" t="s">
        <v>1609</v>
      </c>
      <c r="C124" s="376"/>
      <c r="D124" s="376">
        <v>2027</v>
      </c>
      <c r="E124" s="376">
        <v>2028</v>
      </c>
      <c r="F124" s="376">
        <v>0.98</v>
      </c>
      <c r="G124" s="376">
        <v>5705.3347119527834</v>
      </c>
      <c r="H124" s="376">
        <v>1864.2789281593423</v>
      </c>
      <c r="I124" s="376">
        <v>1</v>
      </c>
    </row>
    <row r="125" spans="1:9" x14ac:dyDescent="0.35">
      <c r="A125" s="376" t="s">
        <v>1848</v>
      </c>
      <c r="B125" s="376" t="s">
        <v>1609</v>
      </c>
      <c r="C125" s="376"/>
      <c r="D125" s="376">
        <v>2028</v>
      </c>
      <c r="E125" s="376">
        <v>2028</v>
      </c>
      <c r="F125" s="376">
        <v>0.98</v>
      </c>
      <c r="G125" s="376">
        <v>5705.3347119527834</v>
      </c>
      <c r="H125" s="376">
        <v>1864.2789281593423</v>
      </c>
      <c r="I125" s="376">
        <v>1</v>
      </c>
    </row>
    <row r="126" spans="1:9" x14ac:dyDescent="0.35">
      <c r="A126" s="376" t="s">
        <v>1848</v>
      </c>
      <c r="B126" s="376" t="s">
        <v>1609</v>
      </c>
      <c r="C126" s="376"/>
      <c r="D126" s="376">
        <v>2021</v>
      </c>
      <c r="E126" s="376">
        <v>2029</v>
      </c>
      <c r="F126" s="376">
        <v>0.98</v>
      </c>
      <c r="G126" s="376">
        <v>5705.3347119527834</v>
      </c>
      <c r="H126" s="376">
        <v>1864.2789281593423</v>
      </c>
      <c r="I126" s="376">
        <v>1</v>
      </c>
    </row>
    <row r="127" spans="1:9" x14ac:dyDescent="0.35">
      <c r="A127" s="376" t="s">
        <v>1848</v>
      </c>
      <c r="B127" s="376" t="s">
        <v>1609</v>
      </c>
      <c r="C127" s="376"/>
      <c r="D127" s="376">
        <v>2022</v>
      </c>
      <c r="E127" s="376">
        <v>2029</v>
      </c>
      <c r="F127" s="376">
        <v>0.98</v>
      </c>
      <c r="G127" s="376">
        <v>5705.3347119527834</v>
      </c>
      <c r="H127" s="376">
        <v>1864.2789281593423</v>
      </c>
      <c r="I127" s="376">
        <v>1</v>
      </c>
    </row>
    <row r="128" spans="1:9" x14ac:dyDescent="0.35">
      <c r="A128" s="376" t="s">
        <v>1848</v>
      </c>
      <c r="B128" s="376" t="s">
        <v>1609</v>
      </c>
      <c r="C128" s="376"/>
      <c r="D128" s="376">
        <v>2023</v>
      </c>
      <c r="E128" s="376">
        <v>2029</v>
      </c>
      <c r="F128" s="376">
        <v>0.98</v>
      </c>
      <c r="G128" s="376">
        <v>5705.3347119527834</v>
      </c>
      <c r="H128" s="376">
        <v>1864.2789281593423</v>
      </c>
      <c r="I128" s="376">
        <v>1</v>
      </c>
    </row>
    <row r="129" spans="1:9" x14ac:dyDescent="0.35">
      <c r="A129" s="376" t="s">
        <v>1848</v>
      </c>
      <c r="B129" s="376" t="s">
        <v>1609</v>
      </c>
      <c r="C129" s="376"/>
      <c r="D129" s="376">
        <v>2024</v>
      </c>
      <c r="E129" s="376">
        <v>2029</v>
      </c>
      <c r="F129" s="376">
        <v>0.98</v>
      </c>
      <c r="G129" s="376">
        <v>5705.3347119527834</v>
      </c>
      <c r="H129" s="376">
        <v>1864.2789281593423</v>
      </c>
      <c r="I129" s="376">
        <v>1</v>
      </c>
    </row>
    <row r="130" spans="1:9" x14ac:dyDescent="0.35">
      <c r="A130" s="376" t="s">
        <v>1848</v>
      </c>
      <c r="B130" s="376" t="s">
        <v>1609</v>
      </c>
      <c r="C130" s="376"/>
      <c r="D130" s="376">
        <v>2025</v>
      </c>
      <c r="E130" s="376">
        <v>2029</v>
      </c>
      <c r="F130" s="376">
        <v>0.98</v>
      </c>
      <c r="G130" s="376">
        <v>5705.3347119527834</v>
      </c>
      <c r="H130" s="376">
        <v>1864.2789281593423</v>
      </c>
      <c r="I130" s="376">
        <v>1</v>
      </c>
    </row>
    <row r="131" spans="1:9" x14ac:dyDescent="0.35">
      <c r="A131" s="376" t="s">
        <v>1848</v>
      </c>
      <c r="B131" s="376" t="s">
        <v>1609</v>
      </c>
      <c r="C131" s="376"/>
      <c r="D131" s="376">
        <v>2026</v>
      </c>
      <c r="E131" s="376">
        <v>2029</v>
      </c>
      <c r="F131" s="376">
        <v>0.98</v>
      </c>
      <c r="G131" s="376">
        <v>5705.3347119527834</v>
      </c>
      <c r="H131" s="376">
        <v>1864.2789281593423</v>
      </c>
      <c r="I131" s="376">
        <v>1</v>
      </c>
    </row>
    <row r="132" spans="1:9" x14ac:dyDescent="0.35">
      <c r="A132" s="376" t="s">
        <v>1848</v>
      </c>
      <c r="B132" s="376" t="s">
        <v>1609</v>
      </c>
      <c r="C132" s="376"/>
      <c r="D132" s="376">
        <v>2027</v>
      </c>
      <c r="E132" s="376">
        <v>2029</v>
      </c>
      <c r="F132" s="376">
        <v>0.98</v>
      </c>
      <c r="G132" s="376">
        <v>5705.3347119527834</v>
      </c>
      <c r="H132" s="376">
        <v>1864.2789281593423</v>
      </c>
      <c r="I132" s="376">
        <v>1</v>
      </c>
    </row>
    <row r="133" spans="1:9" x14ac:dyDescent="0.35">
      <c r="A133" s="376" t="s">
        <v>1848</v>
      </c>
      <c r="B133" s="376" t="s">
        <v>1609</v>
      </c>
      <c r="C133" s="376"/>
      <c r="D133" s="376">
        <v>2028</v>
      </c>
      <c r="E133" s="376">
        <v>2029</v>
      </c>
      <c r="F133" s="376">
        <v>0.98</v>
      </c>
      <c r="G133" s="376">
        <v>5705.3347119527834</v>
      </c>
      <c r="H133" s="376">
        <v>1864.2789281593423</v>
      </c>
      <c r="I133" s="376">
        <v>1</v>
      </c>
    </row>
    <row r="134" spans="1:9" x14ac:dyDescent="0.35">
      <c r="A134" s="376" t="s">
        <v>1848</v>
      </c>
      <c r="B134" s="376" t="s">
        <v>1609</v>
      </c>
      <c r="C134" s="376"/>
      <c r="D134" s="376">
        <v>2029</v>
      </c>
      <c r="E134" s="376">
        <v>2029</v>
      </c>
      <c r="F134" s="376">
        <v>0.98</v>
      </c>
      <c r="G134" s="376">
        <v>5705.3347119527834</v>
      </c>
      <c r="H134" s="376">
        <v>1864.2789281593423</v>
      </c>
      <c r="I134" s="376">
        <v>1</v>
      </c>
    </row>
    <row r="135" spans="1:9" x14ac:dyDescent="0.35">
      <c r="A135" s="376" t="s">
        <v>1848</v>
      </c>
      <c r="B135" s="376" t="s">
        <v>1609</v>
      </c>
      <c r="C135" s="376"/>
      <c r="D135" s="376">
        <v>2021</v>
      </c>
      <c r="E135" s="376">
        <v>2030</v>
      </c>
      <c r="F135" s="376">
        <v>0.98</v>
      </c>
      <c r="G135" s="376">
        <v>5705.3347119527834</v>
      </c>
      <c r="H135" s="376">
        <v>1864.2789281593423</v>
      </c>
      <c r="I135" s="376">
        <v>1</v>
      </c>
    </row>
    <row r="136" spans="1:9" x14ac:dyDescent="0.35">
      <c r="A136" s="376" t="s">
        <v>1848</v>
      </c>
      <c r="B136" s="376" t="s">
        <v>1609</v>
      </c>
      <c r="C136" s="376"/>
      <c r="D136" s="376">
        <v>2022</v>
      </c>
      <c r="E136" s="376">
        <v>2030</v>
      </c>
      <c r="F136" s="376">
        <v>0.98</v>
      </c>
      <c r="G136" s="376">
        <v>5705.3347119527834</v>
      </c>
      <c r="H136" s="376">
        <v>1864.2789281593423</v>
      </c>
      <c r="I136" s="376">
        <v>1</v>
      </c>
    </row>
    <row r="137" spans="1:9" x14ac:dyDescent="0.35">
      <c r="A137" s="376" t="s">
        <v>1848</v>
      </c>
      <c r="B137" s="376" t="s">
        <v>1609</v>
      </c>
      <c r="C137" s="376"/>
      <c r="D137" s="376">
        <v>2023</v>
      </c>
      <c r="E137" s="376">
        <v>2030</v>
      </c>
      <c r="F137" s="376">
        <v>0.98</v>
      </c>
      <c r="G137" s="376">
        <v>5705.3347119527834</v>
      </c>
      <c r="H137" s="376">
        <v>1864.2789281593423</v>
      </c>
      <c r="I137" s="376">
        <v>1</v>
      </c>
    </row>
    <row r="138" spans="1:9" x14ac:dyDescent="0.35">
      <c r="A138" s="376" t="s">
        <v>1848</v>
      </c>
      <c r="B138" s="376" t="s">
        <v>1609</v>
      </c>
      <c r="C138" s="376"/>
      <c r="D138" s="376">
        <v>2024</v>
      </c>
      <c r="E138" s="376">
        <v>2030</v>
      </c>
      <c r="F138" s="376">
        <v>0.98</v>
      </c>
      <c r="G138" s="376">
        <v>5705.3347119527834</v>
      </c>
      <c r="H138" s="376">
        <v>1864.2789281593423</v>
      </c>
      <c r="I138" s="376">
        <v>1</v>
      </c>
    </row>
    <row r="139" spans="1:9" x14ac:dyDescent="0.35">
      <c r="A139" s="376" t="s">
        <v>1848</v>
      </c>
      <c r="B139" s="376" t="s">
        <v>1609</v>
      </c>
      <c r="C139" s="376"/>
      <c r="D139" s="376">
        <v>2025</v>
      </c>
      <c r="E139" s="376">
        <v>2030</v>
      </c>
      <c r="F139" s="376">
        <v>0.98</v>
      </c>
      <c r="G139" s="376">
        <v>5705.3347119527834</v>
      </c>
      <c r="H139" s="376">
        <v>1864.2789281593423</v>
      </c>
      <c r="I139" s="376">
        <v>1</v>
      </c>
    </row>
    <row r="140" spans="1:9" x14ac:dyDescent="0.35">
      <c r="A140" s="376" t="s">
        <v>1848</v>
      </c>
      <c r="B140" s="376" t="s">
        <v>1609</v>
      </c>
      <c r="C140" s="376"/>
      <c r="D140" s="376">
        <v>2026</v>
      </c>
      <c r="E140" s="376">
        <v>2030</v>
      </c>
      <c r="F140" s="376">
        <v>0.98</v>
      </c>
      <c r="G140" s="376">
        <v>5705.3347119527834</v>
      </c>
      <c r="H140" s="376">
        <v>1864.2789281593423</v>
      </c>
      <c r="I140" s="376">
        <v>1</v>
      </c>
    </row>
    <row r="141" spans="1:9" x14ac:dyDescent="0.35">
      <c r="A141" s="376" t="s">
        <v>1848</v>
      </c>
      <c r="B141" s="376" t="s">
        <v>1609</v>
      </c>
      <c r="C141" s="376"/>
      <c r="D141" s="376">
        <v>2027</v>
      </c>
      <c r="E141" s="376">
        <v>2030</v>
      </c>
      <c r="F141" s="376">
        <v>0.98</v>
      </c>
      <c r="G141" s="376">
        <v>5705.3347119527834</v>
      </c>
      <c r="H141" s="376">
        <v>1864.2789281593423</v>
      </c>
      <c r="I141" s="376">
        <v>1</v>
      </c>
    </row>
    <row r="142" spans="1:9" x14ac:dyDescent="0.35">
      <c r="A142" s="376" t="s">
        <v>1848</v>
      </c>
      <c r="B142" s="376" t="s">
        <v>1609</v>
      </c>
      <c r="C142" s="376"/>
      <c r="D142" s="376">
        <v>2028</v>
      </c>
      <c r="E142" s="376">
        <v>2030</v>
      </c>
      <c r="F142" s="376">
        <v>0.98</v>
      </c>
      <c r="G142" s="376">
        <v>5705.3347119527834</v>
      </c>
      <c r="H142" s="376">
        <v>1864.2789281593423</v>
      </c>
      <c r="I142" s="376">
        <v>1</v>
      </c>
    </row>
    <row r="143" spans="1:9" x14ac:dyDescent="0.35">
      <c r="A143" s="376" t="s">
        <v>1848</v>
      </c>
      <c r="B143" s="376" t="s">
        <v>1609</v>
      </c>
      <c r="C143" s="376"/>
      <c r="D143" s="376">
        <v>2029</v>
      </c>
      <c r="E143" s="376">
        <v>2030</v>
      </c>
      <c r="F143" s="376">
        <v>0.98</v>
      </c>
      <c r="G143" s="376">
        <v>5705.3347119527834</v>
      </c>
      <c r="H143" s="376">
        <v>1864.2789281593423</v>
      </c>
      <c r="I143" s="376">
        <v>1</v>
      </c>
    </row>
    <row r="144" spans="1:9" x14ac:dyDescent="0.35">
      <c r="A144" s="376" t="s">
        <v>1848</v>
      </c>
      <c r="B144" s="376" t="s">
        <v>1609</v>
      </c>
      <c r="C144" s="376"/>
      <c r="D144" s="376">
        <v>2030</v>
      </c>
      <c r="E144" s="376">
        <v>2030</v>
      </c>
      <c r="F144" s="376">
        <v>0.98</v>
      </c>
      <c r="G144" s="376">
        <v>5705.3347119527834</v>
      </c>
      <c r="H144" s="376">
        <v>1864.2789281593423</v>
      </c>
      <c r="I144" s="376">
        <v>1</v>
      </c>
    </row>
    <row r="145" spans="1:9" x14ac:dyDescent="0.35">
      <c r="A145" s="376" t="s">
        <v>1848</v>
      </c>
      <c r="B145" s="376" t="s">
        <v>1609</v>
      </c>
      <c r="C145" s="376"/>
      <c r="D145" s="376">
        <v>2021</v>
      </c>
      <c r="E145" s="376">
        <v>2031</v>
      </c>
      <c r="F145" s="376">
        <v>0.98</v>
      </c>
      <c r="G145" s="376">
        <v>5705.3347119527834</v>
      </c>
      <c r="H145" s="376">
        <v>1864.2789281593423</v>
      </c>
      <c r="I145" s="376">
        <v>1</v>
      </c>
    </row>
    <row r="146" spans="1:9" x14ac:dyDescent="0.35">
      <c r="A146" s="376" t="s">
        <v>1848</v>
      </c>
      <c r="B146" s="376" t="s">
        <v>1609</v>
      </c>
      <c r="C146" s="376"/>
      <c r="D146" s="376">
        <v>2022</v>
      </c>
      <c r="E146" s="376">
        <v>2031</v>
      </c>
      <c r="F146" s="376">
        <v>0.98</v>
      </c>
      <c r="G146" s="376">
        <v>5705.3347119527834</v>
      </c>
      <c r="H146" s="376">
        <v>1864.2789281593423</v>
      </c>
      <c r="I146" s="376">
        <v>1</v>
      </c>
    </row>
    <row r="147" spans="1:9" x14ac:dyDescent="0.35">
      <c r="A147" s="376" t="s">
        <v>1848</v>
      </c>
      <c r="B147" s="376" t="s">
        <v>1609</v>
      </c>
      <c r="C147" s="376"/>
      <c r="D147" s="376">
        <v>2023</v>
      </c>
      <c r="E147" s="376">
        <v>2031</v>
      </c>
      <c r="F147" s="376">
        <v>0.98</v>
      </c>
      <c r="G147" s="376">
        <v>5705.3347119527834</v>
      </c>
      <c r="H147" s="376">
        <v>1864.2789281593423</v>
      </c>
      <c r="I147" s="376">
        <v>1</v>
      </c>
    </row>
    <row r="148" spans="1:9" x14ac:dyDescent="0.35">
      <c r="A148" s="376" t="s">
        <v>1848</v>
      </c>
      <c r="B148" s="376" t="s">
        <v>1609</v>
      </c>
      <c r="C148" s="376"/>
      <c r="D148" s="376">
        <v>2024</v>
      </c>
      <c r="E148" s="376">
        <v>2031</v>
      </c>
      <c r="F148" s="376">
        <v>0.98</v>
      </c>
      <c r="G148" s="376">
        <v>5705.3347119527834</v>
      </c>
      <c r="H148" s="376">
        <v>1864.2789281593423</v>
      </c>
      <c r="I148" s="376">
        <v>1</v>
      </c>
    </row>
    <row r="149" spans="1:9" x14ac:dyDescent="0.35">
      <c r="A149" s="376" t="s">
        <v>1848</v>
      </c>
      <c r="B149" s="376" t="s">
        <v>1609</v>
      </c>
      <c r="C149" s="376"/>
      <c r="D149" s="376">
        <v>2025</v>
      </c>
      <c r="E149" s="376">
        <v>2031</v>
      </c>
      <c r="F149" s="376">
        <v>0.98</v>
      </c>
      <c r="G149" s="376">
        <v>5705.3347119527834</v>
      </c>
      <c r="H149" s="376">
        <v>1864.2789281593423</v>
      </c>
      <c r="I149" s="376">
        <v>1</v>
      </c>
    </row>
    <row r="150" spans="1:9" x14ac:dyDescent="0.35">
      <c r="A150" s="376" t="s">
        <v>1848</v>
      </c>
      <c r="B150" s="376" t="s">
        <v>1609</v>
      </c>
      <c r="C150" s="376"/>
      <c r="D150" s="376">
        <v>2026</v>
      </c>
      <c r="E150" s="376">
        <v>2031</v>
      </c>
      <c r="F150" s="376">
        <v>0.98</v>
      </c>
      <c r="G150" s="376">
        <v>5705.3347119527834</v>
      </c>
      <c r="H150" s="376">
        <v>1864.2789281593423</v>
      </c>
      <c r="I150" s="376">
        <v>1</v>
      </c>
    </row>
    <row r="151" spans="1:9" x14ac:dyDescent="0.35">
      <c r="A151" s="376" t="s">
        <v>1848</v>
      </c>
      <c r="B151" s="376" t="s">
        <v>1609</v>
      </c>
      <c r="C151" s="376"/>
      <c r="D151" s="376">
        <v>2027</v>
      </c>
      <c r="E151" s="376">
        <v>2031</v>
      </c>
      <c r="F151" s="376">
        <v>0.98</v>
      </c>
      <c r="G151" s="376">
        <v>5705.3347119527834</v>
      </c>
      <c r="H151" s="376">
        <v>1864.2789281593423</v>
      </c>
      <c r="I151" s="376">
        <v>1</v>
      </c>
    </row>
    <row r="152" spans="1:9" x14ac:dyDescent="0.35">
      <c r="A152" s="376" t="s">
        <v>1848</v>
      </c>
      <c r="B152" s="376" t="s">
        <v>1609</v>
      </c>
      <c r="C152" s="376"/>
      <c r="D152" s="376">
        <v>2028</v>
      </c>
      <c r="E152" s="376">
        <v>2031</v>
      </c>
      <c r="F152" s="376">
        <v>0.98</v>
      </c>
      <c r="G152" s="376">
        <v>5705.3347119527834</v>
      </c>
      <c r="H152" s="376">
        <v>1864.2789281593423</v>
      </c>
      <c r="I152" s="376">
        <v>1</v>
      </c>
    </row>
    <row r="153" spans="1:9" x14ac:dyDescent="0.35">
      <c r="A153" s="376" t="s">
        <v>1848</v>
      </c>
      <c r="B153" s="376" t="s">
        <v>1609</v>
      </c>
      <c r="C153" s="376"/>
      <c r="D153" s="376">
        <v>2029</v>
      </c>
      <c r="E153" s="376">
        <v>2031</v>
      </c>
      <c r="F153" s="376">
        <v>0.98</v>
      </c>
      <c r="G153" s="376">
        <v>5705.3347119527834</v>
      </c>
      <c r="H153" s="376">
        <v>1864.2789281593423</v>
      </c>
      <c r="I153" s="376">
        <v>1</v>
      </c>
    </row>
    <row r="154" spans="1:9" x14ac:dyDescent="0.35">
      <c r="A154" s="376" t="s">
        <v>1848</v>
      </c>
      <c r="B154" s="376" t="s">
        <v>1609</v>
      </c>
      <c r="C154" s="376"/>
      <c r="D154" s="376">
        <v>2030</v>
      </c>
      <c r="E154" s="376">
        <v>2031</v>
      </c>
      <c r="F154" s="376">
        <v>0.98</v>
      </c>
      <c r="G154" s="376">
        <v>5705.3347119527834</v>
      </c>
      <c r="H154" s="376">
        <v>1864.2789281593423</v>
      </c>
      <c r="I154" s="376">
        <v>1</v>
      </c>
    </row>
    <row r="155" spans="1:9" x14ac:dyDescent="0.35">
      <c r="A155" s="376" t="s">
        <v>1848</v>
      </c>
      <c r="B155" s="376" t="s">
        <v>1609</v>
      </c>
      <c r="C155" s="376"/>
      <c r="D155" s="376">
        <v>2031</v>
      </c>
      <c r="E155" s="376">
        <v>2031</v>
      </c>
      <c r="F155" s="376">
        <v>0.98</v>
      </c>
      <c r="G155" s="376">
        <v>5705.3347119527834</v>
      </c>
      <c r="H155" s="376">
        <v>1864.2789281593423</v>
      </c>
      <c r="I155" s="376">
        <v>1</v>
      </c>
    </row>
    <row r="156" spans="1:9" x14ac:dyDescent="0.35">
      <c r="A156" s="376" t="s">
        <v>1849</v>
      </c>
      <c r="B156" s="376" t="s">
        <v>1609</v>
      </c>
      <c r="C156" s="376"/>
      <c r="D156" s="376">
        <v>2020</v>
      </c>
      <c r="E156" s="376">
        <v>2021</v>
      </c>
      <c r="F156" s="376">
        <v>0.98</v>
      </c>
      <c r="G156" s="376">
        <v>5705.3347119527834</v>
      </c>
      <c r="H156" s="376">
        <v>85.672729375807648</v>
      </c>
      <c r="I156" s="376">
        <v>1</v>
      </c>
    </row>
    <row r="157" spans="1:9" x14ac:dyDescent="0.35">
      <c r="A157" s="376" t="s">
        <v>1849</v>
      </c>
      <c r="B157" s="376" t="s">
        <v>1609</v>
      </c>
      <c r="C157" s="376"/>
      <c r="D157" s="376">
        <v>2020</v>
      </c>
      <c r="E157" s="376">
        <v>2022</v>
      </c>
      <c r="F157" s="376">
        <v>0.98</v>
      </c>
      <c r="G157" s="376">
        <v>5705.3347119527834</v>
      </c>
      <c r="H157" s="376">
        <v>85.672729375807648</v>
      </c>
      <c r="I157" s="376">
        <v>1</v>
      </c>
    </row>
    <row r="158" spans="1:9" x14ac:dyDescent="0.35">
      <c r="A158" s="376" t="s">
        <v>1849</v>
      </c>
      <c r="B158" s="376" t="s">
        <v>1609</v>
      </c>
      <c r="C158" s="376"/>
      <c r="D158" s="376">
        <v>2020</v>
      </c>
      <c r="E158" s="376">
        <v>2023</v>
      </c>
      <c r="F158" s="376">
        <v>0.98</v>
      </c>
      <c r="G158" s="376">
        <v>5705.3347119527834</v>
      </c>
      <c r="H158" s="376">
        <v>85.672729375807648</v>
      </c>
      <c r="I158" s="376">
        <v>1</v>
      </c>
    </row>
    <row r="159" spans="1:9" x14ac:dyDescent="0.35">
      <c r="A159" s="376" t="s">
        <v>1849</v>
      </c>
      <c r="B159" s="376" t="s">
        <v>1609</v>
      </c>
      <c r="C159" s="376"/>
      <c r="D159" s="376">
        <v>2020</v>
      </c>
      <c r="E159" s="376">
        <v>2024</v>
      </c>
      <c r="F159" s="376">
        <v>0.98</v>
      </c>
      <c r="G159" s="376">
        <v>5705.3347119527834</v>
      </c>
      <c r="H159" s="376">
        <v>85.672729375807648</v>
      </c>
      <c r="I159" s="376">
        <v>1</v>
      </c>
    </row>
    <row r="160" spans="1:9" x14ac:dyDescent="0.35">
      <c r="A160" s="376" t="s">
        <v>1849</v>
      </c>
      <c r="B160" s="376" t="s">
        <v>1609</v>
      </c>
      <c r="C160" s="376"/>
      <c r="D160" s="376">
        <v>2020</v>
      </c>
      <c r="E160" s="376">
        <v>2025</v>
      </c>
      <c r="F160" s="376">
        <v>0.98</v>
      </c>
      <c r="G160" s="376">
        <v>5705.3347119527834</v>
      </c>
      <c r="H160" s="376">
        <v>85.672729375807648</v>
      </c>
      <c r="I160" s="376">
        <v>1</v>
      </c>
    </row>
    <row r="161" spans="1:9" x14ac:dyDescent="0.35">
      <c r="A161" s="376" t="s">
        <v>1849</v>
      </c>
      <c r="B161" s="376" t="s">
        <v>1609</v>
      </c>
      <c r="C161" s="376"/>
      <c r="D161" s="376">
        <v>2020</v>
      </c>
      <c r="E161" s="376">
        <v>2026</v>
      </c>
      <c r="F161" s="376">
        <v>0.98</v>
      </c>
      <c r="G161" s="376">
        <v>5705.3347119527834</v>
      </c>
      <c r="H161" s="376">
        <v>85.672729375807648</v>
      </c>
      <c r="I161" s="376">
        <v>1</v>
      </c>
    </row>
    <row r="162" spans="1:9" x14ac:dyDescent="0.35">
      <c r="A162" s="376" t="s">
        <v>1849</v>
      </c>
      <c r="B162" s="376" t="s">
        <v>1609</v>
      </c>
      <c r="C162" s="376"/>
      <c r="D162" s="376">
        <v>2020</v>
      </c>
      <c r="E162" s="376">
        <v>2027</v>
      </c>
      <c r="F162" s="376">
        <v>0.98</v>
      </c>
      <c r="G162" s="376">
        <v>5705.3347119527834</v>
      </c>
      <c r="H162" s="376">
        <v>85.672729375807648</v>
      </c>
      <c r="I162" s="376">
        <v>1</v>
      </c>
    </row>
    <row r="163" spans="1:9" x14ac:dyDescent="0.35">
      <c r="A163" s="376" t="s">
        <v>1849</v>
      </c>
      <c r="B163" s="376" t="s">
        <v>1609</v>
      </c>
      <c r="C163" s="376"/>
      <c r="D163" s="376">
        <v>2020</v>
      </c>
      <c r="E163" s="376">
        <v>2028</v>
      </c>
      <c r="F163" s="376">
        <v>0.98</v>
      </c>
      <c r="G163" s="376">
        <v>5705.3347119527834</v>
      </c>
      <c r="H163" s="376">
        <v>85.672729375807648</v>
      </c>
      <c r="I163" s="376">
        <v>1</v>
      </c>
    </row>
    <row r="164" spans="1:9" x14ac:dyDescent="0.35">
      <c r="A164" s="376" t="s">
        <v>1849</v>
      </c>
      <c r="B164" s="376" t="s">
        <v>1609</v>
      </c>
      <c r="C164" s="376"/>
      <c r="D164" s="376">
        <v>2020</v>
      </c>
      <c r="E164" s="376">
        <v>2029</v>
      </c>
      <c r="F164" s="376">
        <v>0.98</v>
      </c>
      <c r="G164" s="376">
        <v>5705.3347119527834</v>
      </c>
      <c r="H164" s="376">
        <v>85.672729375807648</v>
      </c>
      <c r="I164" s="376">
        <v>1</v>
      </c>
    </row>
    <row r="165" spans="1:9" x14ac:dyDescent="0.35">
      <c r="A165" s="376" t="s">
        <v>1849</v>
      </c>
      <c r="B165" s="376" t="s">
        <v>1609</v>
      </c>
      <c r="C165" s="376"/>
      <c r="D165" s="376">
        <v>2020</v>
      </c>
      <c r="E165" s="376">
        <v>2030</v>
      </c>
      <c r="F165" s="376">
        <v>0.98</v>
      </c>
      <c r="G165" s="376">
        <v>5705.3347119527834</v>
      </c>
      <c r="H165" s="376">
        <v>85.672729375807648</v>
      </c>
      <c r="I165" s="376">
        <v>1</v>
      </c>
    </row>
    <row r="166" spans="1:9" x14ac:dyDescent="0.35">
      <c r="A166" s="376" t="s">
        <v>1849</v>
      </c>
      <c r="B166" s="376" t="s">
        <v>1609</v>
      </c>
      <c r="C166" s="376"/>
      <c r="D166" s="376">
        <v>2020</v>
      </c>
      <c r="E166" s="376">
        <v>2031</v>
      </c>
      <c r="F166" s="376">
        <v>0.98</v>
      </c>
      <c r="G166" s="376">
        <v>5705.3347119527834</v>
      </c>
      <c r="H166" s="376">
        <v>85.672729375807648</v>
      </c>
      <c r="I166" s="376">
        <v>1</v>
      </c>
    </row>
    <row r="167" spans="1:9" x14ac:dyDescent="0.35">
      <c r="A167" s="376" t="s">
        <v>1849</v>
      </c>
      <c r="B167" s="376" t="s">
        <v>1609</v>
      </c>
      <c r="C167" s="376"/>
      <c r="D167" s="376">
        <v>2021</v>
      </c>
      <c r="E167" s="376">
        <v>2021</v>
      </c>
      <c r="F167" s="376">
        <v>0.98</v>
      </c>
      <c r="G167" s="376">
        <v>5705.3347119527834</v>
      </c>
      <c r="H167" s="376">
        <v>85.672729375807648</v>
      </c>
      <c r="I167" s="376">
        <v>1</v>
      </c>
    </row>
    <row r="168" spans="1:9" x14ac:dyDescent="0.35">
      <c r="A168" s="376" t="s">
        <v>1849</v>
      </c>
      <c r="B168" s="376" t="s">
        <v>1609</v>
      </c>
      <c r="C168" s="376"/>
      <c r="D168" s="376">
        <v>2021</v>
      </c>
      <c r="E168" s="376">
        <v>2022</v>
      </c>
      <c r="F168" s="376">
        <v>0.98</v>
      </c>
      <c r="G168" s="376">
        <v>5705.3347119527834</v>
      </c>
      <c r="H168" s="376">
        <v>85.672729375807648</v>
      </c>
      <c r="I168" s="376">
        <v>1</v>
      </c>
    </row>
    <row r="169" spans="1:9" x14ac:dyDescent="0.35">
      <c r="A169" s="376" t="s">
        <v>1849</v>
      </c>
      <c r="B169" s="376" t="s">
        <v>1609</v>
      </c>
      <c r="C169" s="376"/>
      <c r="D169" s="376">
        <v>2022</v>
      </c>
      <c r="E169" s="376">
        <v>2022</v>
      </c>
      <c r="F169" s="376">
        <v>0.98</v>
      </c>
      <c r="G169" s="376">
        <v>5705.3347119527834</v>
      </c>
      <c r="H169" s="376">
        <v>85.672729375807648</v>
      </c>
      <c r="I169" s="376">
        <v>1</v>
      </c>
    </row>
    <row r="170" spans="1:9" x14ac:dyDescent="0.35">
      <c r="A170" s="376" t="s">
        <v>1849</v>
      </c>
      <c r="B170" s="376" t="s">
        <v>1609</v>
      </c>
      <c r="C170" s="376"/>
      <c r="D170" s="376">
        <v>2021</v>
      </c>
      <c r="E170" s="376">
        <v>2023</v>
      </c>
      <c r="F170" s="376">
        <v>0.98</v>
      </c>
      <c r="G170" s="376">
        <v>5705.3347119527834</v>
      </c>
      <c r="H170" s="376">
        <v>85.672729375807648</v>
      </c>
      <c r="I170" s="376">
        <v>1</v>
      </c>
    </row>
    <row r="171" spans="1:9" x14ac:dyDescent="0.35">
      <c r="A171" s="376" t="s">
        <v>1849</v>
      </c>
      <c r="B171" s="376" t="s">
        <v>1609</v>
      </c>
      <c r="C171" s="376"/>
      <c r="D171" s="376">
        <v>2022</v>
      </c>
      <c r="E171" s="376">
        <v>2023</v>
      </c>
      <c r="F171" s="376">
        <v>0.98</v>
      </c>
      <c r="G171" s="376">
        <v>5705.3347119527834</v>
      </c>
      <c r="H171" s="376">
        <v>85.672729375807648</v>
      </c>
      <c r="I171" s="376">
        <v>1</v>
      </c>
    </row>
    <row r="172" spans="1:9" x14ac:dyDescent="0.35">
      <c r="A172" s="376" t="s">
        <v>1849</v>
      </c>
      <c r="B172" s="376" t="s">
        <v>1609</v>
      </c>
      <c r="C172" s="376"/>
      <c r="D172" s="376">
        <v>2023</v>
      </c>
      <c r="E172" s="376">
        <v>2023</v>
      </c>
      <c r="F172" s="376">
        <v>0.98</v>
      </c>
      <c r="G172" s="376">
        <v>5705.3347119527834</v>
      </c>
      <c r="H172" s="376">
        <v>85.672729375807648</v>
      </c>
      <c r="I172" s="376">
        <v>1</v>
      </c>
    </row>
    <row r="173" spans="1:9" x14ac:dyDescent="0.35">
      <c r="A173" s="376" t="s">
        <v>1849</v>
      </c>
      <c r="B173" s="376" t="s">
        <v>1609</v>
      </c>
      <c r="C173" s="376"/>
      <c r="D173" s="376">
        <v>2021</v>
      </c>
      <c r="E173" s="376">
        <v>2024</v>
      </c>
      <c r="F173" s="376">
        <v>0.98</v>
      </c>
      <c r="G173" s="376">
        <v>5705.3347119527834</v>
      </c>
      <c r="H173" s="376">
        <v>85.672729375807648</v>
      </c>
      <c r="I173" s="376">
        <v>1</v>
      </c>
    </row>
    <row r="174" spans="1:9" x14ac:dyDescent="0.35">
      <c r="A174" s="376" t="s">
        <v>1849</v>
      </c>
      <c r="B174" s="376" t="s">
        <v>1609</v>
      </c>
      <c r="C174" s="376"/>
      <c r="D174" s="376">
        <v>2022</v>
      </c>
      <c r="E174" s="376">
        <v>2024</v>
      </c>
      <c r="F174" s="376">
        <v>0.98</v>
      </c>
      <c r="G174" s="376">
        <v>5705.3347119527834</v>
      </c>
      <c r="H174" s="376">
        <v>85.672729375807648</v>
      </c>
      <c r="I174" s="376">
        <v>1</v>
      </c>
    </row>
    <row r="175" spans="1:9" x14ac:dyDescent="0.35">
      <c r="A175" s="376" t="s">
        <v>1849</v>
      </c>
      <c r="B175" s="376" t="s">
        <v>1609</v>
      </c>
      <c r="C175" s="376"/>
      <c r="D175" s="376">
        <v>2023</v>
      </c>
      <c r="E175" s="376">
        <v>2024</v>
      </c>
      <c r="F175" s="376">
        <v>0.98</v>
      </c>
      <c r="G175" s="376">
        <v>5705.3347119527834</v>
      </c>
      <c r="H175" s="376">
        <v>85.672729375807648</v>
      </c>
      <c r="I175" s="376">
        <v>1</v>
      </c>
    </row>
    <row r="176" spans="1:9" x14ac:dyDescent="0.35">
      <c r="A176" s="376" t="s">
        <v>1849</v>
      </c>
      <c r="B176" s="376" t="s">
        <v>1609</v>
      </c>
      <c r="C176" s="376"/>
      <c r="D176" s="376">
        <v>2024</v>
      </c>
      <c r="E176" s="376">
        <v>2024</v>
      </c>
      <c r="F176" s="376">
        <v>0.98</v>
      </c>
      <c r="G176" s="376">
        <v>5705.3347119527834</v>
      </c>
      <c r="H176" s="376">
        <v>85.672729375807648</v>
      </c>
      <c r="I176" s="376">
        <v>1</v>
      </c>
    </row>
    <row r="177" spans="1:9" x14ac:dyDescent="0.35">
      <c r="A177" s="376" t="s">
        <v>1849</v>
      </c>
      <c r="B177" s="376" t="s">
        <v>1609</v>
      </c>
      <c r="C177" s="376"/>
      <c r="D177" s="376">
        <v>2021</v>
      </c>
      <c r="E177" s="376">
        <v>2025</v>
      </c>
      <c r="F177" s="376">
        <v>0.98</v>
      </c>
      <c r="G177" s="376">
        <v>5705.3347119527834</v>
      </c>
      <c r="H177" s="376">
        <v>85.672729375807648</v>
      </c>
      <c r="I177" s="376">
        <v>1</v>
      </c>
    </row>
    <row r="178" spans="1:9" x14ac:dyDescent="0.35">
      <c r="A178" s="376" t="s">
        <v>1849</v>
      </c>
      <c r="B178" s="376" t="s">
        <v>1609</v>
      </c>
      <c r="C178" s="376"/>
      <c r="D178" s="376">
        <v>2022</v>
      </c>
      <c r="E178" s="376">
        <v>2025</v>
      </c>
      <c r="F178" s="376">
        <v>0.98</v>
      </c>
      <c r="G178" s="376">
        <v>5705.3347119527834</v>
      </c>
      <c r="H178" s="376">
        <v>85.672729375807648</v>
      </c>
      <c r="I178" s="376">
        <v>1</v>
      </c>
    </row>
    <row r="179" spans="1:9" x14ac:dyDescent="0.35">
      <c r="A179" s="376" t="s">
        <v>1849</v>
      </c>
      <c r="B179" s="376" t="s">
        <v>1609</v>
      </c>
      <c r="C179" s="376"/>
      <c r="D179" s="376">
        <v>2023</v>
      </c>
      <c r="E179" s="376">
        <v>2025</v>
      </c>
      <c r="F179" s="376">
        <v>0.98</v>
      </c>
      <c r="G179" s="376">
        <v>5705.3347119527834</v>
      </c>
      <c r="H179" s="376">
        <v>85.672729375807648</v>
      </c>
      <c r="I179" s="376">
        <v>1</v>
      </c>
    </row>
    <row r="180" spans="1:9" x14ac:dyDescent="0.35">
      <c r="A180" s="376" t="s">
        <v>1849</v>
      </c>
      <c r="B180" s="376" t="s">
        <v>1609</v>
      </c>
      <c r="C180" s="376"/>
      <c r="D180" s="376">
        <v>2024</v>
      </c>
      <c r="E180" s="376">
        <v>2025</v>
      </c>
      <c r="F180" s="376">
        <v>0.98</v>
      </c>
      <c r="G180" s="376">
        <v>5705.3347119527834</v>
      </c>
      <c r="H180" s="376">
        <v>85.672729375807648</v>
      </c>
      <c r="I180" s="376">
        <v>1</v>
      </c>
    </row>
    <row r="181" spans="1:9" x14ac:dyDescent="0.35">
      <c r="A181" s="376" t="s">
        <v>1849</v>
      </c>
      <c r="B181" s="376" t="s">
        <v>1609</v>
      </c>
      <c r="C181" s="376"/>
      <c r="D181" s="376">
        <v>2025</v>
      </c>
      <c r="E181" s="376">
        <v>2025</v>
      </c>
      <c r="F181" s="376">
        <v>0.98</v>
      </c>
      <c r="G181" s="376">
        <v>5705.3347119527834</v>
      </c>
      <c r="H181" s="376">
        <v>85.672729375807648</v>
      </c>
      <c r="I181" s="376">
        <v>1</v>
      </c>
    </row>
    <row r="182" spans="1:9" x14ac:dyDescent="0.35">
      <c r="A182" s="376" t="s">
        <v>1849</v>
      </c>
      <c r="B182" s="376" t="s">
        <v>1609</v>
      </c>
      <c r="C182" s="376"/>
      <c r="D182" s="376">
        <v>2021</v>
      </c>
      <c r="E182" s="376">
        <v>2026</v>
      </c>
      <c r="F182" s="376">
        <v>0.98</v>
      </c>
      <c r="G182" s="376">
        <v>5705.3347119527834</v>
      </c>
      <c r="H182" s="376">
        <v>85.672729375807648</v>
      </c>
      <c r="I182" s="376">
        <v>1</v>
      </c>
    </row>
    <row r="183" spans="1:9" x14ac:dyDescent="0.35">
      <c r="A183" s="376" t="s">
        <v>1849</v>
      </c>
      <c r="B183" s="376" t="s">
        <v>1609</v>
      </c>
      <c r="C183" s="376"/>
      <c r="D183" s="376">
        <v>2022</v>
      </c>
      <c r="E183" s="376">
        <v>2026</v>
      </c>
      <c r="F183" s="376">
        <v>0.98</v>
      </c>
      <c r="G183" s="376">
        <v>5705.3347119527834</v>
      </c>
      <c r="H183" s="376">
        <v>85.672729375807648</v>
      </c>
      <c r="I183" s="376">
        <v>1</v>
      </c>
    </row>
    <row r="184" spans="1:9" x14ac:dyDescent="0.35">
      <c r="A184" s="376" t="s">
        <v>1849</v>
      </c>
      <c r="B184" s="376" t="s">
        <v>1609</v>
      </c>
      <c r="C184" s="376"/>
      <c r="D184" s="376">
        <v>2023</v>
      </c>
      <c r="E184" s="376">
        <v>2026</v>
      </c>
      <c r="F184" s="376">
        <v>0.98</v>
      </c>
      <c r="G184" s="376">
        <v>5705.3347119527834</v>
      </c>
      <c r="H184" s="376">
        <v>85.672729375807648</v>
      </c>
      <c r="I184" s="376">
        <v>1</v>
      </c>
    </row>
    <row r="185" spans="1:9" x14ac:dyDescent="0.35">
      <c r="A185" s="376" t="s">
        <v>1849</v>
      </c>
      <c r="B185" s="376" t="s">
        <v>1609</v>
      </c>
      <c r="C185" s="376"/>
      <c r="D185" s="376">
        <v>2024</v>
      </c>
      <c r="E185" s="376">
        <v>2026</v>
      </c>
      <c r="F185" s="376">
        <v>0.98</v>
      </c>
      <c r="G185" s="376">
        <v>5705.3347119527834</v>
      </c>
      <c r="H185" s="376">
        <v>85.672729375807648</v>
      </c>
      <c r="I185" s="376">
        <v>1</v>
      </c>
    </row>
    <row r="186" spans="1:9" x14ac:dyDescent="0.35">
      <c r="A186" s="376" t="s">
        <v>1849</v>
      </c>
      <c r="B186" s="376" t="s">
        <v>1609</v>
      </c>
      <c r="C186" s="376"/>
      <c r="D186" s="376">
        <v>2025</v>
      </c>
      <c r="E186" s="376">
        <v>2026</v>
      </c>
      <c r="F186" s="376">
        <v>0.98</v>
      </c>
      <c r="G186" s="376">
        <v>5705.3347119527834</v>
      </c>
      <c r="H186" s="376">
        <v>85.672729375807648</v>
      </c>
      <c r="I186" s="376">
        <v>1</v>
      </c>
    </row>
    <row r="187" spans="1:9" x14ac:dyDescent="0.35">
      <c r="A187" s="376" t="s">
        <v>1849</v>
      </c>
      <c r="B187" s="376" t="s">
        <v>1609</v>
      </c>
      <c r="C187" s="376"/>
      <c r="D187" s="376">
        <v>2026</v>
      </c>
      <c r="E187" s="376">
        <v>2026</v>
      </c>
      <c r="F187" s="376">
        <v>0.98</v>
      </c>
      <c r="G187" s="376">
        <v>5705.3347119527834</v>
      </c>
      <c r="H187" s="376">
        <v>85.672729375807648</v>
      </c>
      <c r="I187" s="376">
        <v>1</v>
      </c>
    </row>
    <row r="188" spans="1:9" x14ac:dyDescent="0.35">
      <c r="A188" s="376" t="s">
        <v>1849</v>
      </c>
      <c r="B188" s="376" t="s">
        <v>1609</v>
      </c>
      <c r="C188" s="376"/>
      <c r="D188" s="376">
        <v>2021</v>
      </c>
      <c r="E188" s="376">
        <v>2027</v>
      </c>
      <c r="F188" s="376">
        <v>0.98</v>
      </c>
      <c r="G188" s="376">
        <v>5705.3347119527834</v>
      </c>
      <c r="H188" s="376">
        <v>85.672729375807648</v>
      </c>
      <c r="I188" s="376">
        <v>1</v>
      </c>
    </row>
    <row r="189" spans="1:9" x14ac:dyDescent="0.35">
      <c r="A189" s="376" t="s">
        <v>1849</v>
      </c>
      <c r="B189" s="376" t="s">
        <v>1609</v>
      </c>
      <c r="C189" s="376"/>
      <c r="D189" s="376">
        <v>2022</v>
      </c>
      <c r="E189" s="376">
        <v>2027</v>
      </c>
      <c r="F189" s="376">
        <v>0.98</v>
      </c>
      <c r="G189" s="376">
        <v>5705.3347119527834</v>
      </c>
      <c r="H189" s="376">
        <v>85.672729375807648</v>
      </c>
      <c r="I189" s="376">
        <v>1</v>
      </c>
    </row>
    <row r="190" spans="1:9" x14ac:dyDescent="0.35">
      <c r="A190" s="376" t="s">
        <v>1849</v>
      </c>
      <c r="B190" s="376" t="s">
        <v>1609</v>
      </c>
      <c r="C190" s="376"/>
      <c r="D190" s="376">
        <v>2023</v>
      </c>
      <c r="E190" s="376">
        <v>2027</v>
      </c>
      <c r="F190" s="376">
        <v>0.98</v>
      </c>
      <c r="G190" s="376">
        <v>5705.3347119527834</v>
      </c>
      <c r="H190" s="376">
        <v>85.672729375807648</v>
      </c>
      <c r="I190" s="376">
        <v>1</v>
      </c>
    </row>
    <row r="191" spans="1:9" x14ac:dyDescent="0.35">
      <c r="A191" s="376" t="s">
        <v>1849</v>
      </c>
      <c r="B191" s="376" t="s">
        <v>1609</v>
      </c>
      <c r="C191" s="376"/>
      <c r="D191" s="376">
        <v>2024</v>
      </c>
      <c r="E191" s="376">
        <v>2027</v>
      </c>
      <c r="F191" s="376">
        <v>0.98</v>
      </c>
      <c r="G191" s="376">
        <v>5705.3347119527834</v>
      </c>
      <c r="H191" s="376">
        <v>85.672729375807648</v>
      </c>
      <c r="I191" s="376">
        <v>1</v>
      </c>
    </row>
    <row r="192" spans="1:9" x14ac:dyDescent="0.35">
      <c r="A192" s="376" t="s">
        <v>1849</v>
      </c>
      <c r="B192" s="376" t="s">
        <v>1609</v>
      </c>
      <c r="C192" s="376"/>
      <c r="D192" s="376">
        <v>2025</v>
      </c>
      <c r="E192" s="376">
        <v>2027</v>
      </c>
      <c r="F192" s="376">
        <v>0.98</v>
      </c>
      <c r="G192" s="376">
        <v>5705.3347119527834</v>
      </c>
      <c r="H192" s="376">
        <v>85.672729375807648</v>
      </c>
      <c r="I192" s="376">
        <v>1</v>
      </c>
    </row>
    <row r="193" spans="1:9" x14ac:dyDescent="0.35">
      <c r="A193" s="376" t="s">
        <v>1849</v>
      </c>
      <c r="B193" s="376" t="s">
        <v>1609</v>
      </c>
      <c r="C193" s="376"/>
      <c r="D193" s="376">
        <v>2026</v>
      </c>
      <c r="E193" s="376">
        <v>2027</v>
      </c>
      <c r="F193" s="376">
        <v>0.98</v>
      </c>
      <c r="G193" s="376">
        <v>5705.3347119527834</v>
      </c>
      <c r="H193" s="376">
        <v>85.672729375807648</v>
      </c>
      <c r="I193" s="376">
        <v>1</v>
      </c>
    </row>
    <row r="194" spans="1:9" x14ac:dyDescent="0.35">
      <c r="A194" s="376" t="s">
        <v>1849</v>
      </c>
      <c r="B194" s="376" t="s">
        <v>1609</v>
      </c>
      <c r="C194" s="376"/>
      <c r="D194" s="376">
        <v>2027</v>
      </c>
      <c r="E194" s="376">
        <v>2027</v>
      </c>
      <c r="F194" s="376">
        <v>0.98</v>
      </c>
      <c r="G194" s="376">
        <v>5705.3347119527834</v>
      </c>
      <c r="H194" s="376">
        <v>85.672729375807648</v>
      </c>
      <c r="I194" s="376">
        <v>1</v>
      </c>
    </row>
    <row r="195" spans="1:9" x14ac:dyDescent="0.35">
      <c r="A195" s="376" t="s">
        <v>1849</v>
      </c>
      <c r="B195" s="376" t="s">
        <v>1609</v>
      </c>
      <c r="C195" s="376"/>
      <c r="D195" s="376">
        <v>2021</v>
      </c>
      <c r="E195" s="376">
        <v>2028</v>
      </c>
      <c r="F195" s="376">
        <v>0.98</v>
      </c>
      <c r="G195" s="376">
        <v>5705.3347119527834</v>
      </c>
      <c r="H195" s="376">
        <v>85.672729375807648</v>
      </c>
      <c r="I195" s="376">
        <v>1</v>
      </c>
    </row>
    <row r="196" spans="1:9" x14ac:dyDescent="0.35">
      <c r="A196" s="376" t="s">
        <v>1849</v>
      </c>
      <c r="B196" s="376" t="s">
        <v>1609</v>
      </c>
      <c r="C196" s="376"/>
      <c r="D196" s="376">
        <v>2022</v>
      </c>
      <c r="E196" s="376">
        <v>2028</v>
      </c>
      <c r="F196" s="376">
        <v>0.98</v>
      </c>
      <c r="G196" s="376">
        <v>5705.3347119527834</v>
      </c>
      <c r="H196" s="376">
        <v>85.672729375807648</v>
      </c>
      <c r="I196" s="376">
        <v>1</v>
      </c>
    </row>
    <row r="197" spans="1:9" x14ac:dyDescent="0.35">
      <c r="A197" s="376" t="s">
        <v>1849</v>
      </c>
      <c r="B197" s="376" t="s">
        <v>1609</v>
      </c>
      <c r="C197" s="376"/>
      <c r="D197" s="376">
        <v>2023</v>
      </c>
      <c r="E197" s="376">
        <v>2028</v>
      </c>
      <c r="F197" s="376">
        <v>0.98</v>
      </c>
      <c r="G197" s="376">
        <v>5705.3347119527834</v>
      </c>
      <c r="H197" s="376">
        <v>85.672729375807648</v>
      </c>
      <c r="I197" s="376">
        <v>1</v>
      </c>
    </row>
    <row r="198" spans="1:9" x14ac:dyDescent="0.35">
      <c r="A198" s="376" t="s">
        <v>1849</v>
      </c>
      <c r="B198" s="376" t="s">
        <v>1609</v>
      </c>
      <c r="C198" s="376"/>
      <c r="D198" s="376">
        <v>2024</v>
      </c>
      <c r="E198" s="376">
        <v>2028</v>
      </c>
      <c r="F198" s="376">
        <v>0.98</v>
      </c>
      <c r="G198" s="376">
        <v>5705.3347119527834</v>
      </c>
      <c r="H198" s="376">
        <v>85.672729375807648</v>
      </c>
      <c r="I198" s="376">
        <v>1</v>
      </c>
    </row>
    <row r="199" spans="1:9" x14ac:dyDescent="0.35">
      <c r="A199" s="376" t="s">
        <v>1849</v>
      </c>
      <c r="B199" s="376" t="s">
        <v>1609</v>
      </c>
      <c r="C199" s="376"/>
      <c r="D199" s="376">
        <v>2025</v>
      </c>
      <c r="E199" s="376">
        <v>2028</v>
      </c>
      <c r="F199" s="376">
        <v>0.98</v>
      </c>
      <c r="G199" s="376">
        <v>5705.3347119527834</v>
      </c>
      <c r="H199" s="376">
        <v>85.672729375807648</v>
      </c>
      <c r="I199" s="376">
        <v>1</v>
      </c>
    </row>
    <row r="200" spans="1:9" x14ac:dyDescent="0.35">
      <c r="A200" s="376" t="s">
        <v>1849</v>
      </c>
      <c r="B200" s="376" t="s">
        <v>1609</v>
      </c>
      <c r="C200" s="376"/>
      <c r="D200" s="376">
        <v>2026</v>
      </c>
      <c r="E200" s="376">
        <v>2028</v>
      </c>
      <c r="F200" s="376">
        <v>0.98</v>
      </c>
      <c r="G200" s="376">
        <v>5705.3347119527834</v>
      </c>
      <c r="H200" s="376">
        <v>85.672729375807648</v>
      </c>
      <c r="I200" s="376">
        <v>1</v>
      </c>
    </row>
    <row r="201" spans="1:9" x14ac:dyDescent="0.35">
      <c r="A201" s="376" t="s">
        <v>1849</v>
      </c>
      <c r="B201" s="376" t="s">
        <v>1609</v>
      </c>
      <c r="C201" s="376"/>
      <c r="D201" s="376">
        <v>2027</v>
      </c>
      <c r="E201" s="376">
        <v>2028</v>
      </c>
      <c r="F201" s="376">
        <v>0.98</v>
      </c>
      <c r="G201" s="376">
        <v>5705.3347119527834</v>
      </c>
      <c r="H201" s="376">
        <v>85.672729375807648</v>
      </c>
      <c r="I201" s="376">
        <v>1</v>
      </c>
    </row>
    <row r="202" spans="1:9" x14ac:dyDescent="0.35">
      <c r="A202" s="376" t="s">
        <v>1849</v>
      </c>
      <c r="B202" s="376" t="s">
        <v>1609</v>
      </c>
      <c r="C202" s="376"/>
      <c r="D202" s="376">
        <v>2028</v>
      </c>
      <c r="E202" s="376">
        <v>2028</v>
      </c>
      <c r="F202" s="376">
        <v>0.98</v>
      </c>
      <c r="G202" s="376">
        <v>5705.3347119527834</v>
      </c>
      <c r="H202" s="376">
        <v>85.672729375807648</v>
      </c>
      <c r="I202" s="376">
        <v>1</v>
      </c>
    </row>
    <row r="203" spans="1:9" x14ac:dyDescent="0.35">
      <c r="A203" s="376" t="s">
        <v>1849</v>
      </c>
      <c r="B203" s="376" t="s">
        <v>1609</v>
      </c>
      <c r="C203" s="376"/>
      <c r="D203" s="376">
        <v>2021</v>
      </c>
      <c r="E203" s="376">
        <v>2029</v>
      </c>
      <c r="F203" s="376">
        <v>0.98</v>
      </c>
      <c r="G203" s="376">
        <v>5705.3347119527834</v>
      </c>
      <c r="H203" s="376">
        <v>85.672729375807648</v>
      </c>
      <c r="I203" s="376">
        <v>1</v>
      </c>
    </row>
    <row r="204" spans="1:9" x14ac:dyDescent="0.35">
      <c r="A204" s="376" t="s">
        <v>1849</v>
      </c>
      <c r="B204" s="376" t="s">
        <v>1609</v>
      </c>
      <c r="C204" s="376"/>
      <c r="D204" s="376">
        <v>2022</v>
      </c>
      <c r="E204" s="376">
        <v>2029</v>
      </c>
      <c r="F204" s="376">
        <v>0.98</v>
      </c>
      <c r="G204" s="376">
        <v>5705.3347119527834</v>
      </c>
      <c r="H204" s="376">
        <v>85.672729375807648</v>
      </c>
      <c r="I204" s="376">
        <v>1</v>
      </c>
    </row>
    <row r="205" spans="1:9" x14ac:dyDescent="0.35">
      <c r="A205" s="376" t="s">
        <v>1849</v>
      </c>
      <c r="B205" s="376" t="s">
        <v>1609</v>
      </c>
      <c r="C205" s="376"/>
      <c r="D205" s="376">
        <v>2023</v>
      </c>
      <c r="E205" s="376">
        <v>2029</v>
      </c>
      <c r="F205" s="376">
        <v>0.98</v>
      </c>
      <c r="G205" s="376">
        <v>5705.3347119527834</v>
      </c>
      <c r="H205" s="376">
        <v>85.672729375807648</v>
      </c>
      <c r="I205" s="376">
        <v>1</v>
      </c>
    </row>
    <row r="206" spans="1:9" x14ac:dyDescent="0.35">
      <c r="A206" s="376" t="s">
        <v>1849</v>
      </c>
      <c r="B206" s="376" t="s">
        <v>1609</v>
      </c>
      <c r="C206" s="376"/>
      <c r="D206" s="376">
        <v>2024</v>
      </c>
      <c r="E206" s="376">
        <v>2029</v>
      </c>
      <c r="F206" s="376">
        <v>0.98</v>
      </c>
      <c r="G206" s="376">
        <v>5705.3347119527834</v>
      </c>
      <c r="H206" s="376">
        <v>85.672729375807648</v>
      </c>
      <c r="I206" s="376">
        <v>1</v>
      </c>
    </row>
    <row r="207" spans="1:9" x14ac:dyDescent="0.35">
      <c r="A207" s="376" t="s">
        <v>1849</v>
      </c>
      <c r="B207" s="376" t="s">
        <v>1609</v>
      </c>
      <c r="C207" s="376"/>
      <c r="D207" s="376">
        <v>2025</v>
      </c>
      <c r="E207" s="376">
        <v>2029</v>
      </c>
      <c r="F207" s="376">
        <v>0.98</v>
      </c>
      <c r="G207" s="376">
        <v>5705.3347119527834</v>
      </c>
      <c r="H207" s="376">
        <v>85.672729375807648</v>
      </c>
      <c r="I207" s="376">
        <v>1</v>
      </c>
    </row>
    <row r="208" spans="1:9" x14ac:dyDescent="0.35">
      <c r="A208" s="376" t="s">
        <v>1849</v>
      </c>
      <c r="B208" s="376" t="s">
        <v>1609</v>
      </c>
      <c r="C208" s="376"/>
      <c r="D208" s="376">
        <v>2026</v>
      </c>
      <c r="E208" s="376">
        <v>2029</v>
      </c>
      <c r="F208" s="376">
        <v>0.98</v>
      </c>
      <c r="G208" s="376">
        <v>5705.3347119527834</v>
      </c>
      <c r="H208" s="376">
        <v>85.672729375807648</v>
      </c>
      <c r="I208" s="376">
        <v>1</v>
      </c>
    </row>
    <row r="209" spans="1:9" x14ac:dyDescent="0.35">
      <c r="A209" s="376" t="s">
        <v>1849</v>
      </c>
      <c r="B209" s="376" t="s">
        <v>1609</v>
      </c>
      <c r="C209" s="376"/>
      <c r="D209" s="376">
        <v>2027</v>
      </c>
      <c r="E209" s="376">
        <v>2029</v>
      </c>
      <c r="F209" s="376">
        <v>0.98</v>
      </c>
      <c r="G209" s="376">
        <v>5705.3347119527834</v>
      </c>
      <c r="H209" s="376">
        <v>85.672729375807648</v>
      </c>
      <c r="I209" s="376">
        <v>1</v>
      </c>
    </row>
    <row r="210" spans="1:9" x14ac:dyDescent="0.35">
      <c r="A210" s="376" t="s">
        <v>1849</v>
      </c>
      <c r="B210" s="376" t="s">
        <v>1609</v>
      </c>
      <c r="C210" s="376"/>
      <c r="D210" s="376">
        <v>2028</v>
      </c>
      <c r="E210" s="376">
        <v>2029</v>
      </c>
      <c r="F210" s="376">
        <v>0.98</v>
      </c>
      <c r="G210" s="376">
        <v>5705.3347119527834</v>
      </c>
      <c r="H210" s="376">
        <v>85.672729375807648</v>
      </c>
      <c r="I210" s="376">
        <v>1</v>
      </c>
    </row>
    <row r="211" spans="1:9" x14ac:dyDescent="0.35">
      <c r="A211" s="376" t="s">
        <v>1849</v>
      </c>
      <c r="B211" s="376" t="s">
        <v>1609</v>
      </c>
      <c r="C211" s="376"/>
      <c r="D211" s="376">
        <v>2029</v>
      </c>
      <c r="E211" s="376">
        <v>2029</v>
      </c>
      <c r="F211" s="376">
        <v>0.98</v>
      </c>
      <c r="G211" s="376">
        <v>5705.3347119527834</v>
      </c>
      <c r="H211" s="376">
        <v>85.672729375807648</v>
      </c>
      <c r="I211" s="376">
        <v>1</v>
      </c>
    </row>
    <row r="212" spans="1:9" x14ac:dyDescent="0.35">
      <c r="A212" s="376" t="s">
        <v>1849</v>
      </c>
      <c r="B212" s="376" t="s">
        <v>1609</v>
      </c>
      <c r="C212" s="376"/>
      <c r="D212" s="376">
        <v>2021</v>
      </c>
      <c r="E212" s="376">
        <v>2030</v>
      </c>
      <c r="F212" s="376">
        <v>0.98</v>
      </c>
      <c r="G212" s="376">
        <v>5705.3347119527834</v>
      </c>
      <c r="H212" s="376">
        <v>85.672729375807648</v>
      </c>
      <c r="I212" s="376">
        <v>1</v>
      </c>
    </row>
    <row r="213" spans="1:9" x14ac:dyDescent="0.35">
      <c r="A213" s="376" t="s">
        <v>1849</v>
      </c>
      <c r="B213" s="376" t="s">
        <v>1609</v>
      </c>
      <c r="C213" s="376"/>
      <c r="D213" s="376">
        <v>2022</v>
      </c>
      <c r="E213" s="376">
        <v>2030</v>
      </c>
      <c r="F213" s="376">
        <v>0.98</v>
      </c>
      <c r="G213" s="376">
        <v>5705.3347119527834</v>
      </c>
      <c r="H213" s="376">
        <v>85.672729375807648</v>
      </c>
      <c r="I213" s="376">
        <v>1</v>
      </c>
    </row>
    <row r="214" spans="1:9" x14ac:dyDescent="0.35">
      <c r="A214" s="376" t="s">
        <v>1849</v>
      </c>
      <c r="B214" s="376" t="s">
        <v>1609</v>
      </c>
      <c r="C214" s="376"/>
      <c r="D214" s="376">
        <v>2023</v>
      </c>
      <c r="E214" s="376">
        <v>2030</v>
      </c>
      <c r="F214" s="376">
        <v>0.98</v>
      </c>
      <c r="G214" s="376">
        <v>5705.3347119527834</v>
      </c>
      <c r="H214" s="376">
        <v>85.672729375807648</v>
      </c>
      <c r="I214" s="376">
        <v>1</v>
      </c>
    </row>
    <row r="215" spans="1:9" x14ac:dyDescent="0.35">
      <c r="A215" s="376" t="s">
        <v>1849</v>
      </c>
      <c r="B215" s="376" t="s">
        <v>1609</v>
      </c>
      <c r="C215" s="376"/>
      <c r="D215" s="376">
        <v>2024</v>
      </c>
      <c r="E215" s="376">
        <v>2030</v>
      </c>
      <c r="F215" s="376">
        <v>0.98</v>
      </c>
      <c r="G215" s="376">
        <v>5705.3347119527834</v>
      </c>
      <c r="H215" s="376">
        <v>85.672729375807648</v>
      </c>
      <c r="I215" s="376">
        <v>1</v>
      </c>
    </row>
    <row r="216" spans="1:9" x14ac:dyDescent="0.35">
      <c r="A216" s="376" t="s">
        <v>1849</v>
      </c>
      <c r="B216" s="376" t="s">
        <v>1609</v>
      </c>
      <c r="C216" s="376"/>
      <c r="D216" s="376">
        <v>2025</v>
      </c>
      <c r="E216" s="376">
        <v>2030</v>
      </c>
      <c r="F216" s="376">
        <v>0.98</v>
      </c>
      <c r="G216" s="376">
        <v>5705.3347119527834</v>
      </c>
      <c r="H216" s="376">
        <v>85.672729375807648</v>
      </c>
      <c r="I216" s="376">
        <v>1</v>
      </c>
    </row>
    <row r="217" spans="1:9" x14ac:dyDescent="0.35">
      <c r="A217" s="376" t="s">
        <v>1849</v>
      </c>
      <c r="B217" s="376" t="s">
        <v>1609</v>
      </c>
      <c r="C217" s="376"/>
      <c r="D217" s="376">
        <v>2026</v>
      </c>
      <c r="E217" s="376">
        <v>2030</v>
      </c>
      <c r="F217" s="376">
        <v>0.98</v>
      </c>
      <c r="G217" s="376">
        <v>5705.3347119527834</v>
      </c>
      <c r="H217" s="376">
        <v>85.672729375807648</v>
      </c>
      <c r="I217" s="376">
        <v>1</v>
      </c>
    </row>
    <row r="218" spans="1:9" x14ac:dyDescent="0.35">
      <c r="A218" s="376" t="s">
        <v>1849</v>
      </c>
      <c r="B218" s="376" t="s">
        <v>1609</v>
      </c>
      <c r="C218" s="376"/>
      <c r="D218" s="376">
        <v>2027</v>
      </c>
      <c r="E218" s="376">
        <v>2030</v>
      </c>
      <c r="F218" s="376">
        <v>0.98</v>
      </c>
      <c r="G218" s="376">
        <v>5705.3347119527834</v>
      </c>
      <c r="H218" s="376">
        <v>85.672729375807648</v>
      </c>
      <c r="I218" s="376">
        <v>1</v>
      </c>
    </row>
    <row r="219" spans="1:9" x14ac:dyDescent="0.35">
      <c r="A219" s="376" t="s">
        <v>1849</v>
      </c>
      <c r="B219" s="376" t="s">
        <v>1609</v>
      </c>
      <c r="C219" s="376"/>
      <c r="D219" s="376">
        <v>2028</v>
      </c>
      <c r="E219" s="376">
        <v>2030</v>
      </c>
      <c r="F219" s="376">
        <v>0.98</v>
      </c>
      <c r="G219" s="376">
        <v>5705.3347119527834</v>
      </c>
      <c r="H219" s="376">
        <v>85.672729375807648</v>
      </c>
      <c r="I219" s="376">
        <v>1</v>
      </c>
    </row>
    <row r="220" spans="1:9" x14ac:dyDescent="0.35">
      <c r="A220" s="376" t="s">
        <v>1849</v>
      </c>
      <c r="B220" s="376" t="s">
        <v>1609</v>
      </c>
      <c r="C220" s="376"/>
      <c r="D220" s="376">
        <v>2029</v>
      </c>
      <c r="E220" s="376">
        <v>2030</v>
      </c>
      <c r="F220" s="376">
        <v>0.98</v>
      </c>
      <c r="G220" s="376">
        <v>5705.3347119527834</v>
      </c>
      <c r="H220" s="376">
        <v>85.672729375807648</v>
      </c>
      <c r="I220" s="376">
        <v>1</v>
      </c>
    </row>
    <row r="221" spans="1:9" x14ac:dyDescent="0.35">
      <c r="A221" s="376" t="s">
        <v>1849</v>
      </c>
      <c r="B221" s="376" t="s">
        <v>1609</v>
      </c>
      <c r="C221" s="376"/>
      <c r="D221" s="376">
        <v>2030</v>
      </c>
      <c r="E221" s="376">
        <v>2030</v>
      </c>
      <c r="F221" s="376">
        <v>0.98</v>
      </c>
      <c r="G221" s="376">
        <v>5705.3347119527834</v>
      </c>
      <c r="H221" s="376">
        <v>85.672729375807648</v>
      </c>
      <c r="I221" s="376">
        <v>1</v>
      </c>
    </row>
    <row r="222" spans="1:9" x14ac:dyDescent="0.35">
      <c r="A222" s="376" t="s">
        <v>1849</v>
      </c>
      <c r="B222" s="376" t="s">
        <v>1609</v>
      </c>
      <c r="C222" s="376"/>
      <c r="D222" s="376">
        <v>2021</v>
      </c>
      <c r="E222" s="376">
        <v>2031</v>
      </c>
      <c r="F222" s="376">
        <v>0.98</v>
      </c>
      <c r="G222" s="376">
        <v>5705.3347119527834</v>
      </c>
      <c r="H222" s="376">
        <v>85.672729375807648</v>
      </c>
      <c r="I222" s="376">
        <v>1</v>
      </c>
    </row>
    <row r="223" spans="1:9" x14ac:dyDescent="0.35">
      <c r="A223" s="376" t="s">
        <v>1849</v>
      </c>
      <c r="B223" s="376" t="s">
        <v>1609</v>
      </c>
      <c r="C223" s="376"/>
      <c r="D223" s="376">
        <v>2022</v>
      </c>
      <c r="E223" s="376">
        <v>2031</v>
      </c>
      <c r="F223" s="376">
        <v>0.98</v>
      </c>
      <c r="G223" s="376">
        <v>5705.3347119527834</v>
      </c>
      <c r="H223" s="376">
        <v>85.672729375807648</v>
      </c>
      <c r="I223" s="376">
        <v>1</v>
      </c>
    </row>
    <row r="224" spans="1:9" x14ac:dyDescent="0.35">
      <c r="A224" s="376" t="s">
        <v>1849</v>
      </c>
      <c r="B224" s="376" t="s">
        <v>1609</v>
      </c>
      <c r="C224" s="376"/>
      <c r="D224" s="376">
        <v>2023</v>
      </c>
      <c r="E224" s="376">
        <v>2031</v>
      </c>
      <c r="F224" s="376">
        <v>0.98</v>
      </c>
      <c r="G224" s="376">
        <v>5705.3347119527834</v>
      </c>
      <c r="H224" s="376">
        <v>85.672729375807648</v>
      </c>
      <c r="I224" s="376">
        <v>1</v>
      </c>
    </row>
    <row r="225" spans="1:9" x14ac:dyDescent="0.35">
      <c r="A225" s="376" t="s">
        <v>1849</v>
      </c>
      <c r="B225" s="376" t="s">
        <v>1609</v>
      </c>
      <c r="C225" s="376"/>
      <c r="D225" s="376">
        <v>2024</v>
      </c>
      <c r="E225" s="376">
        <v>2031</v>
      </c>
      <c r="F225" s="376">
        <v>0.98</v>
      </c>
      <c r="G225" s="376">
        <v>5705.3347119527834</v>
      </c>
      <c r="H225" s="376">
        <v>85.672729375807648</v>
      </c>
      <c r="I225" s="376">
        <v>1</v>
      </c>
    </row>
    <row r="226" spans="1:9" x14ac:dyDescent="0.35">
      <c r="A226" s="376" t="s">
        <v>1849</v>
      </c>
      <c r="B226" s="376" t="s">
        <v>1609</v>
      </c>
      <c r="C226" s="376"/>
      <c r="D226" s="376">
        <v>2025</v>
      </c>
      <c r="E226" s="376">
        <v>2031</v>
      </c>
      <c r="F226" s="376">
        <v>0.98</v>
      </c>
      <c r="G226" s="376">
        <v>5705.3347119527834</v>
      </c>
      <c r="H226" s="376">
        <v>85.672729375807648</v>
      </c>
      <c r="I226" s="376">
        <v>1</v>
      </c>
    </row>
    <row r="227" spans="1:9" x14ac:dyDescent="0.35">
      <c r="A227" s="376" t="s">
        <v>1849</v>
      </c>
      <c r="B227" s="376" t="s">
        <v>1609</v>
      </c>
      <c r="C227" s="376"/>
      <c r="D227" s="376">
        <v>2026</v>
      </c>
      <c r="E227" s="376">
        <v>2031</v>
      </c>
      <c r="F227" s="376">
        <v>0.98</v>
      </c>
      <c r="G227" s="376">
        <v>5705.3347119527834</v>
      </c>
      <c r="H227" s="376">
        <v>85.672729375807648</v>
      </c>
      <c r="I227" s="376">
        <v>1</v>
      </c>
    </row>
    <row r="228" spans="1:9" x14ac:dyDescent="0.35">
      <c r="A228" s="376" t="s">
        <v>1849</v>
      </c>
      <c r="B228" s="376" t="s">
        <v>1609</v>
      </c>
      <c r="C228" s="376"/>
      <c r="D228" s="376">
        <v>2027</v>
      </c>
      <c r="E228" s="376">
        <v>2031</v>
      </c>
      <c r="F228" s="376">
        <v>0.98</v>
      </c>
      <c r="G228" s="376">
        <v>5705.3347119527834</v>
      </c>
      <c r="H228" s="376">
        <v>85.672729375807648</v>
      </c>
      <c r="I228" s="376">
        <v>1</v>
      </c>
    </row>
    <row r="229" spans="1:9" x14ac:dyDescent="0.35">
      <c r="A229" s="376" t="s">
        <v>1849</v>
      </c>
      <c r="B229" s="376" t="s">
        <v>1609</v>
      </c>
      <c r="C229" s="376"/>
      <c r="D229" s="376">
        <v>2028</v>
      </c>
      <c r="E229" s="376">
        <v>2031</v>
      </c>
      <c r="F229" s="376">
        <v>0.98</v>
      </c>
      <c r="G229" s="376">
        <v>5705.3347119527834</v>
      </c>
      <c r="H229" s="376">
        <v>85.672729375807648</v>
      </c>
      <c r="I229" s="376">
        <v>1</v>
      </c>
    </row>
    <row r="230" spans="1:9" x14ac:dyDescent="0.35">
      <c r="A230" s="376" t="s">
        <v>1849</v>
      </c>
      <c r="B230" s="376" t="s">
        <v>1609</v>
      </c>
      <c r="C230" s="376"/>
      <c r="D230" s="376">
        <v>2029</v>
      </c>
      <c r="E230" s="376">
        <v>2031</v>
      </c>
      <c r="F230" s="376">
        <v>0.98</v>
      </c>
      <c r="G230" s="376">
        <v>5705.3347119527834</v>
      </c>
      <c r="H230" s="376">
        <v>85.672729375807648</v>
      </c>
      <c r="I230" s="376">
        <v>1</v>
      </c>
    </row>
    <row r="231" spans="1:9" x14ac:dyDescent="0.35">
      <c r="A231" s="376" t="s">
        <v>1849</v>
      </c>
      <c r="B231" s="376" t="s">
        <v>1609</v>
      </c>
      <c r="C231" s="376"/>
      <c r="D231" s="376">
        <v>2030</v>
      </c>
      <c r="E231" s="376">
        <v>2031</v>
      </c>
      <c r="F231" s="376">
        <v>0.98</v>
      </c>
      <c r="G231" s="376">
        <v>5705.3347119527834</v>
      </c>
      <c r="H231" s="376">
        <v>85.672729375807648</v>
      </c>
      <c r="I231" s="376">
        <v>1</v>
      </c>
    </row>
    <row r="232" spans="1:9" x14ac:dyDescent="0.35">
      <c r="A232" s="376" t="s">
        <v>1849</v>
      </c>
      <c r="B232" s="376" t="s">
        <v>1609</v>
      </c>
      <c r="C232" s="376"/>
      <c r="D232" s="376">
        <v>2031</v>
      </c>
      <c r="E232" s="376">
        <v>2031</v>
      </c>
      <c r="F232" s="376">
        <v>0.98</v>
      </c>
      <c r="G232" s="376">
        <v>5705.3347119527834</v>
      </c>
      <c r="H232" s="376">
        <v>85.672729375807648</v>
      </c>
      <c r="I232" s="376">
        <v>1</v>
      </c>
    </row>
    <row r="233" spans="1:9" x14ac:dyDescent="0.35">
      <c r="A233" s="376" t="s">
        <v>1850</v>
      </c>
      <c r="B233" s="376" t="s">
        <v>1609</v>
      </c>
      <c r="C233" s="376"/>
      <c r="D233" s="376">
        <v>2020</v>
      </c>
      <c r="E233" s="376">
        <v>2021</v>
      </c>
      <c r="F233" s="376">
        <v>0.98</v>
      </c>
      <c r="G233" s="376">
        <v>5705.3347119527834</v>
      </c>
      <c r="H233" s="376">
        <v>20991.5728129852</v>
      </c>
      <c r="I233" s="376">
        <v>1</v>
      </c>
    </row>
    <row r="234" spans="1:9" x14ac:dyDescent="0.35">
      <c r="A234" s="376" t="s">
        <v>1850</v>
      </c>
      <c r="B234" s="376" t="s">
        <v>1609</v>
      </c>
      <c r="C234" s="376"/>
      <c r="D234" s="376">
        <v>2020</v>
      </c>
      <c r="E234" s="376">
        <v>2022</v>
      </c>
      <c r="F234" s="376">
        <v>0.98</v>
      </c>
      <c r="G234" s="376">
        <v>5705.3347119527834</v>
      </c>
      <c r="H234" s="376">
        <v>20991.5728129852</v>
      </c>
      <c r="I234" s="376">
        <v>1</v>
      </c>
    </row>
    <row r="235" spans="1:9" x14ac:dyDescent="0.35">
      <c r="A235" s="376" t="s">
        <v>1850</v>
      </c>
      <c r="B235" s="376" t="s">
        <v>1609</v>
      </c>
      <c r="C235" s="376"/>
      <c r="D235" s="376">
        <v>2020</v>
      </c>
      <c r="E235" s="376">
        <v>2023</v>
      </c>
      <c r="F235" s="376">
        <v>0.98</v>
      </c>
      <c r="G235" s="376">
        <v>5705.3347119527834</v>
      </c>
      <c r="H235" s="376">
        <v>20991.5728129852</v>
      </c>
      <c r="I235" s="376">
        <v>1</v>
      </c>
    </row>
    <row r="236" spans="1:9" x14ac:dyDescent="0.35">
      <c r="A236" s="376" t="s">
        <v>1850</v>
      </c>
      <c r="B236" s="376" t="s">
        <v>1609</v>
      </c>
      <c r="C236" s="376"/>
      <c r="D236" s="376">
        <v>2020</v>
      </c>
      <c r="E236" s="376">
        <v>2024</v>
      </c>
      <c r="F236" s="376">
        <v>0.98</v>
      </c>
      <c r="G236" s="376">
        <v>5705.3347119527834</v>
      </c>
      <c r="H236" s="376">
        <v>20991.5728129852</v>
      </c>
      <c r="I236" s="376">
        <v>1</v>
      </c>
    </row>
    <row r="237" spans="1:9" x14ac:dyDescent="0.35">
      <c r="A237" s="376" t="s">
        <v>1850</v>
      </c>
      <c r="B237" s="376" t="s">
        <v>1609</v>
      </c>
      <c r="C237" s="376"/>
      <c r="D237" s="376">
        <v>2020</v>
      </c>
      <c r="E237" s="376">
        <v>2025</v>
      </c>
      <c r="F237" s="376">
        <v>0.98</v>
      </c>
      <c r="G237" s="376">
        <v>5705.3347119527834</v>
      </c>
      <c r="H237" s="376">
        <v>20991.5728129852</v>
      </c>
      <c r="I237" s="376">
        <v>1</v>
      </c>
    </row>
    <row r="238" spans="1:9" x14ac:dyDescent="0.35">
      <c r="A238" s="376" t="s">
        <v>1850</v>
      </c>
      <c r="B238" s="376" t="s">
        <v>1609</v>
      </c>
      <c r="C238" s="376"/>
      <c r="D238" s="376">
        <v>2020</v>
      </c>
      <c r="E238" s="376">
        <v>2026</v>
      </c>
      <c r="F238" s="376">
        <v>0.98</v>
      </c>
      <c r="G238" s="376">
        <v>5705.3347119527834</v>
      </c>
      <c r="H238" s="376">
        <v>20991.5728129852</v>
      </c>
      <c r="I238" s="376">
        <v>1</v>
      </c>
    </row>
    <row r="239" spans="1:9" x14ac:dyDescent="0.35">
      <c r="A239" s="376" t="s">
        <v>1850</v>
      </c>
      <c r="B239" s="376" t="s">
        <v>1609</v>
      </c>
      <c r="C239" s="376"/>
      <c r="D239" s="376">
        <v>2020</v>
      </c>
      <c r="E239" s="376">
        <v>2027</v>
      </c>
      <c r="F239" s="376">
        <v>0.98</v>
      </c>
      <c r="G239" s="376">
        <v>5705.3347119527834</v>
      </c>
      <c r="H239" s="376">
        <v>20991.5728129852</v>
      </c>
      <c r="I239" s="376">
        <v>1</v>
      </c>
    </row>
    <row r="240" spans="1:9" x14ac:dyDescent="0.35">
      <c r="A240" s="376" t="s">
        <v>1850</v>
      </c>
      <c r="B240" s="376" t="s">
        <v>1609</v>
      </c>
      <c r="C240" s="376"/>
      <c r="D240" s="376">
        <v>2020</v>
      </c>
      <c r="E240" s="376">
        <v>2028</v>
      </c>
      <c r="F240" s="376">
        <v>0.98</v>
      </c>
      <c r="G240" s="376">
        <v>5705.3347119527834</v>
      </c>
      <c r="H240" s="376">
        <v>20991.5728129852</v>
      </c>
      <c r="I240" s="376">
        <v>1</v>
      </c>
    </row>
    <row r="241" spans="1:9" x14ac:dyDescent="0.35">
      <c r="A241" s="376" t="s">
        <v>1850</v>
      </c>
      <c r="B241" s="376" t="s">
        <v>1609</v>
      </c>
      <c r="C241" s="376"/>
      <c r="D241" s="376">
        <v>2020</v>
      </c>
      <c r="E241" s="376">
        <v>2029</v>
      </c>
      <c r="F241" s="376">
        <v>0.98</v>
      </c>
      <c r="G241" s="376">
        <v>5705.3347119527834</v>
      </c>
      <c r="H241" s="376">
        <v>20991.5728129852</v>
      </c>
      <c r="I241" s="376">
        <v>1</v>
      </c>
    </row>
    <row r="242" spans="1:9" x14ac:dyDescent="0.35">
      <c r="A242" s="376" t="s">
        <v>1850</v>
      </c>
      <c r="B242" s="376" t="s">
        <v>1609</v>
      </c>
      <c r="C242" s="376"/>
      <c r="D242" s="376">
        <v>2020</v>
      </c>
      <c r="E242" s="376">
        <v>2030</v>
      </c>
      <c r="F242" s="376">
        <v>0.98</v>
      </c>
      <c r="G242" s="376">
        <v>5705.3347119527834</v>
      </c>
      <c r="H242" s="376">
        <v>20991.5728129852</v>
      </c>
      <c r="I242" s="376">
        <v>1</v>
      </c>
    </row>
    <row r="243" spans="1:9" x14ac:dyDescent="0.35">
      <c r="A243" s="376" t="s">
        <v>1850</v>
      </c>
      <c r="B243" s="376" t="s">
        <v>1609</v>
      </c>
      <c r="C243" s="376"/>
      <c r="D243" s="376">
        <v>2020</v>
      </c>
      <c r="E243" s="376">
        <v>2031</v>
      </c>
      <c r="F243" s="376">
        <v>0.98</v>
      </c>
      <c r="G243" s="376">
        <v>5705.3347119527834</v>
      </c>
      <c r="H243" s="376">
        <v>20991.5728129852</v>
      </c>
      <c r="I243" s="376">
        <v>1</v>
      </c>
    </row>
    <row r="244" spans="1:9" x14ac:dyDescent="0.35">
      <c r="A244" s="376" t="s">
        <v>1850</v>
      </c>
      <c r="B244" s="376" t="s">
        <v>1609</v>
      </c>
      <c r="C244" s="376"/>
      <c r="D244" s="376">
        <v>2021</v>
      </c>
      <c r="E244" s="376">
        <v>2021</v>
      </c>
      <c r="F244" s="376">
        <v>0.98</v>
      </c>
      <c r="G244" s="376">
        <v>5705.3347119527834</v>
      </c>
      <c r="H244" s="376">
        <v>20991.5728129852</v>
      </c>
      <c r="I244" s="376">
        <v>1</v>
      </c>
    </row>
    <row r="245" spans="1:9" x14ac:dyDescent="0.35">
      <c r="A245" s="376" t="s">
        <v>1850</v>
      </c>
      <c r="B245" s="376" t="s">
        <v>1609</v>
      </c>
      <c r="C245" s="376"/>
      <c r="D245" s="376">
        <v>2021</v>
      </c>
      <c r="E245" s="376">
        <v>2022</v>
      </c>
      <c r="F245" s="376">
        <v>0.98</v>
      </c>
      <c r="G245" s="376">
        <v>5705.3347119527834</v>
      </c>
      <c r="H245" s="376">
        <v>20991.5728129852</v>
      </c>
      <c r="I245" s="376">
        <v>1</v>
      </c>
    </row>
    <row r="246" spans="1:9" x14ac:dyDescent="0.35">
      <c r="A246" s="376" t="s">
        <v>1850</v>
      </c>
      <c r="B246" s="376" t="s">
        <v>1609</v>
      </c>
      <c r="C246" s="376"/>
      <c r="D246" s="376">
        <v>2022</v>
      </c>
      <c r="E246" s="376">
        <v>2022</v>
      </c>
      <c r="F246" s="376">
        <v>0.98</v>
      </c>
      <c r="G246" s="376">
        <v>5705.3347119527834</v>
      </c>
      <c r="H246" s="376">
        <v>20991.5728129852</v>
      </c>
      <c r="I246" s="376">
        <v>1</v>
      </c>
    </row>
    <row r="247" spans="1:9" x14ac:dyDescent="0.35">
      <c r="A247" s="376" t="s">
        <v>1850</v>
      </c>
      <c r="B247" s="376" t="s">
        <v>1609</v>
      </c>
      <c r="C247" s="376"/>
      <c r="D247" s="376">
        <v>2021</v>
      </c>
      <c r="E247" s="376">
        <v>2023</v>
      </c>
      <c r="F247" s="376">
        <v>0.98</v>
      </c>
      <c r="G247" s="376">
        <v>5705.3347119527834</v>
      </c>
      <c r="H247" s="376">
        <v>20991.5728129852</v>
      </c>
      <c r="I247" s="376">
        <v>1</v>
      </c>
    </row>
    <row r="248" spans="1:9" x14ac:dyDescent="0.35">
      <c r="A248" s="376" t="s">
        <v>1850</v>
      </c>
      <c r="B248" s="376" t="s">
        <v>1609</v>
      </c>
      <c r="C248" s="376"/>
      <c r="D248" s="376">
        <v>2022</v>
      </c>
      <c r="E248" s="376">
        <v>2023</v>
      </c>
      <c r="F248" s="376">
        <v>0.98</v>
      </c>
      <c r="G248" s="376">
        <v>5705.3347119527834</v>
      </c>
      <c r="H248" s="376">
        <v>20991.5728129852</v>
      </c>
      <c r="I248" s="376">
        <v>1</v>
      </c>
    </row>
    <row r="249" spans="1:9" x14ac:dyDescent="0.35">
      <c r="A249" s="376" t="s">
        <v>1850</v>
      </c>
      <c r="B249" s="376" t="s">
        <v>1609</v>
      </c>
      <c r="C249" s="376"/>
      <c r="D249" s="376">
        <v>2023</v>
      </c>
      <c r="E249" s="376">
        <v>2023</v>
      </c>
      <c r="F249" s="376">
        <v>0.98</v>
      </c>
      <c r="G249" s="376">
        <v>5705.3347119527834</v>
      </c>
      <c r="H249" s="376">
        <v>20991.5728129852</v>
      </c>
      <c r="I249" s="376">
        <v>1</v>
      </c>
    </row>
    <row r="250" spans="1:9" x14ac:dyDescent="0.35">
      <c r="A250" s="376" t="s">
        <v>1850</v>
      </c>
      <c r="B250" s="376" t="s">
        <v>1609</v>
      </c>
      <c r="C250" s="376"/>
      <c r="D250" s="376">
        <v>2021</v>
      </c>
      <c r="E250" s="376">
        <v>2024</v>
      </c>
      <c r="F250" s="376">
        <v>0.98</v>
      </c>
      <c r="G250" s="376">
        <v>5705.3347119527834</v>
      </c>
      <c r="H250" s="376">
        <v>20991.5728129852</v>
      </c>
      <c r="I250" s="376">
        <v>1</v>
      </c>
    </row>
    <row r="251" spans="1:9" x14ac:dyDescent="0.35">
      <c r="A251" s="376" t="s">
        <v>1850</v>
      </c>
      <c r="B251" s="376" t="s">
        <v>1609</v>
      </c>
      <c r="C251" s="376"/>
      <c r="D251" s="376">
        <v>2022</v>
      </c>
      <c r="E251" s="376">
        <v>2024</v>
      </c>
      <c r="F251" s="376">
        <v>0.98</v>
      </c>
      <c r="G251" s="376">
        <v>5705.3347119527834</v>
      </c>
      <c r="H251" s="376">
        <v>20991.5728129852</v>
      </c>
      <c r="I251" s="376">
        <v>1</v>
      </c>
    </row>
    <row r="252" spans="1:9" x14ac:dyDescent="0.35">
      <c r="A252" s="376" t="s">
        <v>1850</v>
      </c>
      <c r="B252" s="376" t="s">
        <v>1609</v>
      </c>
      <c r="C252" s="376"/>
      <c r="D252" s="376">
        <v>2023</v>
      </c>
      <c r="E252" s="376">
        <v>2024</v>
      </c>
      <c r="F252" s="376">
        <v>0.98</v>
      </c>
      <c r="G252" s="376">
        <v>5705.3347119527834</v>
      </c>
      <c r="H252" s="376">
        <v>20991.5728129852</v>
      </c>
      <c r="I252" s="376">
        <v>1</v>
      </c>
    </row>
    <row r="253" spans="1:9" x14ac:dyDescent="0.35">
      <c r="A253" s="376" t="s">
        <v>1850</v>
      </c>
      <c r="B253" s="376" t="s">
        <v>1609</v>
      </c>
      <c r="C253" s="376"/>
      <c r="D253" s="376">
        <v>2024</v>
      </c>
      <c r="E253" s="376">
        <v>2024</v>
      </c>
      <c r="F253" s="376">
        <v>0.98</v>
      </c>
      <c r="G253" s="376">
        <v>5705.3347119527834</v>
      </c>
      <c r="H253" s="376">
        <v>20991.5728129852</v>
      </c>
      <c r="I253" s="376">
        <v>1</v>
      </c>
    </row>
    <row r="254" spans="1:9" x14ac:dyDescent="0.35">
      <c r="A254" s="376" t="s">
        <v>1850</v>
      </c>
      <c r="B254" s="376" t="s">
        <v>1609</v>
      </c>
      <c r="C254" s="376"/>
      <c r="D254" s="376">
        <v>2021</v>
      </c>
      <c r="E254" s="376">
        <v>2025</v>
      </c>
      <c r="F254" s="376">
        <v>0.98</v>
      </c>
      <c r="G254" s="376">
        <v>5705.3347119527834</v>
      </c>
      <c r="H254" s="376">
        <v>20991.5728129852</v>
      </c>
      <c r="I254" s="376">
        <v>1</v>
      </c>
    </row>
    <row r="255" spans="1:9" x14ac:dyDescent="0.35">
      <c r="A255" s="376" t="s">
        <v>1850</v>
      </c>
      <c r="B255" s="376" t="s">
        <v>1609</v>
      </c>
      <c r="C255" s="376"/>
      <c r="D255" s="376">
        <v>2022</v>
      </c>
      <c r="E255" s="376">
        <v>2025</v>
      </c>
      <c r="F255" s="376">
        <v>0.98</v>
      </c>
      <c r="G255" s="376">
        <v>5705.3347119527834</v>
      </c>
      <c r="H255" s="376">
        <v>20991.5728129852</v>
      </c>
      <c r="I255" s="376">
        <v>1</v>
      </c>
    </row>
    <row r="256" spans="1:9" x14ac:dyDescent="0.35">
      <c r="A256" s="376" t="s">
        <v>1850</v>
      </c>
      <c r="B256" s="376" t="s">
        <v>1609</v>
      </c>
      <c r="C256" s="376"/>
      <c r="D256" s="376">
        <v>2023</v>
      </c>
      <c r="E256" s="376">
        <v>2025</v>
      </c>
      <c r="F256" s="376">
        <v>0.98</v>
      </c>
      <c r="G256" s="376">
        <v>5705.3347119527834</v>
      </c>
      <c r="H256" s="376">
        <v>20991.5728129852</v>
      </c>
      <c r="I256" s="376">
        <v>1</v>
      </c>
    </row>
    <row r="257" spans="1:9" x14ac:dyDescent="0.35">
      <c r="A257" s="376" t="s">
        <v>1850</v>
      </c>
      <c r="B257" s="376" t="s">
        <v>1609</v>
      </c>
      <c r="C257" s="376"/>
      <c r="D257" s="376">
        <v>2024</v>
      </c>
      <c r="E257" s="376">
        <v>2025</v>
      </c>
      <c r="F257" s="376">
        <v>0.98</v>
      </c>
      <c r="G257" s="376">
        <v>5705.3347119527834</v>
      </c>
      <c r="H257" s="376">
        <v>20991.5728129852</v>
      </c>
      <c r="I257" s="376">
        <v>1</v>
      </c>
    </row>
    <row r="258" spans="1:9" x14ac:dyDescent="0.35">
      <c r="A258" s="376" t="s">
        <v>1850</v>
      </c>
      <c r="B258" s="376" t="s">
        <v>1609</v>
      </c>
      <c r="C258" s="376"/>
      <c r="D258" s="376">
        <v>2025</v>
      </c>
      <c r="E258" s="376">
        <v>2025</v>
      </c>
      <c r="F258" s="376">
        <v>0.98</v>
      </c>
      <c r="G258" s="376">
        <v>5705.3347119527834</v>
      </c>
      <c r="H258" s="376">
        <v>20991.5728129852</v>
      </c>
      <c r="I258" s="376">
        <v>1</v>
      </c>
    </row>
    <row r="259" spans="1:9" x14ac:dyDescent="0.35">
      <c r="A259" s="376" t="s">
        <v>1850</v>
      </c>
      <c r="B259" s="376" t="s">
        <v>1609</v>
      </c>
      <c r="C259" s="376"/>
      <c r="D259" s="376">
        <v>2021</v>
      </c>
      <c r="E259" s="376">
        <v>2026</v>
      </c>
      <c r="F259" s="376">
        <v>0.98</v>
      </c>
      <c r="G259" s="376">
        <v>5705.3347119527834</v>
      </c>
      <c r="H259" s="376">
        <v>20991.5728129852</v>
      </c>
      <c r="I259" s="376">
        <v>1</v>
      </c>
    </row>
    <row r="260" spans="1:9" x14ac:dyDescent="0.35">
      <c r="A260" s="376" t="s">
        <v>1850</v>
      </c>
      <c r="B260" s="376" t="s">
        <v>1609</v>
      </c>
      <c r="C260" s="376"/>
      <c r="D260" s="376">
        <v>2022</v>
      </c>
      <c r="E260" s="376">
        <v>2026</v>
      </c>
      <c r="F260" s="376">
        <v>0.98</v>
      </c>
      <c r="G260" s="376">
        <v>5705.3347119527834</v>
      </c>
      <c r="H260" s="376">
        <v>20991.5728129852</v>
      </c>
      <c r="I260" s="376">
        <v>1</v>
      </c>
    </row>
    <row r="261" spans="1:9" x14ac:dyDescent="0.35">
      <c r="A261" s="376" t="s">
        <v>1850</v>
      </c>
      <c r="B261" s="376" t="s">
        <v>1609</v>
      </c>
      <c r="C261" s="376"/>
      <c r="D261" s="376">
        <v>2023</v>
      </c>
      <c r="E261" s="376">
        <v>2026</v>
      </c>
      <c r="F261" s="376">
        <v>0.98</v>
      </c>
      <c r="G261" s="376">
        <v>5705.3347119527834</v>
      </c>
      <c r="H261" s="376">
        <v>20991.5728129852</v>
      </c>
      <c r="I261" s="376">
        <v>1</v>
      </c>
    </row>
    <row r="262" spans="1:9" x14ac:dyDescent="0.35">
      <c r="A262" s="376" t="s">
        <v>1850</v>
      </c>
      <c r="B262" s="376" t="s">
        <v>1609</v>
      </c>
      <c r="C262" s="376"/>
      <c r="D262" s="376">
        <v>2024</v>
      </c>
      <c r="E262" s="376">
        <v>2026</v>
      </c>
      <c r="F262" s="376">
        <v>0.98</v>
      </c>
      <c r="G262" s="376">
        <v>5705.3347119527834</v>
      </c>
      <c r="H262" s="376">
        <v>20991.5728129852</v>
      </c>
      <c r="I262" s="376">
        <v>1</v>
      </c>
    </row>
    <row r="263" spans="1:9" x14ac:dyDescent="0.35">
      <c r="A263" s="376" t="s">
        <v>1850</v>
      </c>
      <c r="B263" s="376" t="s">
        <v>1609</v>
      </c>
      <c r="C263" s="376"/>
      <c r="D263" s="376">
        <v>2025</v>
      </c>
      <c r="E263" s="376">
        <v>2026</v>
      </c>
      <c r="F263" s="376">
        <v>0.98</v>
      </c>
      <c r="G263" s="376">
        <v>5705.3347119527834</v>
      </c>
      <c r="H263" s="376">
        <v>20991.5728129852</v>
      </c>
      <c r="I263" s="376">
        <v>1</v>
      </c>
    </row>
    <row r="264" spans="1:9" x14ac:dyDescent="0.35">
      <c r="A264" s="376" t="s">
        <v>1850</v>
      </c>
      <c r="B264" s="376" t="s">
        <v>1609</v>
      </c>
      <c r="C264" s="376"/>
      <c r="D264" s="376">
        <v>2026</v>
      </c>
      <c r="E264" s="376">
        <v>2026</v>
      </c>
      <c r="F264" s="376">
        <v>0.98</v>
      </c>
      <c r="G264" s="376">
        <v>5705.3347119527834</v>
      </c>
      <c r="H264" s="376">
        <v>20991.5728129852</v>
      </c>
      <c r="I264" s="376">
        <v>1</v>
      </c>
    </row>
    <row r="265" spans="1:9" x14ac:dyDescent="0.35">
      <c r="A265" s="376" t="s">
        <v>1850</v>
      </c>
      <c r="B265" s="376" t="s">
        <v>1609</v>
      </c>
      <c r="C265" s="376"/>
      <c r="D265" s="376">
        <v>2021</v>
      </c>
      <c r="E265" s="376">
        <v>2027</v>
      </c>
      <c r="F265" s="376">
        <v>0.98</v>
      </c>
      <c r="G265" s="376">
        <v>5705.3347119527834</v>
      </c>
      <c r="H265" s="376">
        <v>20991.5728129852</v>
      </c>
      <c r="I265" s="376">
        <v>1</v>
      </c>
    </row>
    <row r="266" spans="1:9" x14ac:dyDescent="0.35">
      <c r="A266" s="376" t="s">
        <v>1850</v>
      </c>
      <c r="B266" s="376" t="s">
        <v>1609</v>
      </c>
      <c r="C266" s="376"/>
      <c r="D266" s="376">
        <v>2022</v>
      </c>
      <c r="E266" s="376">
        <v>2027</v>
      </c>
      <c r="F266" s="376">
        <v>0.98</v>
      </c>
      <c r="G266" s="376">
        <v>5705.3347119527834</v>
      </c>
      <c r="H266" s="376">
        <v>20991.5728129852</v>
      </c>
      <c r="I266" s="376">
        <v>1</v>
      </c>
    </row>
    <row r="267" spans="1:9" x14ac:dyDescent="0.35">
      <c r="A267" s="376" t="s">
        <v>1850</v>
      </c>
      <c r="B267" s="376" t="s">
        <v>1609</v>
      </c>
      <c r="C267" s="376"/>
      <c r="D267" s="376">
        <v>2023</v>
      </c>
      <c r="E267" s="376">
        <v>2027</v>
      </c>
      <c r="F267" s="376">
        <v>0.98</v>
      </c>
      <c r="G267" s="376">
        <v>5705.3347119527834</v>
      </c>
      <c r="H267" s="376">
        <v>20991.5728129852</v>
      </c>
      <c r="I267" s="376">
        <v>1</v>
      </c>
    </row>
    <row r="268" spans="1:9" x14ac:dyDescent="0.35">
      <c r="A268" s="376" t="s">
        <v>1850</v>
      </c>
      <c r="B268" s="376" t="s">
        <v>1609</v>
      </c>
      <c r="C268" s="376"/>
      <c r="D268" s="376">
        <v>2024</v>
      </c>
      <c r="E268" s="376">
        <v>2027</v>
      </c>
      <c r="F268" s="376">
        <v>0.98</v>
      </c>
      <c r="G268" s="376">
        <v>5705.3347119527834</v>
      </c>
      <c r="H268" s="376">
        <v>20991.5728129852</v>
      </c>
      <c r="I268" s="376">
        <v>1</v>
      </c>
    </row>
    <row r="269" spans="1:9" x14ac:dyDescent="0.35">
      <c r="A269" s="376" t="s">
        <v>1850</v>
      </c>
      <c r="B269" s="376" t="s">
        <v>1609</v>
      </c>
      <c r="C269" s="376"/>
      <c r="D269" s="376">
        <v>2025</v>
      </c>
      <c r="E269" s="376">
        <v>2027</v>
      </c>
      <c r="F269" s="376">
        <v>0.98</v>
      </c>
      <c r="G269" s="376">
        <v>5705.3347119527834</v>
      </c>
      <c r="H269" s="376">
        <v>20991.5728129852</v>
      </c>
      <c r="I269" s="376">
        <v>1</v>
      </c>
    </row>
    <row r="270" spans="1:9" x14ac:dyDescent="0.35">
      <c r="A270" s="376" t="s">
        <v>1850</v>
      </c>
      <c r="B270" s="376" t="s">
        <v>1609</v>
      </c>
      <c r="C270" s="376"/>
      <c r="D270" s="376">
        <v>2026</v>
      </c>
      <c r="E270" s="376">
        <v>2027</v>
      </c>
      <c r="F270" s="376">
        <v>0.98</v>
      </c>
      <c r="G270" s="376">
        <v>5705.3347119527834</v>
      </c>
      <c r="H270" s="376">
        <v>20991.5728129852</v>
      </c>
      <c r="I270" s="376">
        <v>1</v>
      </c>
    </row>
    <row r="271" spans="1:9" x14ac:dyDescent="0.35">
      <c r="A271" s="376" t="s">
        <v>1850</v>
      </c>
      <c r="B271" s="376" t="s">
        <v>1609</v>
      </c>
      <c r="C271" s="376"/>
      <c r="D271" s="376">
        <v>2027</v>
      </c>
      <c r="E271" s="376">
        <v>2027</v>
      </c>
      <c r="F271" s="376">
        <v>0.98</v>
      </c>
      <c r="G271" s="376">
        <v>5705.3347119527834</v>
      </c>
      <c r="H271" s="376">
        <v>20991.5728129852</v>
      </c>
      <c r="I271" s="376">
        <v>1</v>
      </c>
    </row>
    <row r="272" spans="1:9" x14ac:dyDescent="0.35">
      <c r="A272" s="376" t="s">
        <v>1850</v>
      </c>
      <c r="B272" s="376" t="s">
        <v>1609</v>
      </c>
      <c r="C272" s="376"/>
      <c r="D272" s="376">
        <v>2021</v>
      </c>
      <c r="E272" s="376">
        <v>2028</v>
      </c>
      <c r="F272" s="376">
        <v>0.98</v>
      </c>
      <c r="G272" s="376">
        <v>5705.3347119527834</v>
      </c>
      <c r="H272" s="376">
        <v>20991.5728129852</v>
      </c>
      <c r="I272" s="376">
        <v>1</v>
      </c>
    </row>
    <row r="273" spans="1:9" x14ac:dyDescent="0.35">
      <c r="A273" s="376" t="s">
        <v>1850</v>
      </c>
      <c r="B273" s="376" t="s">
        <v>1609</v>
      </c>
      <c r="C273" s="376"/>
      <c r="D273" s="376">
        <v>2022</v>
      </c>
      <c r="E273" s="376">
        <v>2028</v>
      </c>
      <c r="F273" s="376">
        <v>0.98</v>
      </c>
      <c r="G273" s="376">
        <v>5705.3347119527834</v>
      </c>
      <c r="H273" s="376">
        <v>20991.5728129852</v>
      </c>
      <c r="I273" s="376">
        <v>1</v>
      </c>
    </row>
    <row r="274" spans="1:9" x14ac:dyDescent="0.35">
      <c r="A274" s="376" t="s">
        <v>1850</v>
      </c>
      <c r="B274" s="376" t="s">
        <v>1609</v>
      </c>
      <c r="C274" s="376"/>
      <c r="D274" s="376">
        <v>2023</v>
      </c>
      <c r="E274" s="376">
        <v>2028</v>
      </c>
      <c r="F274" s="376">
        <v>0.98</v>
      </c>
      <c r="G274" s="376">
        <v>5705.3347119527834</v>
      </c>
      <c r="H274" s="376">
        <v>20991.5728129852</v>
      </c>
      <c r="I274" s="376">
        <v>1</v>
      </c>
    </row>
    <row r="275" spans="1:9" x14ac:dyDescent="0.35">
      <c r="A275" s="376" t="s">
        <v>1850</v>
      </c>
      <c r="B275" s="376" t="s">
        <v>1609</v>
      </c>
      <c r="C275" s="376"/>
      <c r="D275" s="376">
        <v>2024</v>
      </c>
      <c r="E275" s="376">
        <v>2028</v>
      </c>
      <c r="F275" s="376">
        <v>0.98</v>
      </c>
      <c r="G275" s="376">
        <v>5705.3347119527834</v>
      </c>
      <c r="H275" s="376">
        <v>20991.5728129852</v>
      </c>
      <c r="I275" s="376">
        <v>1</v>
      </c>
    </row>
    <row r="276" spans="1:9" x14ac:dyDescent="0.35">
      <c r="A276" s="376" t="s">
        <v>1850</v>
      </c>
      <c r="B276" s="376" t="s">
        <v>1609</v>
      </c>
      <c r="C276" s="376"/>
      <c r="D276" s="376">
        <v>2025</v>
      </c>
      <c r="E276" s="376">
        <v>2028</v>
      </c>
      <c r="F276" s="376">
        <v>0.98</v>
      </c>
      <c r="G276" s="376">
        <v>5705.3347119527834</v>
      </c>
      <c r="H276" s="376">
        <v>20991.5728129852</v>
      </c>
      <c r="I276" s="376">
        <v>1</v>
      </c>
    </row>
    <row r="277" spans="1:9" x14ac:dyDescent="0.35">
      <c r="A277" s="376" t="s">
        <v>1850</v>
      </c>
      <c r="B277" s="376" t="s">
        <v>1609</v>
      </c>
      <c r="C277" s="376"/>
      <c r="D277" s="376">
        <v>2026</v>
      </c>
      <c r="E277" s="376">
        <v>2028</v>
      </c>
      <c r="F277" s="376">
        <v>0.98</v>
      </c>
      <c r="G277" s="376">
        <v>5705.3347119527834</v>
      </c>
      <c r="H277" s="376">
        <v>20991.5728129852</v>
      </c>
      <c r="I277" s="376">
        <v>1</v>
      </c>
    </row>
    <row r="278" spans="1:9" x14ac:dyDescent="0.35">
      <c r="A278" s="376" t="s">
        <v>1850</v>
      </c>
      <c r="B278" s="376" t="s">
        <v>1609</v>
      </c>
      <c r="C278" s="376"/>
      <c r="D278" s="376">
        <v>2027</v>
      </c>
      <c r="E278" s="376">
        <v>2028</v>
      </c>
      <c r="F278" s="376">
        <v>0.98</v>
      </c>
      <c r="G278" s="376">
        <v>5705.3347119527834</v>
      </c>
      <c r="H278" s="376">
        <v>20991.5728129852</v>
      </c>
      <c r="I278" s="376">
        <v>1</v>
      </c>
    </row>
    <row r="279" spans="1:9" x14ac:dyDescent="0.35">
      <c r="A279" s="376" t="s">
        <v>1850</v>
      </c>
      <c r="B279" s="376" t="s">
        <v>1609</v>
      </c>
      <c r="C279" s="376"/>
      <c r="D279" s="376">
        <v>2028</v>
      </c>
      <c r="E279" s="376">
        <v>2028</v>
      </c>
      <c r="F279" s="376">
        <v>0.98</v>
      </c>
      <c r="G279" s="376">
        <v>5705.3347119527834</v>
      </c>
      <c r="H279" s="376">
        <v>20991.5728129852</v>
      </c>
      <c r="I279" s="376">
        <v>1</v>
      </c>
    </row>
    <row r="280" spans="1:9" x14ac:dyDescent="0.35">
      <c r="A280" s="376" t="s">
        <v>1850</v>
      </c>
      <c r="B280" s="376" t="s">
        <v>1609</v>
      </c>
      <c r="C280" s="376"/>
      <c r="D280" s="376">
        <v>2021</v>
      </c>
      <c r="E280" s="376">
        <v>2029</v>
      </c>
      <c r="F280" s="376">
        <v>0.98</v>
      </c>
      <c r="G280" s="376">
        <v>5705.3347119527834</v>
      </c>
      <c r="H280" s="376">
        <v>20991.5728129852</v>
      </c>
      <c r="I280" s="376">
        <v>1</v>
      </c>
    </row>
    <row r="281" spans="1:9" x14ac:dyDescent="0.35">
      <c r="A281" s="376" t="s">
        <v>1850</v>
      </c>
      <c r="B281" s="376" t="s">
        <v>1609</v>
      </c>
      <c r="C281" s="376"/>
      <c r="D281" s="376">
        <v>2022</v>
      </c>
      <c r="E281" s="376">
        <v>2029</v>
      </c>
      <c r="F281" s="376">
        <v>0.98</v>
      </c>
      <c r="G281" s="376">
        <v>5705.3347119527834</v>
      </c>
      <c r="H281" s="376">
        <v>20991.5728129852</v>
      </c>
      <c r="I281" s="376">
        <v>1</v>
      </c>
    </row>
    <row r="282" spans="1:9" x14ac:dyDescent="0.35">
      <c r="A282" s="376" t="s">
        <v>1850</v>
      </c>
      <c r="B282" s="376" t="s">
        <v>1609</v>
      </c>
      <c r="C282" s="376"/>
      <c r="D282" s="376">
        <v>2023</v>
      </c>
      <c r="E282" s="376">
        <v>2029</v>
      </c>
      <c r="F282" s="376">
        <v>0.98</v>
      </c>
      <c r="G282" s="376">
        <v>5705.3347119527834</v>
      </c>
      <c r="H282" s="376">
        <v>20991.5728129852</v>
      </c>
      <c r="I282" s="376">
        <v>1</v>
      </c>
    </row>
    <row r="283" spans="1:9" x14ac:dyDescent="0.35">
      <c r="A283" s="376" t="s">
        <v>1850</v>
      </c>
      <c r="B283" s="376" t="s">
        <v>1609</v>
      </c>
      <c r="C283" s="376"/>
      <c r="D283" s="376">
        <v>2024</v>
      </c>
      <c r="E283" s="376">
        <v>2029</v>
      </c>
      <c r="F283" s="376">
        <v>0.98</v>
      </c>
      <c r="G283" s="376">
        <v>5705.3347119527834</v>
      </c>
      <c r="H283" s="376">
        <v>20991.5728129852</v>
      </c>
      <c r="I283" s="376">
        <v>1</v>
      </c>
    </row>
    <row r="284" spans="1:9" x14ac:dyDescent="0.35">
      <c r="A284" s="376" t="s">
        <v>1850</v>
      </c>
      <c r="B284" s="376" t="s">
        <v>1609</v>
      </c>
      <c r="C284" s="376"/>
      <c r="D284" s="376">
        <v>2025</v>
      </c>
      <c r="E284" s="376">
        <v>2029</v>
      </c>
      <c r="F284" s="376">
        <v>0.98</v>
      </c>
      <c r="G284" s="376">
        <v>5705.3347119527834</v>
      </c>
      <c r="H284" s="376">
        <v>20991.5728129852</v>
      </c>
      <c r="I284" s="376">
        <v>1</v>
      </c>
    </row>
    <row r="285" spans="1:9" x14ac:dyDescent="0.35">
      <c r="A285" s="376" t="s">
        <v>1850</v>
      </c>
      <c r="B285" s="376" t="s">
        <v>1609</v>
      </c>
      <c r="C285" s="376"/>
      <c r="D285" s="376">
        <v>2026</v>
      </c>
      <c r="E285" s="376">
        <v>2029</v>
      </c>
      <c r="F285" s="376">
        <v>0.98</v>
      </c>
      <c r="G285" s="376">
        <v>5705.3347119527834</v>
      </c>
      <c r="H285" s="376">
        <v>20991.5728129852</v>
      </c>
      <c r="I285" s="376">
        <v>1</v>
      </c>
    </row>
    <row r="286" spans="1:9" x14ac:dyDescent="0.35">
      <c r="A286" s="376" t="s">
        <v>1850</v>
      </c>
      <c r="B286" s="376" t="s">
        <v>1609</v>
      </c>
      <c r="C286" s="376"/>
      <c r="D286" s="376">
        <v>2027</v>
      </c>
      <c r="E286" s="376">
        <v>2029</v>
      </c>
      <c r="F286" s="376">
        <v>0.98</v>
      </c>
      <c r="G286" s="376">
        <v>5705.3347119527834</v>
      </c>
      <c r="H286" s="376">
        <v>20991.5728129852</v>
      </c>
      <c r="I286" s="376">
        <v>1</v>
      </c>
    </row>
    <row r="287" spans="1:9" x14ac:dyDescent="0.35">
      <c r="A287" s="376" t="s">
        <v>1850</v>
      </c>
      <c r="B287" s="376" t="s">
        <v>1609</v>
      </c>
      <c r="C287" s="376"/>
      <c r="D287" s="376">
        <v>2028</v>
      </c>
      <c r="E287" s="376">
        <v>2029</v>
      </c>
      <c r="F287" s="376">
        <v>0.98</v>
      </c>
      <c r="G287" s="376">
        <v>5705.3347119527834</v>
      </c>
      <c r="H287" s="376">
        <v>20991.5728129852</v>
      </c>
      <c r="I287" s="376">
        <v>1</v>
      </c>
    </row>
    <row r="288" spans="1:9" x14ac:dyDescent="0.35">
      <c r="A288" s="376" t="s">
        <v>1850</v>
      </c>
      <c r="B288" s="376" t="s">
        <v>1609</v>
      </c>
      <c r="C288" s="376"/>
      <c r="D288" s="376">
        <v>2029</v>
      </c>
      <c r="E288" s="376">
        <v>2029</v>
      </c>
      <c r="F288" s="376">
        <v>0.98</v>
      </c>
      <c r="G288" s="376">
        <v>5705.3347119527834</v>
      </c>
      <c r="H288" s="376">
        <v>20991.5728129852</v>
      </c>
      <c r="I288" s="376">
        <v>1</v>
      </c>
    </row>
    <row r="289" spans="1:9" x14ac:dyDescent="0.35">
      <c r="A289" s="376" t="s">
        <v>1850</v>
      </c>
      <c r="B289" s="376" t="s">
        <v>1609</v>
      </c>
      <c r="C289" s="376"/>
      <c r="D289" s="376">
        <v>2021</v>
      </c>
      <c r="E289" s="376">
        <v>2030</v>
      </c>
      <c r="F289" s="376">
        <v>0.98</v>
      </c>
      <c r="G289" s="376">
        <v>5705.3347119527834</v>
      </c>
      <c r="H289" s="376">
        <v>20991.5728129852</v>
      </c>
      <c r="I289" s="376">
        <v>1</v>
      </c>
    </row>
    <row r="290" spans="1:9" x14ac:dyDescent="0.35">
      <c r="A290" s="376" t="s">
        <v>1850</v>
      </c>
      <c r="B290" s="376" t="s">
        <v>1609</v>
      </c>
      <c r="C290" s="376"/>
      <c r="D290" s="376">
        <v>2022</v>
      </c>
      <c r="E290" s="376">
        <v>2030</v>
      </c>
      <c r="F290" s="376">
        <v>0.98</v>
      </c>
      <c r="G290" s="376">
        <v>5705.3347119527834</v>
      </c>
      <c r="H290" s="376">
        <v>20991.5728129852</v>
      </c>
      <c r="I290" s="376">
        <v>1</v>
      </c>
    </row>
    <row r="291" spans="1:9" x14ac:dyDescent="0.35">
      <c r="A291" s="376" t="s">
        <v>1850</v>
      </c>
      <c r="B291" s="376" t="s">
        <v>1609</v>
      </c>
      <c r="C291" s="376"/>
      <c r="D291" s="376">
        <v>2023</v>
      </c>
      <c r="E291" s="376">
        <v>2030</v>
      </c>
      <c r="F291" s="376">
        <v>0.98</v>
      </c>
      <c r="G291" s="376">
        <v>5705.3347119527834</v>
      </c>
      <c r="H291" s="376">
        <v>20991.5728129852</v>
      </c>
      <c r="I291" s="376">
        <v>1</v>
      </c>
    </row>
    <row r="292" spans="1:9" x14ac:dyDescent="0.35">
      <c r="A292" s="376" t="s">
        <v>1850</v>
      </c>
      <c r="B292" s="376" t="s">
        <v>1609</v>
      </c>
      <c r="C292" s="376"/>
      <c r="D292" s="376">
        <v>2024</v>
      </c>
      <c r="E292" s="376">
        <v>2030</v>
      </c>
      <c r="F292" s="376">
        <v>0.98</v>
      </c>
      <c r="G292" s="376">
        <v>5705.3347119527834</v>
      </c>
      <c r="H292" s="376">
        <v>20991.5728129852</v>
      </c>
      <c r="I292" s="376">
        <v>1</v>
      </c>
    </row>
    <row r="293" spans="1:9" x14ac:dyDescent="0.35">
      <c r="A293" s="376" t="s">
        <v>1850</v>
      </c>
      <c r="B293" s="376" t="s">
        <v>1609</v>
      </c>
      <c r="C293" s="376"/>
      <c r="D293" s="376">
        <v>2025</v>
      </c>
      <c r="E293" s="376">
        <v>2030</v>
      </c>
      <c r="F293" s="376">
        <v>0.98</v>
      </c>
      <c r="G293" s="376">
        <v>5705.3347119527834</v>
      </c>
      <c r="H293" s="376">
        <v>20991.5728129852</v>
      </c>
      <c r="I293" s="376">
        <v>1</v>
      </c>
    </row>
    <row r="294" spans="1:9" x14ac:dyDescent="0.35">
      <c r="A294" s="376" t="s">
        <v>1850</v>
      </c>
      <c r="B294" s="376" t="s">
        <v>1609</v>
      </c>
      <c r="C294" s="376"/>
      <c r="D294" s="376">
        <v>2026</v>
      </c>
      <c r="E294" s="376">
        <v>2030</v>
      </c>
      <c r="F294" s="376">
        <v>0.98</v>
      </c>
      <c r="G294" s="376">
        <v>5705.3347119527834</v>
      </c>
      <c r="H294" s="376">
        <v>20991.5728129852</v>
      </c>
      <c r="I294" s="376">
        <v>1</v>
      </c>
    </row>
    <row r="295" spans="1:9" x14ac:dyDescent="0.35">
      <c r="A295" s="376" t="s">
        <v>1850</v>
      </c>
      <c r="B295" s="376" t="s">
        <v>1609</v>
      </c>
      <c r="C295" s="376"/>
      <c r="D295" s="376">
        <v>2027</v>
      </c>
      <c r="E295" s="376">
        <v>2030</v>
      </c>
      <c r="F295" s="376">
        <v>0.98</v>
      </c>
      <c r="G295" s="376">
        <v>5705.3347119527834</v>
      </c>
      <c r="H295" s="376">
        <v>20991.5728129852</v>
      </c>
      <c r="I295" s="376">
        <v>1</v>
      </c>
    </row>
    <row r="296" spans="1:9" x14ac:dyDescent="0.35">
      <c r="A296" s="376" t="s">
        <v>1850</v>
      </c>
      <c r="B296" s="376" t="s">
        <v>1609</v>
      </c>
      <c r="C296" s="376"/>
      <c r="D296" s="376">
        <v>2028</v>
      </c>
      <c r="E296" s="376">
        <v>2030</v>
      </c>
      <c r="F296" s="376">
        <v>0.98</v>
      </c>
      <c r="G296" s="376">
        <v>5705.3347119527834</v>
      </c>
      <c r="H296" s="376">
        <v>20991.5728129852</v>
      </c>
      <c r="I296" s="376">
        <v>1</v>
      </c>
    </row>
    <row r="297" spans="1:9" x14ac:dyDescent="0.35">
      <c r="A297" s="376" t="s">
        <v>1850</v>
      </c>
      <c r="B297" s="376" t="s">
        <v>1609</v>
      </c>
      <c r="C297" s="376"/>
      <c r="D297" s="376">
        <v>2029</v>
      </c>
      <c r="E297" s="376">
        <v>2030</v>
      </c>
      <c r="F297" s="376">
        <v>0.98</v>
      </c>
      <c r="G297" s="376">
        <v>5705.3347119527834</v>
      </c>
      <c r="H297" s="376">
        <v>20991.5728129852</v>
      </c>
      <c r="I297" s="376">
        <v>1</v>
      </c>
    </row>
    <row r="298" spans="1:9" x14ac:dyDescent="0.35">
      <c r="A298" s="376" t="s">
        <v>1850</v>
      </c>
      <c r="B298" s="376" t="s">
        <v>1609</v>
      </c>
      <c r="C298" s="376"/>
      <c r="D298" s="376">
        <v>2030</v>
      </c>
      <c r="E298" s="376">
        <v>2030</v>
      </c>
      <c r="F298" s="376">
        <v>0.98</v>
      </c>
      <c r="G298" s="376">
        <v>5705.3347119527834</v>
      </c>
      <c r="H298" s="376">
        <v>20991.5728129852</v>
      </c>
      <c r="I298" s="376">
        <v>1</v>
      </c>
    </row>
    <row r="299" spans="1:9" x14ac:dyDescent="0.35">
      <c r="A299" s="376" t="s">
        <v>1850</v>
      </c>
      <c r="B299" s="376" t="s">
        <v>1609</v>
      </c>
      <c r="C299" s="376"/>
      <c r="D299" s="376">
        <v>2021</v>
      </c>
      <c r="E299" s="376">
        <v>2031</v>
      </c>
      <c r="F299" s="376">
        <v>0.98</v>
      </c>
      <c r="G299" s="376">
        <v>5705.3347119527834</v>
      </c>
      <c r="H299" s="376">
        <v>20991.5728129852</v>
      </c>
      <c r="I299" s="376">
        <v>1</v>
      </c>
    </row>
    <row r="300" spans="1:9" x14ac:dyDescent="0.35">
      <c r="A300" s="376" t="s">
        <v>1850</v>
      </c>
      <c r="B300" s="376" t="s">
        <v>1609</v>
      </c>
      <c r="C300" s="376"/>
      <c r="D300" s="376">
        <v>2022</v>
      </c>
      <c r="E300" s="376">
        <v>2031</v>
      </c>
      <c r="F300" s="376">
        <v>0.98</v>
      </c>
      <c r="G300" s="376">
        <v>5705.3347119527834</v>
      </c>
      <c r="H300" s="376">
        <v>20991.5728129852</v>
      </c>
      <c r="I300" s="376">
        <v>1</v>
      </c>
    </row>
    <row r="301" spans="1:9" x14ac:dyDescent="0.35">
      <c r="A301" s="376" t="s">
        <v>1850</v>
      </c>
      <c r="B301" s="376" t="s">
        <v>1609</v>
      </c>
      <c r="C301" s="376"/>
      <c r="D301" s="376">
        <v>2023</v>
      </c>
      <c r="E301" s="376">
        <v>2031</v>
      </c>
      <c r="F301" s="376">
        <v>0.98</v>
      </c>
      <c r="G301" s="376">
        <v>5705.3347119527834</v>
      </c>
      <c r="H301" s="376">
        <v>20991.5728129852</v>
      </c>
      <c r="I301" s="376">
        <v>1</v>
      </c>
    </row>
    <row r="302" spans="1:9" x14ac:dyDescent="0.35">
      <c r="A302" s="376" t="s">
        <v>1850</v>
      </c>
      <c r="B302" s="376" t="s">
        <v>1609</v>
      </c>
      <c r="C302" s="376"/>
      <c r="D302" s="376">
        <v>2024</v>
      </c>
      <c r="E302" s="376">
        <v>2031</v>
      </c>
      <c r="F302" s="376">
        <v>0.98</v>
      </c>
      <c r="G302" s="376">
        <v>5705.3347119527834</v>
      </c>
      <c r="H302" s="376">
        <v>20991.5728129852</v>
      </c>
      <c r="I302" s="376">
        <v>1</v>
      </c>
    </row>
    <row r="303" spans="1:9" x14ac:dyDescent="0.35">
      <c r="A303" s="376" t="s">
        <v>1850</v>
      </c>
      <c r="B303" s="376" t="s">
        <v>1609</v>
      </c>
      <c r="C303" s="376"/>
      <c r="D303" s="376">
        <v>2025</v>
      </c>
      <c r="E303" s="376">
        <v>2031</v>
      </c>
      <c r="F303" s="376">
        <v>0.98</v>
      </c>
      <c r="G303" s="376">
        <v>5705.3347119527834</v>
      </c>
      <c r="H303" s="376">
        <v>20991.5728129852</v>
      </c>
      <c r="I303" s="376">
        <v>1</v>
      </c>
    </row>
    <row r="304" spans="1:9" x14ac:dyDescent="0.35">
      <c r="A304" s="376" t="s">
        <v>1850</v>
      </c>
      <c r="B304" s="376" t="s">
        <v>1609</v>
      </c>
      <c r="C304" s="376"/>
      <c r="D304" s="376">
        <v>2026</v>
      </c>
      <c r="E304" s="376">
        <v>2031</v>
      </c>
      <c r="F304" s="376">
        <v>0.98</v>
      </c>
      <c r="G304" s="376">
        <v>5705.3347119527834</v>
      </c>
      <c r="H304" s="376">
        <v>20991.5728129852</v>
      </c>
      <c r="I304" s="376">
        <v>1</v>
      </c>
    </row>
    <row r="305" spans="1:9" x14ac:dyDescent="0.35">
      <c r="A305" s="376" t="s">
        <v>1850</v>
      </c>
      <c r="B305" s="376" t="s">
        <v>1609</v>
      </c>
      <c r="C305" s="376"/>
      <c r="D305" s="376">
        <v>2027</v>
      </c>
      <c r="E305" s="376">
        <v>2031</v>
      </c>
      <c r="F305" s="376">
        <v>0.98</v>
      </c>
      <c r="G305" s="376">
        <v>5705.3347119527834</v>
      </c>
      <c r="H305" s="376">
        <v>20991.5728129852</v>
      </c>
      <c r="I305" s="376">
        <v>1</v>
      </c>
    </row>
    <row r="306" spans="1:9" x14ac:dyDescent="0.35">
      <c r="A306" s="376" t="s">
        <v>1850</v>
      </c>
      <c r="B306" s="376" t="s">
        <v>1609</v>
      </c>
      <c r="C306" s="376"/>
      <c r="D306" s="376">
        <v>2028</v>
      </c>
      <c r="E306" s="376">
        <v>2031</v>
      </c>
      <c r="F306" s="376">
        <v>0.98</v>
      </c>
      <c r="G306" s="376">
        <v>5705.3347119527834</v>
      </c>
      <c r="H306" s="376">
        <v>20991.5728129852</v>
      </c>
      <c r="I306" s="376">
        <v>1</v>
      </c>
    </row>
    <row r="307" spans="1:9" x14ac:dyDescent="0.35">
      <c r="A307" s="376" t="s">
        <v>1850</v>
      </c>
      <c r="B307" s="376" t="s">
        <v>1609</v>
      </c>
      <c r="C307" s="376"/>
      <c r="D307" s="376">
        <v>2029</v>
      </c>
      <c r="E307" s="376">
        <v>2031</v>
      </c>
      <c r="F307" s="376">
        <v>0.98</v>
      </c>
      <c r="G307" s="376">
        <v>5705.3347119527834</v>
      </c>
      <c r="H307" s="376">
        <v>20991.5728129852</v>
      </c>
      <c r="I307" s="376">
        <v>1</v>
      </c>
    </row>
    <row r="308" spans="1:9" x14ac:dyDescent="0.35">
      <c r="A308" s="376" t="s">
        <v>1850</v>
      </c>
      <c r="B308" s="376" t="s">
        <v>1609</v>
      </c>
      <c r="C308" s="376"/>
      <c r="D308" s="376">
        <v>2030</v>
      </c>
      <c r="E308" s="376">
        <v>2031</v>
      </c>
      <c r="F308" s="376">
        <v>0.98</v>
      </c>
      <c r="G308" s="376">
        <v>5705.3347119527834</v>
      </c>
      <c r="H308" s="376">
        <v>20991.5728129852</v>
      </c>
      <c r="I308" s="376">
        <v>1</v>
      </c>
    </row>
    <row r="309" spans="1:9" x14ac:dyDescent="0.35">
      <c r="A309" s="376" t="s">
        <v>1850</v>
      </c>
      <c r="B309" s="376" t="s">
        <v>1609</v>
      </c>
      <c r="C309" s="376"/>
      <c r="D309" s="376">
        <v>2031</v>
      </c>
      <c r="E309" s="376">
        <v>2031</v>
      </c>
      <c r="F309" s="376">
        <v>0.98</v>
      </c>
      <c r="G309" s="376">
        <v>5705.3347119527834</v>
      </c>
      <c r="H309" s="376">
        <v>20991.5728129852</v>
      </c>
      <c r="I309" s="376">
        <v>1</v>
      </c>
    </row>
    <row r="310" spans="1:9" x14ac:dyDescent="0.35">
      <c r="A310" s="376" t="s">
        <v>1851</v>
      </c>
      <c r="B310" s="376" t="s">
        <v>1609</v>
      </c>
      <c r="C310" s="376"/>
      <c r="D310" s="376">
        <v>2020</v>
      </c>
      <c r="E310" s="376">
        <v>2021</v>
      </c>
      <c r="F310" s="376">
        <v>0.98</v>
      </c>
      <c r="G310" s="376">
        <v>5705.3347119527834</v>
      </c>
      <c r="H310" s="376">
        <v>5263.9211598497559</v>
      </c>
      <c r="I310" s="376">
        <v>1</v>
      </c>
    </row>
    <row r="311" spans="1:9" x14ac:dyDescent="0.35">
      <c r="A311" s="376" t="s">
        <v>1851</v>
      </c>
      <c r="B311" s="376" t="s">
        <v>1609</v>
      </c>
      <c r="C311" s="376"/>
      <c r="D311" s="376">
        <v>2020</v>
      </c>
      <c r="E311" s="376">
        <v>2022</v>
      </c>
      <c r="F311" s="376">
        <v>0.98</v>
      </c>
      <c r="G311" s="376">
        <v>5705.3347119527834</v>
      </c>
      <c r="H311" s="376">
        <v>5263.9211598497559</v>
      </c>
      <c r="I311" s="376">
        <v>1</v>
      </c>
    </row>
    <row r="312" spans="1:9" x14ac:dyDescent="0.35">
      <c r="A312" s="376" t="s">
        <v>1851</v>
      </c>
      <c r="B312" s="376" t="s">
        <v>1609</v>
      </c>
      <c r="C312" s="376"/>
      <c r="D312" s="376">
        <v>2020</v>
      </c>
      <c r="E312" s="376">
        <v>2023</v>
      </c>
      <c r="F312" s="376">
        <v>0.98</v>
      </c>
      <c r="G312" s="376">
        <v>5705.3347119527834</v>
      </c>
      <c r="H312" s="376">
        <v>5263.9211598497559</v>
      </c>
      <c r="I312" s="376">
        <v>1</v>
      </c>
    </row>
    <row r="313" spans="1:9" x14ac:dyDescent="0.35">
      <c r="A313" s="376" t="s">
        <v>1851</v>
      </c>
      <c r="B313" s="376" t="s">
        <v>1609</v>
      </c>
      <c r="C313" s="376"/>
      <c r="D313" s="376">
        <v>2020</v>
      </c>
      <c r="E313" s="376">
        <v>2024</v>
      </c>
      <c r="F313" s="376">
        <v>0.98</v>
      </c>
      <c r="G313" s="376">
        <v>5705.3347119527834</v>
      </c>
      <c r="H313" s="376">
        <v>5263.9211598497559</v>
      </c>
      <c r="I313" s="376">
        <v>1</v>
      </c>
    </row>
    <row r="314" spans="1:9" x14ac:dyDescent="0.35">
      <c r="A314" s="376" t="s">
        <v>1851</v>
      </c>
      <c r="B314" s="376" t="s">
        <v>1609</v>
      </c>
      <c r="C314" s="376"/>
      <c r="D314" s="376">
        <v>2020</v>
      </c>
      <c r="E314" s="376">
        <v>2025</v>
      </c>
      <c r="F314" s="376">
        <v>0.98</v>
      </c>
      <c r="G314" s="376">
        <v>5705.3347119527834</v>
      </c>
      <c r="H314" s="376">
        <v>5263.9211598497559</v>
      </c>
      <c r="I314" s="376">
        <v>1</v>
      </c>
    </row>
    <row r="315" spans="1:9" x14ac:dyDescent="0.35">
      <c r="A315" s="376" t="s">
        <v>1851</v>
      </c>
      <c r="B315" s="376" t="s">
        <v>1609</v>
      </c>
      <c r="C315" s="376"/>
      <c r="D315" s="376">
        <v>2020</v>
      </c>
      <c r="E315" s="376">
        <v>2026</v>
      </c>
      <c r="F315" s="376">
        <v>0.98</v>
      </c>
      <c r="G315" s="376">
        <v>5705.3347119527834</v>
      </c>
      <c r="H315" s="376">
        <v>5263.9211598497559</v>
      </c>
      <c r="I315" s="376">
        <v>1</v>
      </c>
    </row>
    <row r="316" spans="1:9" x14ac:dyDescent="0.35">
      <c r="A316" s="376" t="s">
        <v>1851</v>
      </c>
      <c r="B316" s="376" t="s">
        <v>1609</v>
      </c>
      <c r="C316" s="376"/>
      <c r="D316" s="376">
        <v>2020</v>
      </c>
      <c r="E316" s="376">
        <v>2027</v>
      </c>
      <c r="F316" s="376">
        <v>0.98</v>
      </c>
      <c r="G316" s="376">
        <v>5705.3347119527834</v>
      </c>
      <c r="H316" s="376">
        <v>5263.9211598497559</v>
      </c>
      <c r="I316" s="376">
        <v>1</v>
      </c>
    </row>
    <row r="317" spans="1:9" x14ac:dyDescent="0.35">
      <c r="A317" s="376" t="s">
        <v>1851</v>
      </c>
      <c r="B317" s="376" t="s">
        <v>1609</v>
      </c>
      <c r="C317" s="376"/>
      <c r="D317" s="376">
        <v>2020</v>
      </c>
      <c r="E317" s="376">
        <v>2028</v>
      </c>
      <c r="F317" s="376">
        <v>0.98</v>
      </c>
      <c r="G317" s="376">
        <v>5705.3347119527834</v>
      </c>
      <c r="H317" s="376">
        <v>5263.9211598497559</v>
      </c>
      <c r="I317" s="376">
        <v>1</v>
      </c>
    </row>
    <row r="318" spans="1:9" x14ac:dyDescent="0.35">
      <c r="A318" s="376" t="s">
        <v>1851</v>
      </c>
      <c r="B318" s="376" t="s">
        <v>1609</v>
      </c>
      <c r="C318" s="376"/>
      <c r="D318" s="376">
        <v>2020</v>
      </c>
      <c r="E318" s="376">
        <v>2029</v>
      </c>
      <c r="F318" s="376">
        <v>0.98</v>
      </c>
      <c r="G318" s="376">
        <v>5705.3347119527834</v>
      </c>
      <c r="H318" s="376">
        <v>5263.9211598497559</v>
      </c>
      <c r="I318" s="376">
        <v>1</v>
      </c>
    </row>
    <row r="319" spans="1:9" x14ac:dyDescent="0.35">
      <c r="A319" s="376" t="s">
        <v>1851</v>
      </c>
      <c r="B319" s="376" t="s">
        <v>1609</v>
      </c>
      <c r="C319" s="376"/>
      <c r="D319" s="376">
        <v>2020</v>
      </c>
      <c r="E319" s="376">
        <v>2030</v>
      </c>
      <c r="F319" s="376">
        <v>0.98</v>
      </c>
      <c r="G319" s="376">
        <v>5705.3347119527834</v>
      </c>
      <c r="H319" s="376">
        <v>5263.9211598497559</v>
      </c>
      <c r="I319" s="376">
        <v>1</v>
      </c>
    </row>
    <row r="320" spans="1:9" x14ac:dyDescent="0.35">
      <c r="A320" s="376" t="s">
        <v>1851</v>
      </c>
      <c r="B320" s="376" t="s">
        <v>1609</v>
      </c>
      <c r="C320" s="376"/>
      <c r="D320" s="376">
        <v>2020</v>
      </c>
      <c r="E320" s="376">
        <v>2031</v>
      </c>
      <c r="F320" s="376">
        <v>0.98</v>
      </c>
      <c r="G320" s="376">
        <v>5705.3347119527834</v>
      </c>
      <c r="H320" s="376">
        <v>5263.9211598497559</v>
      </c>
      <c r="I320" s="376">
        <v>1</v>
      </c>
    </row>
    <row r="321" spans="1:9" x14ac:dyDescent="0.35">
      <c r="A321" s="376" t="s">
        <v>1851</v>
      </c>
      <c r="B321" s="376" t="s">
        <v>1609</v>
      </c>
      <c r="C321" s="376"/>
      <c r="D321" s="376">
        <v>2021</v>
      </c>
      <c r="E321" s="376">
        <v>2021</v>
      </c>
      <c r="F321" s="376">
        <v>0.98</v>
      </c>
      <c r="G321" s="376">
        <v>5705.3347119527834</v>
      </c>
      <c r="H321" s="376">
        <v>5263.9211598497559</v>
      </c>
      <c r="I321" s="376">
        <v>1</v>
      </c>
    </row>
    <row r="322" spans="1:9" x14ac:dyDescent="0.35">
      <c r="A322" s="376" t="s">
        <v>1851</v>
      </c>
      <c r="B322" s="376" t="s">
        <v>1609</v>
      </c>
      <c r="C322" s="376"/>
      <c r="D322" s="376">
        <v>2021</v>
      </c>
      <c r="E322" s="376">
        <v>2022</v>
      </c>
      <c r="F322" s="376">
        <v>0.98</v>
      </c>
      <c r="G322" s="376">
        <v>5705.3347119527834</v>
      </c>
      <c r="H322" s="376">
        <v>5263.9211598497559</v>
      </c>
      <c r="I322" s="376">
        <v>1</v>
      </c>
    </row>
    <row r="323" spans="1:9" x14ac:dyDescent="0.35">
      <c r="A323" s="376" t="s">
        <v>1851</v>
      </c>
      <c r="B323" s="376" t="s">
        <v>1609</v>
      </c>
      <c r="C323" s="376"/>
      <c r="D323" s="376">
        <v>2022</v>
      </c>
      <c r="E323" s="376">
        <v>2022</v>
      </c>
      <c r="F323" s="376">
        <v>0.98</v>
      </c>
      <c r="G323" s="376">
        <v>5705.3347119527834</v>
      </c>
      <c r="H323" s="376">
        <v>5263.9211598497559</v>
      </c>
      <c r="I323" s="376">
        <v>1</v>
      </c>
    </row>
    <row r="324" spans="1:9" x14ac:dyDescent="0.35">
      <c r="A324" s="376" t="s">
        <v>1851</v>
      </c>
      <c r="B324" s="376" t="s">
        <v>1609</v>
      </c>
      <c r="C324" s="376"/>
      <c r="D324" s="376">
        <v>2021</v>
      </c>
      <c r="E324" s="376">
        <v>2023</v>
      </c>
      <c r="F324" s="376">
        <v>0.98</v>
      </c>
      <c r="G324" s="376">
        <v>5705.3347119527834</v>
      </c>
      <c r="H324" s="376">
        <v>5263.9211598497559</v>
      </c>
      <c r="I324" s="376">
        <v>1</v>
      </c>
    </row>
    <row r="325" spans="1:9" x14ac:dyDescent="0.35">
      <c r="A325" s="376" t="s">
        <v>1851</v>
      </c>
      <c r="B325" s="376" t="s">
        <v>1609</v>
      </c>
      <c r="C325" s="376"/>
      <c r="D325" s="376">
        <v>2022</v>
      </c>
      <c r="E325" s="376">
        <v>2023</v>
      </c>
      <c r="F325" s="376">
        <v>0.98</v>
      </c>
      <c r="G325" s="376">
        <v>5705.3347119527834</v>
      </c>
      <c r="H325" s="376">
        <v>5263.9211598497559</v>
      </c>
      <c r="I325" s="376">
        <v>1</v>
      </c>
    </row>
    <row r="326" spans="1:9" x14ac:dyDescent="0.35">
      <c r="A326" s="376" t="s">
        <v>1851</v>
      </c>
      <c r="B326" s="376" t="s">
        <v>1609</v>
      </c>
      <c r="C326" s="376"/>
      <c r="D326" s="376">
        <v>2023</v>
      </c>
      <c r="E326" s="376">
        <v>2023</v>
      </c>
      <c r="F326" s="376">
        <v>0.98</v>
      </c>
      <c r="G326" s="376">
        <v>5705.3347119527834</v>
      </c>
      <c r="H326" s="376">
        <v>5263.9211598497559</v>
      </c>
      <c r="I326" s="376">
        <v>1</v>
      </c>
    </row>
    <row r="327" spans="1:9" x14ac:dyDescent="0.35">
      <c r="A327" s="376" t="s">
        <v>1851</v>
      </c>
      <c r="B327" s="376" t="s">
        <v>1609</v>
      </c>
      <c r="C327" s="376"/>
      <c r="D327" s="376">
        <v>2021</v>
      </c>
      <c r="E327" s="376">
        <v>2024</v>
      </c>
      <c r="F327" s="376">
        <v>0.98</v>
      </c>
      <c r="G327" s="376">
        <v>5705.3347119527834</v>
      </c>
      <c r="H327" s="376">
        <v>5263.9211598497559</v>
      </c>
      <c r="I327" s="376">
        <v>1</v>
      </c>
    </row>
    <row r="328" spans="1:9" x14ac:dyDescent="0.35">
      <c r="A328" s="376" t="s">
        <v>1851</v>
      </c>
      <c r="B328" s="376" t="s">
        <v>1609</v>
      </c>
      <c r="C328" s="376"/>
      <c r="D328" s="376">
        <v>2022</v>
      </c>
      <c r="E328" s="376">
        <v>2024</v>
      </c>
      <c r="F328" s="376">
        <v>0.98</v>
      </c>
      <c r="G328" s="376">
        <v>5705.3347119527834</v>
      </c>
      <c r="H328" s="376">
        <v>5263.9211598497559</v>
      </c>
      <c r="I328" s="376">
        <v>1</v>
      </c>
    </row>
    <row r="329" spans="1:9" x14ac:dyDescent="0.35">
      <c r="A329" s="376" t="s">
        <v>1851</v>
      </c>
      <c r="B329" s="376" t="s">
        <v>1609</v>
      </c>
      <c r="C329" s="376"/>
      <c r="D329" s="376">
        <v>2023</v>
      </c>
      <c r="E329" s="376">
        <v>2024</v>
      </c>
      <c r="F329" s="376">
        <v>0.98</v>
      </c>
      <c r="G329" s="376">
        <v>5705.3347119527834</v>
      </c>
      <c r="H329" s="376">
        <v>5263.9211598497559</v>
      </c>
      <c r="I329" s="376">
        <v>1</v>
      </c>
    </row>
    <row r="330" spans="1:9" x14ac:dyDescent="0.35">
      <c r="A330" s="376" t="s">
        <v>1851</v>
      </c>
      <c r="B330" s="376" t="s">
        <v>1609</v>
      </c>
      <c r="C330" s="376"/>
      <c r="D330" s="376">
        <v>2024</v>
      </c>
      <c r="E330" s="376">
        <v>2024</v>
      </c>
      <c r="F330" s="376">
        <v>0.98</v>
      </c>
      <c r="G330" s="376">
        <v>5705.3347119527834</v>
      </c>
      <c r="H330" s="376">
        <v>5263.9211598497559</v>
      </c>
      <c r="I330" s="376">
        <v>1</v>
      </c>
    </row>
    <row r="331" spans="1:9" x14ac:dyDescent="0.35">
      <c r="A331" s="376" t="s">
        <v>1851</v>
      </c>
      <c r="B331" s="376" t="s">
        <v>1609</v>
      </c>
      <c r="C331" s="376"/>
      <c r="D331" s="376">
        <v>2021</v>
      </c>
      <c r="E331" s="376">
        <v>2025</v>
      </c>
      <c r="F331" s="376">
        <v>0.98</v>
      </c>
      <c r="G331" s="376">
        <v>5705.3347119527834</v>
      </c>
      <c r="H331" s="376">
        <v>5263.9211598497559</v>
      </c>
      <c r="I331" s="376">
        <v>1</v>
      </c>
    </row>
    <row r="332" spans="1:9" x14ac:dyDescent="0.35">
      <c r="A332" s="376" t="s">
        <v>1851</v>
      </c>
      <c r="B332" s="376" t="s">
        <v>1609</v>
      </c>
      <c r="C332" s="376"/>
      <c r="D332" s="376">
        <v>2022</v>
      </c>
      <c r="E332" s="376">
        <v>2025</v>
      </c>
      <c r="F332" s="376">
        <v>0.98</v>
      </c>
      <c r="G332" s="376">
        <v>5705.3347119527834</v>
      </c>
      <c r="H332" s="376">
        <v>5263.9211598497559</v>
      </c>
      <c r="I332" s="376">
        <v>1</v>
      </c>
    </row>
    <row r="333" spans="1:9" x14ac:dyDescent="0.35">
      <c r="A333" s="376" t="s">
        <v>1851</v>
      </c>
      <c r="B333" s="376" t="s">
        <v>1609</v>
      </c>
      <c r="C333" s="376"/>
      <c r="D333" s="376">
        <v>2023</v>
      </c>
      <c r="E333" s="376">
        <v>2025</v>
      </c>
      <c r="F333" s="376">
        <v>0.98</v>
      </c>
      <c r="G333" s="376">
        <v>5705.3347119527834</v>
      </c>
      <c r="H333" s="376">
        <v>5263.9211598497559</v>
      </c>
      <c r="I333" s="376">
        <v>1</v>
      </c>
    </row>
    <row r="334" spans="1:9" x14ac:dyDescent="0.35">
      <c r="A334" s="376" t="s">
        <v>1851</v>
      </c>
      <c r="B334" s="376" t="s">
        <v>1609</v>
      </c>
      <c r="C334" s="376"/>
      <c r="D334" s="376">
        <v>2024</v>
      </c>
      <c r="E334" s="376">
        <v>2025</v>
      </c>
      <c r="F334" s="376">
        <v>0.98</v>
      </c>
      <c r="G334" s="376">
        <v>5705.3347119527834</v>
      </c>
      <c r="H334" s="376">
        <v>5263.9211598497559</v>
      </c>
      <c r="I334" s="376">
        <v>1</v>
      </c>
    </row>
    <row r="335" spans="1:9" x14ac:dyDescent="0.35">
      <c r="A335" s="376" t="s">
        <v>1851</v>
      </c>
      <c r="B335" s="376" t="s">
        <v>1609</v>
      </c>
      <c r="C335" s="376"/>
      <c r="D335" s="376">
        <v>2025</v>
      </c>
      <c r="E335" s="376">
        <v>2025</v>
      </c>
      <c r="F335" s="376">
        <v>0.98</v>
      </c>
      <c r="G335" s="376">
        <v>5705.3347119527834</v>
      </c>
      <c r="H335" s="376">
        <v>5263.9211598497559</v>
      </c>
      <c r="I335" s="376">
        <v>1</v>
      </c>
    </row>
    <row r="336" spans="1:9" x14ac:dyDescent="0.35">
      <c r="A336" s="376" t="s">
        <v>1851</v>
      </c>
      <c r="B336" s="376" t="s">
        <v>1609</v>
      </c>
      <c r="C336" s="376"/>
      <c r="D336" s="376">
        <v>2021</v>
      </c>
      <c r="E336" s="376">
        <v>2026</v>
      </c>
      <c r="F336" s="376">
        <v>0.98</v>
      </c>
      <c r="G336" s="376">
        <v>5705.3347119527834</v>
      </c>
      <c r="H336" s="376">
        <v>5263.9211598497559</v>
      </c>
      <c r="I336" s="376">
        <v>1</v>
      </c>
    </row>
    <row r="337" spans="1:9" x14ac:dyDescent="0.35">
      <c r="A337" s="376" t="s">
        <v>1851</v>
      </c>
      <c r="B337" s="376" t="s">
        <v>1609</v>
      </c>
      <c r="C337" s="376"/>
      <c r="D337" s="376">
        <v>2022</v>
      </c>
      <c r="E337" s="376">
        <v>2026</v>
      </c>
      <c r="F337" s="376">
        <v>0.98</v>
      </c>
      <c r="G337" s="376">
        <v>5705.3347119527834</v>
      </c>
      <c r="H337" s="376">
        <v>5263.9211598497559</v>
      </c>
      <c r="I337" s="376">
        <v>1</v>
      </c>
    </row>
    <row r="338" spans="1:9" x14ac:dyDescent="0.35">
      <c r="A338" s="376" t="s">
        <v>1851</v>
      </c>
      <c r="B338" s="376" t="s">
        <v>1609</v>
      </c>
      <c r="C338" s="376"/>
      <c r="D338" s="376">
        <v>2023</v>
      </c>
      <c r="E338" s="376">
        <v>2026</v>
      </c>
      <c r="F338" s="376">
        <v>0.98</v>
      </c>
      <c r="G338" s="376">
        <v>5705.3347119527834</v>
      </c>
      <c r="H338" s="376">
        <v>5263.9211598497559</v>
      </c>
      <c r="I338" s="376">
        <v>1</v>
      </c>
    </row>
    <row r="339" spans="1:9" x14ac:dyDescent="0.35">
      <c r="A339" s="376" t="s">
        <v>1851</v>
      </c>
      <c r="B339" s="376" t="s">
        <v>1609</v>
      </c>
      <c r="C339" s="376"/>
      <c r="D339" s="376">
        <v>2024</v>
      </c>
      <c r="E339" s="376">
        <v>2026</v>
      </c>
      <c r="F339" s="376">
        <v>0.98</v>
      </c>
      <c r="G339" s="376">
        <v>5705.3347119527834</v>
      </c>
      <c r="H339" s="376">
        <v>5263.9211598497559</v>
      </c>
      <c r="I339" s="376">
        <v>1</v>
      </c>
    </row>
    <row r="340" spans="1:9" x14ac:dyDescent="0.35">
      <c r="A340" s="376" t="s">
        <v>1851</v>
      </c>
      <c r="B340" s="376" t="s">
        <v>1609</v>
      </c>
      <c r="C340" s="376"/>
      <c r="D340" s="376">
        <v>2025</v>
      </c>
      <c r="E340" s="376">
        <v>2026</v>
      </c>
      <c r="F340" s="376">
        <v>0.98</v>
      </c>
      <c r="G340" s="376">
        <v>5705.3347119527834</v>
      </c>
      <c r="H340" s="376">
        <v>5263.9211598497559</v>
      </c>
      <c r="I340" s="376">
        <v>1</v>
      </c>
    </row>
    <row r="341" spans="1:9" x14ac:dyDescent="0.35">
      <c r="A341" s="376" t="s">
        <v>1851</v>
      </c>
      <c r="B341" s="376" t="s">
        <v>1609</v>
      </c>
      <c r="C341" s="376"/>
      <c r="D341" s="376">
        <v>2026</v>
      </c>
      <c r="E341" s="376">
        <v>2026</v>
      </c>
      <c r="F341" s="376">
        <v>0.98</v>
      </c>
      <c r="G341" s="376">
        <v>5705.3347119527834</v>
      </c>
      <c r="H341" s="376">
        <v>5263.9211598497559</v>
      </c>
      <c r="I341" s="376">
        <v>1</v>
      </c>
    </row>
    <row r="342" spans="1:9" x14ac:dyDescent="0.35">
      <c r="A342" s="376" t="s">
        <v>1851</v>
      </c>
      <c r="B342" s="376" t="s">
        <v>1609</v>
      </c>
      <c r="C342" s="376"/>
      <c r="D342" s="376">
        <v>2021</v>
      </c>
      <c r="E342" s="376">
        <v>2027</v>
      </c>
      <c r="F342" s="376">
        <v>0.98</v>
      </c>
      <c r="G342" s="376">
        <v>5705.3347119527834</v>
      </c>
      <c r="H342" s="376">
        <v>5263.9211598497559</v>
      </c>
      <c r="I342" s="376">
        <v>1</v>
      </c>
    </row>
    <row r="343" spans="1:9" x14ac:dyDescent="0.35">
      <c r="A343" s="376" t="s">
        <v>1851</v>
      </c>
      <c r="B343" s="376" t="s">
        <v>1609</v>
      </c>
      <c r="C343" s="376"/>
      <c r="D343" s="376">
        <v>2022</v>
      </c>
      <c r="E343" s="376">
        <v>2027</v>
      </c>
      <c r="F343" s="376">
        <v>0.98</v>
      </c>
      <c r="G343" s="376">
        <v>5705.3347119527834</v>
      </c>
      <c r="H343" s="376">
        <v>5263.9211598497559</v>
      </c>
      <c r="I343" s="376">
        <v>1</v>
      </c>
    </row>
    <row r="344" spans="1:9" x14ac:dyDescent="0.35">
      <c r="A344" s="376" t="s">
        <v>1851</v>
      </c>
      <c r="B344" s="376" t="s">
        <v>1609</v>
      </c>
      <c r="C344" s="376"/>
      <c r="D344" s="376">
        <v>2023</v>
      </c>
      <c r="E344" s="376">
        <v>2027</v>
      </c>
      <c r="F344" s="376">
        <v>0.98</v>
      </c>
      <c r="G344" s="376">
        <v>5705.3347119527834</v>
      </c>
      <c r="H344" s="376">
        <v>5263.9211598497559</v>
      </c>
      <c r="I344" s="376">
        <v>1</v>
      </c>
    </row>
    <row r="345" spans="1:9" x14ac:dyDescent="0.35">
      <c r="A345" s="376" t="s">
        <v>1851</v>
      </c>
      <c r="B345" s="376" t="s">
        <v>1609</v>
      </c>
      <c r="C345" s="376"/>
      <c r="D345" s="376">
        <v>2024</v>
      </c>
      <c r="E345" s="376">
        <v>2027</v>
      </c>
      <c r="F345" s="376">
        <v>0.98</v>
      </c>
      <c r="G345" s="376">
        <v>5705.3347119527834</v>
      </c>
      <c r="H345" s="376">
        <v>5263.9211598497559</v>
      </c>
      <c r="I345" s="376">
        <v>1</v>
      </c>
    </row>
    <row r="346" spans="1:9" x14ac:dyDescent="0.35">
      <c r="A346" s="376" t="s">
        <v>1851</v>
      </c>
      <c r="B346" s="376" t="s">
        <v>1609</v>
      </c>
      <c r="C346" s="376"/>
      <c r="D346" s="376">
        <v>2025</v>
      </c>
      <c r="E346" s="376">
        <v>2027</v>
      </c>
      <c r="F346" s="376">
        <v>0.98</v>
      </c>
      <c r="G346" s="376">
        <v>5705.3347119527834</v>
      </c>
      <c r="H346" s="376">
        <v>5263.9211598497559</v>
      </c>
      <c r="I346" s="376">
        <v>1</v>
      </c>
    </row>
    <row r="347" spans="1:9" x14ac:dyDescent="0.35">
      <c r="A347" s="376" t="s">
        <v>1851</v>
      </c>
      <c r="B347" s="376" t="s">
        <v>1609</v>
      </c>
      <c r="C347" s="376"/>
      <c r="D347" s="376">
        <v>2026</v>
      </c>
      <c r="E347" s="376">
        <v>2027</v>
      </c>
      <c r="F347" s="376">
        <v>0.98</v>
      </c>
      <c r="G347" s="376">
        <v>5705.3347119527834</v>
      </c>
      <c r="H347" s="376">
        <v>5263.9211598497559</v>
      </c>
      <c r="I347" s="376">
        <v>1</v>
      </c>
    </row>
    <row r="348" spans="1:9" x14ac:dyDescent="0.35">
      <c r="A348" s="376" t="s">
        <v>1851</v>
      </c>
      <c r="B348" s="376" t="s">
        <v>1609</v>
      </c>
      <c r="C348" s="376"/>
      <c r="D348" s="376">
        <v>2027</v>
      </c>
      <c r="E348" s="376">
        <v>2027</v>
      </c>
      <c r="F348" s="376">
        <v>0.98</v>
      </c>
      <c r="G348" s="376">
        <v>5705.3347119527834</v>
      </c>
      <c r="H348" s="376">
        <v>5263.9211598497559</v>
      </c>
      <c r="I348" s="376">
        <v>1</v>
      </c>
    </row>
    <row r="349" spans="1:9" x14ac:dyDescent="0.35">
      <c r="A349" s="376" t="s">
        <v>1851</v>
      </c>
      <c r="B349" s="376" t="s">
        <v>1609</v>
      </c>
      <c r="C349" s="376"/>
      <c r="D349" s="376">
        <v>2021</v>
      </c>
      <c r="E349" s="376">
        <v>2028</v>
      </c>
      <c r="F349" s="376">
        <v>0.98</v>
      </c>
      <c r="G349" s="376">
        <v>5705.3347119527834</v>
      </c>
      <c r="H349" s="376">
        <v>5263.9211598497559</v>
      </c>
      <c r="I349" s="376">
        <v>1</v>
      </c>
    </row>
    <row r="350" spans="1:9" x14ac:dyDescent="0.35">
      <c r="A350" s="376" t="s">
        <v>1851</v>
      </c>
      <c r="B350" s="376" t="s">
        <v>1609</v>
      </c>
      <c r="C350" s="376"/>
      <c r="D350" s="376">
        <v>2022</v>
      </c>
      <c r="E350" s="376">
        <v>2028</v>
      </c>
      <c r="F350" s="376">
        <v>0.98</v>
      </c>
      <c r="G350" s="376">
        <v>5705.3347119527834</v>
      </c>
      <c r="H350" s="376">
        <v>5263.9211598497559</v>
      </c>
      <c r="I350" s="376">
        <v>1</v>
      </c>
    </row>
    <row r="351" spans="1:9" x14ac:dyDescent="0.35">
      <c r="A351" s="376" t="s">
        <v>1851</v>
      </c>
      <c r="B351" s="376" t="s">
        <v>1609</v>
      </c>
      <c r="C351" s="376"/>
      <c r="D351" s="376">
        <v>2023</v>
      </c>
      <c r="E351" s="376">
        <v>2028</v>
      </c>
      <c r="F351" s="376">
        <v>0.98</v>
      </c>
      <c r="G351" s="376">
        <v>5705.3347119527834</v>
      </c>
      <c r="H351" s="376">
        <v>5263.9211598497559</v>
      </c>
      <c r="I351" s="376">
        <v>1</v>
      </c>
    </row>
    <row r="352" spans="1:9" x14ac:dyDescent="0.35">
      <c r="A352" s="376" t="s">
        <v>1851</v>
      </c>
      <c r="B352" s="376" t="s">
        <v>1609</v>
      </c>
      <c r="C352" s="376"/>
      <c r="D352" s="376">
        <v>2024</v>
      </c>
      <c r="E352" s="376">
        <v>2028</v>
      </c>
      <c r="F352" s="376">
        <v>0.98</v>
      </c>
      <c r="G352" s="376">
        <v>5705.3347119527834</v>
      </c>
      <c r="H352" s="376">
        <v>5263.9211598497559</v>
      </c>
      <c r="I352" s="376">
        <v>1</v>
      </c>
    </row>
    <row r="353" spans="1:9" x14ac:dyDescent="0.35">
      <c r="A353" s="376" t="s">
        <v>1851</v>
      </c>
      <c r="B353" s="376" t="s">
        <v>1609</v>
      </c>
      <c r="C353" s="376"/>
      <c r="D353" s="376">
        <v>2025</v>
      </c>
      <c r="E353" s="376">
        <v>2028</v>
      </c>
      <c r="F353" s="376">
        <v>0.98</v>
      </c>
      <c r="G353" s="376">
        <v>5705.3347119527834</v>
      </c>
      <c r="H353" s="376">
        <v>5263.9211598497559</v>
      </c>
      <c r="I353" s="376">
        <v>1</v>
      </c>
    </row>
    <row r="354" spans="1:9" x14ac:dyDescent="0.35">
      <c r="A354" s="376" t="s">
        <v>1851</v>
      </c>
      <c r="B354" s="376" t="s">
        <v>1609</v>
      </c>
      <c r="C354" s="376"/>
      <c r="D354" s="376">
        <v>2026</v>
      </c>
      <c r="E354" s="376">
        <v>2028</v>
      </c>
      <c r="F354" s="376">
        <v>0.98</v>
      </c>
      <c r="G354" s="376">
        <v>5705.3347119527834</v>
      </c>
      <c r="H354" s="376">
        <v>5263.9211598497559</v>
      </c>
      <c r="I354" s="376">
        <v>1</v>
      </c>
    </row>
    <row r="355" spans="1:9" x14ac:dyDescent="0.35">
      <c r="A355" s="376" t="s">
        <v>1851</v>
      </c>
      <c r="B355" s="376" t="s">
        <v>1609</v>
      </c>
      <c r="C355" s="376"/>
      <c r="D355" s="376">
        <v>2027</v>
      </c>
      <c r="E355" s="376">
        <v>2028</v>
      </c>
      <c r="F355" s="376">
        <v>0.98</v>
      </c>
      <c r="G355" s="376">
        <v>5705.3347119527834</v>
      </c>
      <c r="H355" s="376">
        <v>5263.9211598497559</v>
      </c>
      <c r="I355" s="376">
        <v>1</v>
      </c>
    </row>
    <row r="356" spans="1:9" x14ac:dyDescent="0.35">
      <c r="A356" s="376" t="s">
        <v>1851</v>
      </c>
      <c r="B356" s="376" t="s">
        <v>1609</v>
      </c>
      <c r="C356" s="376"/>
      <c r="D356" s="376">
        <v>2028</v>
      </c>
      <c r="E356" s="376">
        <v>2028</v>
      </c>
      <c r="F356" s="376">
        <v>0.98</v>
      </c>
      <c r="G356" s="376">
        <v>5705.3347119527834</v>
      </c>
      <c r="H356" s="376">
        <v>5263.9211598497559</v>
      </c>
      <c r="I356" s="376">
        <v>1</v>
      </c>
    </row>
    <row r="357" spans="1:9" x14ac:dyDescent="0.35">
      <c r="A357" s="376" t="s">
        <v>1851</v>
      </c>
      <c r="B357" s="376" t="s">
        <v>1609</v>
      </c>
      <c r="C357" s="376"/>
      <c r="D357" s="376">
        <v>2021</v>
      </c>
      <c r="E357" s="376">
        <v>2029</v>
      </c>
      <c r="F357" s="376">
        <v>0.98</v>
      </c>
      <c r="G357" s="376">
        <v>5705.3347119527834</v>
      </c>
      <c r="H357" s="376">
        <v>5263.9211598497559</v>
      </c>
      <c r="I357" s="376">
        <v>1</v>
      </c>
    </row>
    <row r="358" spans="1:9" x14ac:dyDescent="0.35">
      <c r="A358" s="376" t="s">
        <v>1851</v>
      </c>
      <c r="B358" s="376" t="s">
        <v>1609</v>
      </c>
      <c r="C358" s="376"/>
      <c r="D358" s="376">
        <v>2022</v>
      </c>
      <c r="E358" s="376">
        <v>2029</v>
      </c>
      <c r="F358" s="376">
        <v>0.98</v>
      </c>
      <c r="G358" s="376">
        <v>5705.3347119527834</v>
      </c>
      <c r="H358" s="376">
        <v>5263.9211598497559</v>
      </c>
      <c r="I358" s="376">
        <v>1</v>
      </c>
    </row>
    <row r="359" spans="1:9" x14ac:dyDescent="0.35">
      <c r="A359" s="376" t="s">
        <v>1851</v>
      </c>
      <c r="B359" s="376" t="s">
        <v>1609</v>
      </c>
      <c r="C359" s="376"/>
      <c r="D359" s="376">
        <v>2023</v>
      </c>
      <c r="E359" s="376">
        <v>2029</v>
      </c>
      <c r="F359" s="376">
        <v>0.98</v>
      </c>
      <c r="G359" s="376">
        <v>5705.3347119527834</v>
      </c>
      <c r="H359" s="376">
        <v>5263.9211598497559</v>
      </c>
      <c r="I359" s="376">
        <v>1</v>
      </c>
    </row>
    <row r="360" spans="1:9" x14ac:dyDescent="0.35">
      <c r="A360" s="376" t="s">
        <v>1851</v>
      </c>
      <c r="B360" s="376" t="s">
        <v>1609</v>
      </c>
      <c r="C360" s="376"/>
      <c r="D360" s="376">
        <v>2024</v>
      </c>
      <c r="E360" s="376">
        <v>2029</v>
      </c>
      <c r="F360" s="376">
        <v>0.98</v>
      </c>
      <c r="G360" s="376">
        <v>5705.3347119527834</v>
      </c>
      <c r="H360" s="376">
        <v>5263.9211598497559</v>
      </c>
      <c r="I360" s="376">
        <v>1</v>
      </c>
    </row>
    <row r="361" spans="1:9" x14ac:dyDescent="0.35">
      <c r="A361" s="376" t="s">
        <v>1851</v>
      </c>
      <c r="B361" s="376" t="s">
        <v>1609</v>
      </c>
      <c r="C361" s="376"/>
      <c r="D361" s="376">
        <v>2025</v>
      </c>
      <c r="E361" s="376">
        <v>2029</v>
      </c>
      <c r="F361" s="376">
        <v>0.98</v>
      </c>
      <c r="G361" s="376">
        <v>5705.3347119527834</v>
      </c>
      <c r="H361" s="376">
        <v>5263.9211598497559</v>
      </c>
      <c r="I361" s="376">
        <v>1</v>
      </c>
    </row>
    <row r="362" spans="1:9" x14ac:dyDescent="0.35">
      <c r="A362" s="376" t="s">
        <v>1851</v>
      </c>
      <c r="B362" s="376" t="s">
        <v>1609</v>
      </c>
      <c r="C362" s="376"/>
      <c r="D362" s="376">
        <v>2026</v>
      </c>
      <c r="E362" s="376">
        <v>2029</v>
      </c>
      <c r="F362" s="376">
        <v>0.98</v>
      </c>
      <c r="G362" s="376">
        <v>5705.3347119527834</v>
      </c>
      <c r="H362" s="376">
        <v>5263.9211598497559</v>
      </c>
      <c r="I362" s="376">
        <v>1</v>
      </c>
    </row>
    <row r="363" spans="1:9" x14ac:dyDescent="0.35">
      <c r="A363" s="376" t="s">
        <v>1851</v>
      </c>
      <c r="B363" s="376" t="s">
        <v>1609</v>
      </c>
      <c r="C363" s="376"/>
      <c r="D363" s="376">
        <v>2027</v>
      </c>
      <c r="E363" s="376">
        <v>2029</v>
      </c>
      <c r="F363" s="376">
        <v>0.98</v>
      </c>
      <c r="G363" s="376">
        <v>5705.3347119527834</v>
      </c>
      <c r="H363" s="376">
        <v>5263.9211598497559</v>
      </c>
      <c r="I363" s="376">
        <v>1</v>
      </c>
    </row>
    <row r="364" spans="1:9" x14ac:dyDescent="0.35">
      <c r="A364" s="376" t="s">
        <v>1851</v>
      </c>
      <c r="B364" s="376" t="s">
        <v>1609</v>
      </c>
      <c r="C364" s="376"/>
      <c r="D364" s="376">
        <v>2028</v>
      </c>
      <c r="E364" s="376">
        <v>2029</v>
      </c>
      <c r="F364" s="376">
        <v>0.98</v>
      </c>
      <c r="G364" s="376">
        <v>5705.3347119527834</v>
      </c>
      <c r="H364" s="376">
        <v>5263.9211598497559</v>
      </c>
      <c r="I364" s="376">
        <v>1</v>
      </c>
    </row>
    <row r="365" spans="1:9" x14ac:dyDescent="0.35">
      <c r="A365" s="376" t="s">
        <v>1851</v>
      </c>
      <c r="B365" s="376" t="s">
        <v>1609</v>
      </c>
      <c r="C365" s="376"/>
      <c r="D365" s="376">
        <v>2029</v>
      </c>
      <c r="E365" s="376">
        <v>2029</v>
      </c>
      <c r="F365" s="376">
        <v>0.98</v>
      </c>
      <c r="G365" s="376">
        <v>5705.3347119527834</v>
      </c>
      <c r="H365" s="376">
        <v>5263.9211598497559</v>
      </c>
      <c r="I365" s="376">
        <v>1</v>
      </c>
    </row>
    <row r="366" spans="1:9" x14ac:dyDescent="0.35">
      <c r="A366" s="376" t="s">
        <v>1851</v>
      </c>
      <c r="B366" s="376" t="s">
        <v>1609</v>
      </c>
      <c r="C366" s="376"/>
      <c r="D366" s="376">
        <v>2021</v>
      </c>
      <c r="E366" s="376">
        <v>2030</v>
      </c>
      <c r="F366" s="376">
        <v>0.98</v>
      </c>
      <c r="G366" s="376">
        <v>5705.3347119527834</v>
      </c>
      <c r="H366" s="376">
        <v>5263.9211598497559</v>
      </c>
      <c r="I366" s="376">
        <v>1</v>
      </c>
    </row>
    <row r="367" spans="1:9" x14ac:dyDescent="0.35">
      <c r="A367" s="376" t="s">
        <v>1851</v>
      </c>
      <c r="B367" s="376" t="s">
        <v>1609</v>
      </c>
      <c r="C367" s="376"/>
      <c r="D367" s="376">
        <v>2022</v>
      </c>
      <c r="E367" s="376">
        <v>2030</v>
      </c>
      <c r="F367" s="376">
        <v>0.98</v>
      </c>
      <c r="G367" s="376">
        <v>5705.3347119527834</v>
      </c>
      <c r="H367" s="376">
        <v>5263.9211598497559</v>
      </c>
      <c r="I367" s="376">
        <v>1</v>
      </c>
    </row>
    <row r="368" spans="1:9" x14ac:dyDescent="0.35">
      <c r="A368" s="376" t="s">
        <v>1851</v>
      </c>
      <c r="B368" s="376" t="s">
        <v>1609</v>
      </c>
      <c r="C368" s="376"/>
      <c r="D368" s="376">
        <v>2023</v>
      </c>
      <c r="E368" s="376">
        <v>2030</v>
      </c>
      <c r="F368" s="376">
        <v>0.98</v>
      </c>
      <c r="G368" s="376">
        <v>5705.3347119527834</v>
      </c>
      <c r="H368" s="376">
        <v>5263.9211598497559</v>
      </c>
      <c r="I368" s="376">
        <v>1</v>
      </c>
    </row>
    <row r="369" spans="1:9" x14ac:dyDescent="0.35">
      <c r="A369" s="376" t="s">
        <v>1851</v>
      </c>
      <c r="B369" s="376" t="s">
        <v>1609</v>
      </c>
      <c r="C369" s="376"/>
      <c r="D369" s="376">
        <v>2024</v>
      </c>
      <c r="E369" s="376">
        <v>2030</v>
      </c>
      <c r="F369" s="376">
        <v>0.98</v>
      </c>
      <c r="G369" s="376">
        <v>5705.3347119527834</v>
      </c>
      <c r="H369" s="376">
        <v>5263.9211598497559</v>
      </c>
      <c r="I369" s="376">
        <v>1</v>
      </c>
    </row>
    <row r="370" spans="1:9" x14ac:dyDescent="0.35">
      <c r="A370" s="376" t="s">
        <v>1851</v>
      </c>
      <c r="B370" s="376" t="s">
        <v>1609</v>
      </c>
      <c r="C370" s="376"/>
      <c r="D370" s="376">
        <v>2025</v>
      </c>
      <c r="E370" s="376">
        <v>2030</v>
      </c>
      <c r="F370" s="376">
        <v>0.98</v>
      </c>
      <c r="G370" s="376">
        <v>5705.3347119527834</v>
      </c>
      <c r="H370" s="376">
        <v>5263.9211598497559</v>
      </c>
      <c r="I370" s="376">
        <v>1</v>
      </c>
    </row>
    <row r="371" spans="1:9" x14ac:dyDescent="0.35">
      <c r="A371" s="376" t="s">
        <v>1851</v>
      </c>
      <c r="B371" s="376" t="s">
        <v>1609</v>
      </c>
      <c r="C371" s="376"/>
      <c r="D371" s="376">
        <v>2026</v>
      </c>
      <c r="E371" s="376">
        <v>2030</v>
      </c>
      <c r="F371" s="376">
        <v>0.98</v>
      </c>
      <c r="G371" s="376">
        <v>5705.3347119527834</v>
      </c>
      <c r="H371" s="376">
        <v>5263.9211598497559</v>
      </c>
      <c r="I371" s="376">
        <v>1</v>
      </c>
    </row>
    <row r="372" spans="1:9" x14ac:dyDescent="0.35">
      <c r="A372" s="376" t="s">
        <v>1851</v>
      </c>
      <c r="B372" s="376" t="s">
        <v>1609</v>
      </c>
      <c r="C372" s="376"/>
      <c r="D372" s="376">
        <v>2027</v>
      </c>
      <c r="E372" s="376">
        <v>2030</v>
      </c>
      <c r="F372" s="376">
        <v>0.98</v>
      </c>
      <c r="G372" s="376">
        <v>5705.3347119527834</v>
      </c>
      <c r="H372" s="376">
        <v>5263.9211598497559</v>
      </c>
      <c r="I372" s="376">
        <v>1</v>
      </c>
    </row>
    <row r="373" spans="1:9" x14ac:dyDescent="0.35">
      <c r="A373" s="376" t="s">
        <v>1851</v>
      </c>
      <c r="B373" s="376" t="s">
        <v>1609</v>
      </c>
      <c r="C373" s="376"/>
      <c r="D373" s="376">
        <v>2028</v>
      </c>
      <c r="E373" s="376">
        <v>2030</v>
      </c>
      <c r="F373" s="376">
        <v>0.98</v>
      </c>
      <c r="G373" s="376">
        <v>5705.3347119527834</v>
      </c>
      <c r="H373" s="376">
        <v>5263.9211598497559</v>
      </c>
      <c r="I373" s="376">
        <v>1</v>
      </c>
    </row>
    <row r="374" spans="1:9" x14ac:dyDescent="0.35">
      <c r="A374" s="376" t="s">
        <v>1851</v>
      </c>
      <c r="B374" s="376" t="s">
        <v>1609</v>
      </c>
      <c r="C374" s="376"/>
      <c r="D374" s="376">
        <v>2029</v>
      </c>
      <c r="E374" s="376">
        <v>2030</v>
      </c>
      <c r="F374" s="376">
        <v>0.98</v>
      </c>
      <c r="G374" s="376">
        <v>5705.3347119527834</v>
      </c>
      <c r="H374" s="376">
        <v>5263.9211598497559</v>
      </c>
      <c r="I374" s="376">
        <v>1</v>
      </c>
    </row>
    <row r="375" spans="1:9" x14ac:dyDescent="0.35">
      <c r="A375" s="376" t="s">
        <v>1851</v>
      </c>
      <c r="B375" s="376" t="s">
        <v>1609</v>
      </c>
      <c r="C375" s="376"/>
      <c r="D375" s="376">
        <v>2030</v>
      </c>
      <c r="E375" s="376">
        <v>2030</v>
      </c>
      <c r="F375" s="376">
        <v>0.98</v>
      </c>
      <c r="G375" s="376">
        <v>5705.3347119527834</v>
      </c>
      <c r="H375" s="376">
        <v>5263.9211598497559</v>
      </c>
      <c r="I375" s="376">
        <v>1</v>
      </c>
    </row>
    <row r="376" spans="1:9" x14ac:dyDescent="0.35">
      <c r="A376" s="376" t="s">
        <v>1851</v>
      </c>
      <c r="B376" s="376" t="s">
        <v>1609</v>
      </c>
      <c r="C376" s="376"/>
      <c r="D376" s="376">
        <v>2021</v>
      </c>
      <c r="E376" s="376">
        <v>2031</v>
      </c>
      <c r="F376" s="376">
        <v>0.98</v>
      </c>
      <c r="G376" s="376">
        <v>5705.3347119527834</v>
      </c>
      <c r="H376" s="376">
        <v>5263.9211598497559</v>
      </c>
      <c r="I376" s="376">
        <v>1</v>
      </c>
    </row>
    <row r="377" spans="1:9" x14ac:dyDescent="0.35">
      <c r="A377" s="376" t="s">
        <v>1851</v>
      </c>
      <c r="B377" s="376" t="s">
        <v>1609</v>
      </c>
      <c r="C377" s="376"/>
      <c r="D377" s="376">
        <v>2022</v>
      </c>
      <c r="E377" s="376">
        <v>2031</v>
      </c>
      <c r="F377" s="376">
        <v>0.98</v>
      </c>
      <c r="G377" s="376">
        <v>5705.3347119527834</v>
      </c>
      <c r="H377" s="376">
        <v>5263.9211598497559</v>
      </c>
      <c r="I377" s="376">
        <v>1</v>
      </c>
    </row>
    <row r="378" spans="1:9" x14ac:dyDescent="0.35">
      <c r="A378" s="376" t="s">
        <v>1851</v>
      </c>
      <c r="B378" s="376" t="s">
        <v>1609</v>
      </c>
      <c r="C378" s="376"/>
      <c r="D378" s="376">
        <v>2023</v>
      </c>
      <c r="E378" s="376">
        <v>2031</v>
      </c>
      <c r="F378" s="376">
        <v>0.98</v>
      </c>
      <c r="G378" s="376">
        <v>5705.3347119527834</v>
      </c>
      <c r="H378" s="376">
        <v>5263.9211598497559</v>
      </c>
      <c r="I378" s="376">
        <v>1</v>
      </c>
    </row>
    <row r="379" spans="1:9" x14ac:dyDescent="0.35">
      <c r="A379" s="376" t="s">
        <v>1851</v>
      </c>
      <c r="B379" s="376" t="s">
        <v>1609</v>
      </c>
      <c r="C379" s="376"/>
      <c r="D379" s="376">
        <v>2024</v>
      </c>
      <c r="E379" s="376">
        <v>2031</v>
      </c>
      <c r="F379" s="376">
        <v>0.98</v>
      </c>
      <c r="G379" s="376">
        <v>5705.3347119527834</v>
      </c>
      <c r="H379" s="376">
        <v>5263.9211598497559</v>
      </c>
      <c r="I379" s="376">
        <v>1</v>
      </c>
    </row>
    <row r="380" spans="1:9" x14ac:dyDescent="0.35">
      <c r="A380" s="376" t="s">
        <v>1851</v>
      </c>
      <c r="B380" s="376" t="s">
        <v>1609</v>
      </c>
      <c r="C380" s="376"/>
      <c r="D380" s="376">
        <v>2025</v>
      </c>
      <c r="E380" s="376">
        <v>2031</v>
      </c>
      <c r="F380" s="376">
        <v>0.98</v>
      </c>
      <c r="G380" s="376">
        <v>5705.3347119527834</v>
      </c>
      <c r="H380" s="376">
        <v>5263.9211598497559</v>
      </c>
      <c r="I380" s="376">
        <v>1</v>
      </c>
    </row>
    <row r="381" spans="1:9" x14ac:dyDescent="0.35">
      <c r="A381" s="376" t="s">
        <v>1851</v>
      </c>
      <c r="B381" s="376" t="s">
        <v>1609</v>
      </c>
      <c r="C381" s="376"/>
      <c r="D381" s="376">
        <v>2026</v>
      </c>
      <c r="E381" s="376">
        <v>2031</v>
      </c>
      <c r="F381" s="376">
        <v>0.98</v>
      </c>
      <c r="G381" s="376">
        <v>5705.3347119527834</v>
      </c>
      <c r="H381" s="376">
        <v>5263.9211598497559</v>
      </c>
      <c r="I381" s="376">
        <v>1</v>
      </c>
    </row>
    <row r="382" spans="1:9" x14ac:dyDescent="0.35">
      <c r="A382" s="376" t="s">
        <v>1851</v>
      </c>
      <c r="B382" s="376" t="s">
        <v>1609</v>
      </c>
      <c r="C382" s="376"/>
      <c r="D382" s="376">
        <v>2027</v>
      </c>
      <c r="E382" s="376">
        <v>2031</v>
      </c>
      <c r="F382" s="376">
        <v>0.98</v>
      </c>
      <c r="G382" s="376">
        <v>5705.3347119527834</v>
      </c>
      <c r="H382" s="376">
        <v>5263.9211598497559</v>
      </c>
      <c r="I382" s="376">
        <v>1</v>
      </c>
    </row>
    <row r="383" spans="1:9" x14ac:dyDescent="0.35">
      <c r="A383" s="376" t="s">
        <v>1851</v>
      </c>
      <c r="B383" s="376" t="s">
        <v>1609</v>
      </c>
      <c r="C383" s="376"/>
      <c r="D383" s="376">
        <v>2028</v>
      </c>
      <c r="E383" s="376">
        <v>2031</v>
      </c>
      <c r="F383" s="376">
        <v>0.98</v>
      </c>
      <c r="G383" s="376">
        <v>5705.3347119527834</v>
      </c>
      <c r="H383" s="376">
        <v>5263.9211598497559</v>
      </c>
      <c r="I383" s="376">
        <v>1</v>
      </c>
    </row>
    <row r="384" spans="1:9" x14ac:dyDescent="0.35">
      <c r="A384" s="376" t="s">
        <v>1851</v>
      </c>
      <c r="B384" s="376" t="s">
        <v>1609</v>
      </c>
      <c r="C384" s="376"/>
      <c r="D384" s="376">
        <v>2029</v>
      </c>
      <c r="E384" s="376">
        <v>2031</v>
      </c>
      <c r="F384" s="376">
        <v>0.98</v>
      </c>
      <c r="G384" s="376">
        <v>5705.3347119527834</v>
      </c>
      <c r="H384" s="376">
        <v>5263.9211598497559</v>
      </c>
      <c r="I384" s="376">
        <v>1</v>
      </c>
    </row>
    <row r="385" spans="1:9" x14ac:dyDescent="0.35">
      <c r="A385" s="376" t="s">
        <v>1851</v>
      </c>
      <c r="B385" s="376" t="s">
        <v>1609</v>
      </c>
      <c r="C385" s="376"/>
      <c r="D385" s="376">
        <v>2030</v>
      </c>
      <c r="E385" s="376">
        <v>2031</v>
      </c>
      <c r="F385" s="376">
        <v>0.98</v>
      </c>
      <c r="G385" s="376">
        <v>5705.3347119527834</v>
      </c>
      <c r="H385" s="376">
        <v>5263.9211598497559</v>
      </c>
      <c r="I385" s="376">
        <v>1</v>
      </c>
    </row>
    <row r="386" spans="1:9" x14ac:dyDescent="0.35">
      <c r="A386" s="376" t="s">
        <v>1851</v>
      </c>
      <c r="B386" s="376" t="s">
        <v>1609</v>
      </c>
      <c r="C386" s="376"/>
      <c r="D386" s="376">
        <v>2031</v>
      </c>
      <c r="E386" s="376">
        <v>2031</v>
      </c>
      <c r="F386" s="376">
        <v>0.98</v>
      </c>
      <c r="G386" s="376">
        <v>5705.3347119527834</v>
      </c>
      <c r="H386" s="376">
        <v>5263.9211598497559</v>
      </c>
      <c r="I386" s="376">
        <v>1</v>
      </c>
    </row>
    <row r="387" spans="1:9" x14ac:dyDescent="0.35">
      <c r="A387" s="376" t="s">
        <v>1612</v>
      </c>
      <c r="B387" s="376" t="s">
        <v>1609</v>
      </c>
      <c r="C387" s="376" t="s">
        <v>1046</v>
      </c>
      <c r="D387" s="376">
        <v>2020</v>
      </c>
      <c r="E387" s="376">
        <v>2021</v>
      </c>
      <c r="F387" s="376">
        <v>0.35737526128209052</v>
      </c>
      <c r="G387" s="376">
        <v>9502.3418881715443</v>
      </c>
      <c r="H387" s="376">
        <v>0.25</v>
      </c>
      <c r="I387" s="376">
        <v>0.85</v>
      </c>
    </row>
    <row r="388" spans="1:9" x14ac:dyDescent="0.35">
      <c r="A388" s="376" t="s">
        <v>1612</v>
      </c>
      <c r="B388" s="376" t="s">
        <v>1609</v>
      </c>
      <c r="C388" s="376" t="s">
        <v>1046</v>
      </c>
      <c r="D388" s="376">
        <v>2020</v>
      </c>
      <c r="E388" s="376">
        <v>2022</v>
      </c>
      <c r="F388" s="376">
        <v>0.35737526128209052</v>
      </c>
      <c r="G388" s="376">
        <v>9518.7199420321649</v>
      </c>
      <c r="H388" s="376">
        <v>0.25</v>
      </c>
      <c r="I388" s="376">
        <v>0.85</v>
      </c>
    </row>
    <row r="389" spans="1:9" x14ac:dyDescent="0.35">
      <c r="A389" s="376" t="s">
        <v>1612</v>
      </c>
      <c r="B389" s="376" t="s">
        <v>1609</v>
      </c>
      <c r="C389" s="376" t="s">
        <v>1046</v>
      </c>
      <c r="D389" s="376">
        <v>2020</v>
      </c>
      <c r="E389" s="376">
        <v>2023</v>
      </c>
      <c r="F389" s="376">
        <v>0.35737526128209052</v>
      </c>
      <c r="G389" s="376">
        <v>9535.1262247916638</v>
      </c>
      <c r="H389" s="376">
        <v>0.25</v>
      </c>
      <c r="I389" s="376">
        <v>0.85</v>
      </c>
    </row>
    <row r="390" spans="1:9" x14ac:dyDescent="0.35">
      <c r="A390" s="376" t="s">
        <v>1612</v>
      </c>
      <c r="B390" s="376" t="s">
        <v>1609</v>
      </c>
      <c r="C390" s="376" t="s">
        <v>1046</v>
      </c>
      <c r="D390" s="376">
        <v>2020</v>
      </c>
      <c r="E390" s="376">
        <v>2024</v>
      </c>
      <c r="F390" s="376">
        <v>0.35737526128209052</v>
      </c>
      <c r="G390" s="376">
        <v>9551.560785104828</v>
      </c>
      <c r="H390" s="376">
        <v>0.25</v>
      </c>
      <c r="I390" s="376">
        <v>0.85</v>
      </c>
    </row>
    <row r="391" spans="1:9" x14ac:dyDescent="0.35">
      <c r="A391" s="376" t="s">
        <v>1612</v>
      </c>
      <c r="B391" s="376" t="s">
        <v>1609</v>
      </c>
      <c r="C391" s="376" t="s">
        <v>1046</v>
      </c>
      <c r="D391" s="376">
        <v>2020</v>
      </c>
      <c r="E391" s="376">
        <v>2025</v>
      </c>
      <c r="F391" s="376">
        <v>0.35737526128209052</v>
      </c>
      <c r="G391" s="376">
        <v>9568.0236717103053</v>
      </c>
      <c r="H391" s="376">
        <v>0.25</v>
      </c>
      <c r="I391" s="376">
        <v>0.85</v>
      </c>
    </row>
    <row r="392" spans="1:9" x14ac:dyDescent="0.35">
      <c r="A392" s="376" t="s">
        <v>1612</v>
      </c>
      <c r="B392" s="376" t="s">
        <v>1609</v>
      </c>
      <c r="C392" s="376" t="s">
        <v>1046</v>
      </c>
      <c r="D392" s="376">
        <v>2020</v>
      </c>
      <c r="E392" s="376">
        <v>2026</v>
      </c>
      <c r="F392" s="376">
        <v>0.35737526128209052</v>
      </c>
      <c r="G392" s="376">
        <v>9584.514933430748</v>
      </c>
      <c r="H392" s="376">
        <v>0.25</v>
      </c>
      <c r="I392" s="376">
        <v>0.85</v>
      </c>
    </row>
    <row r="393" spans="1:9" x14ac:dyDescent="0.35">
      <c r="A393" s="376" t="s">
        <v>1612</v>
      </c>
      <c r="B393" s="376" t="s">
        <v>1609</v>
      </c>
      <c r="C393" s="376" t="s">
        <v>1046</v>
      </c>
      <c r="D393" s="376">
        <v>2020</v>
      </c>
      <c r="E393" s="376">
        <v>2027</v>
      </c>
      <c r="F393" s="376">
        <v>0.35737526128209052</v>
      </c>
      <c r="G393" s="376">
        <v>9601.0346191729604</v>
      </c>
      <c r="H393" s="376">
        <v>0.25</v>
      </c>
      <c r="I393" s="376">
        <v>0.85</v>
      </c>
    </row>
    <row r="394" spans="1:9" x14ac:dyDescent="0.35">
      <c r="A394" s="376" t="s">
        <v>1612</v>
      </c>
      <c r="B394" s="376" t="s">
        <v>1609</v>
      </c>
      <c r="C394" s="376" t="s">
        <v>1046</v>
      </c>
      <c r="D394" s="376">
        <v>2020</v>
      </c>
      <c r="E394" s="376">
        <v>2028</v>
      </c>
      <c r="F394" s="376">
        <v>0.35737526128209052</v>
      </c>
      <c r="G394" s="376">
        <v>9617.5827779280389</v>
      </c>
      <c r="H394" s="376">
        <v>0.25</v>
      </c>
      <c r="I394" s="376">
        <v>0.85</v>
      </c>
    </row>
    <row r="395" spans="1:9" x14ac:dyDescent="0.35">
      <c r="A395" s="376" t="s">
        <v>1612</v>
      </c>
      <c r="B395" s="376" t="s">
        <v>1609</v>
      </c>
      <c r="C395" s="376" t="s">
        <v>1046</v>
      </c>
      <c r="D395" s="376">
        <v>2020</v>
      </c>
      <c r="E395" s="376">
        <v>2029</v>
      </c>
      <c r="F395" s="376">
        <v>0.35737526128209052</v>
      </c>
      <c r="G395" s="376">
        <v>9634.1594587715226</v>
      </c>
      <c r="H395" s="376">
        <v>0.25</v>
      </c>
      <c r="I395" s="376">
        <v>0.85</v>
      </c>
    </row>
    <row r="396" spans="1:9" x14ac:dyDescent="0.35">
      <c r="A396" s="376" t="s">
        <v>1612</v>
      </c>
      <c r="B396" s="376" t="s">
        <v>1609</v>
      </c>
      <c r="C396" s="376" t="s">
        <v>1046</v>
      </c>
      <c r="D396" s="376">
        <v>2020</v>
      </c>
      <c r="E396" s="376">
        <v>2030</v>
      </c>
      <c r="F396" s="376">
        <v>0.35737526128209052</v>
      </c>
      <c r="G396" s="376">
        <v>9650.7647108635338</v>
      </c>
      <c r="H396" s="376">
        <v>0.25</v>
      </c>
      <c r="I396" s="376">
        <v>0.85</v>
      </c>
    </row>
    <row r="397" spans="1:9" x14ac:dyDescent="0.35">
      <c r="A397" s="376" t="s">
        <v>1612</v>
      </c>
      <c r="B397" s="376" t="s">
        <v>1609</v>
      </c>
      <c r="C397" s="376" t="s">
        <v>1046</v>
      </c>
      <c r="D397" s="376">
        <v>2020</v>
      </c>
      <c r="E397" s="376">
        <v>2031</v>
      </c>
      <c r="F397" s="376">
        <v>0.35737526128209052</v>
      </c>
      <c r="G397" s="376">
        <v>9667.3985834489285</v>
      </c>
      <c r="H397" s="376">
        <v>0.25</v>
      </c>
      <c r="I397" s="376">
        <v>0.85</v>
      </c>
    </row>
    <row r="398" spans="1:9" x14ac:dyDescent="0.35">
      <c r="A398" s="376" t="s">
        <v>1612</v>
      </c>
      <c r="B398" s="376" t="s">
        <v>1609</v>
      </c>
      <c r="C398" s="376" t="s">
        <v>644</v>
      </c>
      <c r="D398" s="376">
        <v>2020</v>
      </c>
      <c r="E398" s="376">
        <v>2021</v>
      </c>
      <c r="F398" s="376">
        <v>0.35737526128209052</v>
      </c>
      <c r="G398" s="376">
        <v>7765.2625235446321</v>
      </c>
      <c r="H398" s="376">
        <v>0.25</v>
      </c>
      <c r="I398" s="376">
        <v>0.85</v>
      </c>
    </row>
    <row r="399" spans="1:9" x14ac:dyDescent="0.35">
      <c r="A399" s="376" t="s">
        <v>1612</v>
      </c>
      <c r="B399" s="376" t="s">
        <v>1609</v>
      </c>
      <c r="C399" s="376" t="s">
        <v>644</v>
      </c>
      <c r="D399" s="376">
        <v>2020</v>
      </c>
      <c r="E399" s="376">
        <v>2022</v>
      </c>
      <c r="F399" s="376">
        <v>0.35737526128209052</v>
      </c>
      <c r="G399" s="376">
        <v>7778.6465807959066</v>
      </c>
      <c r="H399" s="376">
        <v>0.25</v>
      </c>
      <c r="I399" s="376">
        <v>0.85</v>
      </c>
    </row>
    <row r="400" spans="1:9" x14ac:dyDescent="0.35">
      <c r="A400" s="376" t="s">
        <v>1612</v>
      </c>
      <c r="B400" s="376" t="s">
        <v>1609</v>
      </c>
      <c r="C400" s="376" t="s">
        <v>644</v>
      </c>
      <c r="D400" s="376">
        <v>2020</v>
      </c>
      <c r="E400" s="376">
        <v>2023</v>
      </c>
      <c r="F400" s="376">
        <v>0.35737526128209052</v>
      </c>
      <c r="G400" s="376">
        <v>7792.0537065510425</v>
      </c>
      <c r="H400" s="376">
        <v>0.25</v>
      </c>
      <c r="I400" s="376">
        <v>0.85</v>
      </c>
    </row>
    <row r="401" spans="1:9" x14ac:dyDescent="0.35">
      <c r="A401" s="376" t="s">
        <v>1612</v>
      </c>
      <c r="B401" s="376" t="s">
        <v>1609</v>
      </c>
      <c r="C401" s="376" t="s">
        <v>644</v>
      </c>
      <c r="D401" s="376">
        <v>2020</v>
      </c>
      <c r="E401" s="376">
        <v>2024</v>
      </c>
      <c r="F401" s="376">
        <v>0.35737526128209052</v>
      </c>
      <c r="G401" s="376">
        <v>7805.4839405704688</v>
      </c>
      <c r="H401" s="376">
        <v>0.25</v>
      </c>
      <c r="I401" s="376">
        <v>0.85</v>
      </c>
    </row>
    <row r="402" spans="1:9" x14ac:dyDescent="0.35">
      <c r="A402" s="376" t="s">
        <v>1612</v>
      </c>
      <c r="B402" s="376" t="s">
        <v>1609</v>
      </c>
      <c r="C402" s="376" t="s">
        <v>644</v>
      </c>
      <c r="D402" s="376">
        <v>2020</v>
      </c>
      <c r="E402" s="376">
        <v>2025</v>
      </c>
      <c r="F402" s="376">
        <v>0.35737526128209052</v>
      </c>
      <c r="G402" s="376">
        <v>7818.9373226831458</v>
      </c>
      <c r="H402" s="376">
        <v>0.25</v>
      </c>
      <c r="I402" s="376">
        <v>0.85</v>
      </c>
    </row>
    <row r="403" spans="1:9" x14ac:dyDescent="0.35">
      <c r="A403" s="376" t="s">
        <v>1612</v>
      </c>
      <c r="B403" s="376" t="s">
        <v>1609</v>
      </c>
      <c r="C403" s="376" t="s">
        <v>644</v>
      </c>
      <c r="D403" s="376">
        <v>2020</v>
      </c>
      <c r="E403" s="376">
        <v>2026</v>
      </c>
      <c r="F403" s="376">
        <v>0.35737526128209052</v>
      </c>
      <c r="G403" s="376">
        <v>7832.4138927866834</v>
      </c>
      <c r="H403" s="376">
        <v>0.25</v>
      </c>
      <c r="I403" s="376">
        <v>0.85</v>
      </c>
    </row>
    <row r="404" spans="1:9" x14ac:dyDescent="0.35">
      <c r="A404" s="376" t="s">
        <v>1612</v>
      </c>
      <c r="B404" s="376" t="s">
        <v>1609</v>
      </c>
      <c r="C404" s="376" t="s">
        <v>644</v>
      </c>
      <c r="D404" s="376">
        <v>2020</v>
      </c>
      <c r="E404" s="376">
        <v>2027</v>
      </c>
      <c r="F404" s="376">
        <v>0.35737526128209052</v>
      </c>
      <c r="G404" s="376">
        <v>7845.9136908474557</v>
      </c>
      <c r="H404" s="376">
        <v>0.25</v>
      </c>
      <c r="I404" s="376">
        <v>0.85</v>
      </c>
    </row>
    <row r="405" spans="1:9" x14ac:dyDescent="0.35">
      <c r="A405" s="376" t="s">
        <v>1612</v>
      </c>
      <c r="B405" s="376" t="s">
        <v>1609</v>
      </c>
      <c r="C405" s="376" t="s">
        <v>644</v>
      </c>
      <c r="D405" s="376">
        <v>2020</v>
      </c>
      <c r="E405" s="376">
        <v>2028</v>
      </c>
      <c r="F405" s="376">
        <v>0.35737526128209052</v>
      </c>
      <c r="G405" s="376">
        <v>7859.4367569007236</v>
      </c>
      <c r="H405" s="376">
        <v>0.25</v>
      </c>
      <c r="I405" s="376">
        <v>0.85</v>
      </c>
    </row>
    <row r="406" spans="1:9" x14ac:dyDescent="0.35">
      <c r="A406" s="376" t="s">
        <v>1612</v>
      </c>
      <c r="B406" s="376" t="s">
        <v>1609</v>
      </c>
      <c r="C406" s="376" t="s">
        <v>644</v>
      </c>
      <c r="D406" s="376">
        <v>2020</v>
      </c>
      <c r="E406" s="376">
        <v>2029</v>
      </c>
      <c r="F406" s="376">
        <v>0.35737526128209052</v>
      </c>
      <c r="G406" s="376">
        <v>7872.9831310507525</v>
      </c>
      <c r="H406" s="376">
        <v>0.25</v>
      </c>
      <c r="I406" s="376">
        <v>0.85</v>
      </c>
    </row>
    <row r="407" spans="1:9" x14ac:dyDescent="0.35">
      <c r="A407" s="376" t="s">
        <v>1612</v>
      </c>
      <c r="B407" s="376" t="s">
        <v>1609</v>
      </c>
      <c r="C407" s="376" t="s">
        <v>644</v>
      </c>
      <c r="D407" s="376">
        <v>2020</v>
      </c>
      <c r="E407" s="376">
        <v>2030</v>
      </c>
      <c r="F407" s="376">
        <v>0.35737526128209052</v>
      </c>
      <c r="G407" s="376">
        <v>7886.5528534709292</v>
      </c>
      <c r="H407" s="376">
        <v>0.25</v>
      </c>
      <c r="I407" s="376">
        <v>0.85</v>
      </c>
    </row>
    <row r="408" spans="1:9" x14ac:dyDescent="0.35">
      <c r="A408" s="376" t="s">
        <v>1612</v>
      </c>
      <c r="B408" s="376" t="s">
        <v>1609</v>
      </c>
      <c r="C408" s="376" t="s">
        <v>644</v>
      </c>
      <c r="D408" s="376">
        <v>2020</v>
      </c>
      <c r="E408" s="376">
        <v>2031</v>
      </c>
      <c r="F408" s="376">
        <v>0.35737526128209052</v>
      </c>
      <c r="G408" s="376">
        <v>7900.1459644038841</v>
      </c>
      <c r="H408" s="376">
        <v>0.25</v>
      </c>
      <c r="I408" s="376">
        <v>0.85</v>
      </c>
    </row>
    <row r="409" spans="1:9" x14ac:dyDescent="0.35">
      <c r="A409" s="376" t="s">
        <v>1613</v>
      </c>
      <c r="B409" s="376" t="s">
        <v>1609</v>
      </c>
      <c r="C409" s="376" t="s">
        <v>1046</v>
      </c>
      <c r="D409" s="376">
        <v>2020</v>
      </c>
      <c r="E409" s="376">
        <v>2021</v>
      </c>
      <c r="F409" s="376">
        <v>0.40444272241720852</v>
      </c>
      <c r="G409" s="376">
        <v>3071.533602770714</v>
      </c>
      <c r="H409" s="376">
        <v>0.25</v>
      </c>
      <c r="I409" s="376">
        <v>0.85</v>
      </c>
    </row>
    <row r="410" spans="1:9" x14ac:dyDescent="0.35">
      <c r="A410" s="376" t="s">
        <v>1613</v>
      </c>
      <c r="B410" s="376" t="s">
        <v>1609</v>
      </c>
      <c r="C410" s="376" t="s">
        <v>1046</v>
      </c>
      <c r="D410" s="376">
        <v>2020</v>
      </c>
      <c r="E410" s="376">
        <v>2022</v>
      </c>
      <c r="F410" s="376">
        <v>0.40444272241720852</v>
      </c>
      <c r="G410" s="376">
        <v>3076.8276390591268</v>
      </c>
      <c r="H410" s="376">
        <v>0.25</v>
      </c>
      <c r="I410" s="376">
        <v>0.85</v>
      </c>
    </row>
    <row r="411" spans="1:9" x14ac:dyDescent="0.35">
      <c r="A411" s="376" t="s">
        <v>1613</v>
      </c>
      <c r="B411" s="376" t="s">
        <v>1609</v>
      </c>
      <c r="C411" s="376" t="s">
        <v>1046</v>
      </c>
      <c r="D411" s="376">
        <v>2020</v>
      </c>
      <c r="E411" s="376">
        <v>2023</v>
      </c>
      <c r="F411" s="376">
        <v>0.40444272241720852</v>
      </c>
      <c r="G411" s="376">
        <v>3082.1308000467443</v>
      </c>
      <c r="H411" s="376">
        <v>0.25</v>
      </c>
      <c r="I411" s="376">
        <v>0.85</v>
      </c>
    </row>
    <row r="412" spans="1:9" x14ac:dyDescent="0.35">
      <c r="A412" s="376" t="s">
        <v>1613</v>
      </c>
      <c r="B412" s="376" t="s">
        <v>1609</v>
      </c>
      <c r="C412" s="376" t="s">
        <v>1046</v>
      </c>
      <c r="D412" s="376">
        <v>2020</v>
      </c>
      <c r="E412" s="376">
        <v>2024</v>
      </c>
      <c r="F412" s="376">
        <v>0.40444272241720852</v>
      </c>
      <c r="G412" s="376">
        <v>3087.443101460723</v>
      </c>
      <c r="H412" s="376">
        <v>0.25</v>
      </c>
      <c r="I412" s="376">
        <v>0.85</v>
      </c>
    </row>
    <row r="413" spans="1:9" x14ac:dyDescent="0.35">
      <c r="A413" s="376" t="s">
        <v>1613</v>
      </c>
      <c r="B413" s="376" t="s">
        <v>1609</v>
      </c>
      <c r="C413" s="376" t="s">
        <v>1046</v>
      </c>
      <c r="D413" s="376">
        <v>2020</v>
      </c>
      <c r="E413" s="376">
        <v>2025</v>
      </c>
      <c r="F413" s="376">
        <v>0.40444272241720852</v>
      </c>
      <c r="G413" s="376">
        <v>3092.7645590553261</v>
      </c>
      <c r="H413" s="376">
        <v>0.25</v>
      </c>
      <c r="I413" s="376">
        <v>0.85</v>
      </c>
    </row>
    <row r="414" spans="1:9" x14ac:dyDescent="0.35">
      <c r="A414" s="376" t="s">
        <v>1613</v>
      </c>
      <c r="B414" s="376" t="s">
        <v>1609</v>
      </c>
      <c r="C414" s="376" t="s">
        <v>1046</v>
      </c>
      <c r="D414" s="376">
        <v>2020</v>
      </c>
      <c r="E414" s="376">
        <v>2026</v>
      </c>
      <c r="F414" s="376">
        <v>0.40444272241720852</v>
      </c>
      <c r="G414" s="376">
        <v>3098.0951886119706</v>
      </c>
      <c r="H414" s="376">
        <v>0.25</v>
      </c>
      <c r="I414" s="376">
        <v>0.85</v>
      </c>
    </row>
    <row r="415" spans="1:9" x14ac:dyDescent="0.35">
      <c r="A415" s="376" t="s">
        <v>1613</v>
      </c>
      <c r="B415" s="376" t="s">
        <v>1609</v>
      </c>
      <c r="C415" s="376" t="s">
        <v>1046</v>
      </c>
      <c r="D415" s="376">
        <v>2020</v>
      </c>
      <c r="E415" s="376">
        <v>2027</v>
      </c>
      <c r="F415" s="376">
        <v>0.40444272241720852</v>
      </c>
      <c r="G415" s="376">
        <v>3103.4350059392737</v>
      </c>
      <c r="H415" s="376">
        <v>0.25</v>
      </c>
      <c r="I415" s="376">
        <v>0.85</v>
      </c>
    </row>
    <row r="416" spans="1:9" x14ac:dyDescent="0.35">
      <c r="A416" s="376" t="s">
        <v>1613</v>
      </c>
      <c r="B416" s="376" t="s">
        <v>1609</v>
      </c>
      <c r="C416" s="376" t="s">
        <v>1046</v>
      </c>
      <c r="D416" s="376">
        <v>2020</v>
      </c>
      <c r="E416" s="376">
        <v>2028</v>
      </c>
      <c r="F416" s="376">
        <v>0.40444272241720852</v>
      </c>
      <c r="G416" s="376">
        <v>3108.7840268731006</v>
      </c>
      <c r="H416" s="376">
        <v>0.25</v>
      </c>
      <c r="I416" s="376">
        <v>0.85</v>
      </c>
    </row>
    <row r="417" spans="1:9" x14ac:dyDescent="0.35">
      <c r="A417" s="376" t="s">
        <v>1613</v>
      </c>
      <c r="B417" s="376" t="s">
        <v>1609</v>
      </c>
      <c r="C417" s="376" t="s">
        <v>1046</v>
      </c>
      <c r="D417" s="376">
        <v>2020</v>
      </c>
      <c r="E417" s="376">
        <v>2029</v>
      </c>
      <c r="F417" s="376">
        <v>0.40444272241720852</v>
      </c>
      <c r="G417" s="376">
        <v>3114.1422672766103</v>
      </c>
      <c r="H417" s="376">
        <v>0.25</v>
      </c>
      <c r="I417" s="376">
        <v>0.85</v>
      </c>
    </row>
    <row r="418" spans="1:9" x14ac:dyDescent="0.35">
      <c r="A418" s="376" t="s">
        <v>1613</v>
      </c>
      <c r="B418" s="376" t="s">
        <v>1609</v>
      </c>
      <c r="C418" s="376" t="s">
        <v>1046</v>
      </c>
      <c r="D418" s="376">
        <v>2020</v>
      </c>
      <c r="E418" s="376">
        <v>2030</v>
      </c>
      <c r="F418" s="376">
        <v>0.40444272241720852</v>
      </c>
      <c r="G418" s="376">
        <v>3119.5097430403039</v>
      </c>
      <c r="H418" s="376">
        <v>0.25</v>
      </c>
      <c r="I418" s="376">
        <v>0.85</v>
      </c>
    </row>
    <row r="419" spans="1:9" x14ac:dyDescent="0.35">
      <c r="A419" s="376" t="s">
        <v>1613</v>
      </c>
      <c r="B419" s="376" t="s">
        <v>1609</v>
      </c>
      <c r="C419" s="376" t="s">
        <v>1046</v>
      </c>
      <c r="D419" s="376">
        <v>2020</v>
      </c>
      <c r="E419" s="376">
        <v>2031</v>
      </c>
      <c r="F419" s="376">
        <v>0.40444272241720852</v>
      </c>
      <c r="G419" s="376">
        <v>3124.8864700820704</v>
      </c>
      <c r="H419" s="376">
        <v>0.25</v>
      </c>
      <c r="I419" s="376">
        <v>0.85</v>
      </c>
    </row>
    <row r="420" spans="1:9" x14ac:dyDescent="0.35">
      <c r="A420" s="376" t="s">
        <v>1613</v>
      </c>
      <c r="B420" s="376" t="s">
        <v>1609</v>
      </c>
      <c r="C420" s="376" t="s">
        <v>644</v>
      </c>
      <c r="D420" s="376">
        <v>2020</v>
      </c>
      <c r="E420" s="376">
        <v>2021</v>
      </c>
      <c r="F420" s="376">
        <v>0.40444272241720852</v>
      </c>
      <c r="G420" s="376">
        <v>2472.51887629576</v>
      </c>
      <c r="H420" s="376">
        <v>0.25</v>
      </c>
      <c r="I420" s="376">
        <v>0.85</v>
      </c>
    </row>
    <row r="421" spans="1:9" x14ac:dyDescent="0.35">
      <c r="A421" s="376" t="s">
        <v>1613</v>
      </c>
      <c r="B421" s="376" t="s">
        <v>1609</v>
      </c>
      <c r="C421" s="376" t="s">
        <v>644</v>
      </c>
      <c r="D421" s="376">
        <v>2020</v>
      </c>
      <c r="E421" s="376">
        <v>2022</v>
      </c>
      <c r="F421" s="376">
        <v>0.40444272241720852</v>
      </c>
      <c r="G421" s="376">
        <v>2476.7804623136008</v>
      </c>
      <c r="H421" s="376">
        <v>0.25</v>
      </c>
      <c r="I421" s="376">
        <v>0.85</v>
      </c>
    </row>
    <row r="422" spans="1:9" x14ac:dyDescent="0.35">
      <c r="A422" s="376" t="s">
        <v>1613</v>
      </c>
      <c r="B422" s="376" t="s">
        <v>1609</v>
      </c>
      <c r="C422" s="376" t="s">
        <v>644</v>
      </c>
      <c r="D422" s="376">
        <v>2020</v>
      </c>
      <c r="E422" s="376">
        <v>2023</v>
      </c>
      <c r="F422" s="376">
        <v>0.40444272241720852</v>
      </c>
      <c r="G422" s="376">
        <v>2481.0493935192017</v>
      </c>
      <c r="H422" s="376">
        <v>0.25</v>
      </c>
      <c r="I422" s="376">
        <v>0.85</v>
      </c>
    </row>
    <row r="423" spans="1:9" x14ac:dyDescent="0.35">
      <c r="A423" s="376" t="s">
        <v>1613</v>
      </c>
      <c r="B423" s="376" t="s">
        <v>1609</v>
      </c>
      <c r="C423" s="376" t="s">
        <v>644</v>
      </c>
      <c r="D423" s="376">
        <v>2020</v>
      </c>
      <c r="E423" s="376">
        <v>2024</v>
      </c>
      <c r="F423" s="376">
        <v>0.40444272241720852</v>
      </c>
      <c r="G423" s="376">
        <v>2485.3256825725875</v>
      </c>
      <c r="H423" s="376">
        <v>0.25</v>
      </c>
      <c r="I423" s="376">
        <v>0.85</v>
      </c>
    </row>
    <row r="424" spans="1:9" x14ac:dyDescent="0.35">
      <c r="A424" s="376" t="s">
        <v>1613</v>
      </c>
      <c r="B424" s="376" t="s">
        <v>1609</v>
      </c>
      <c r="C424" s="376" t="s">
        <v>644</v>
      </c>
      <c r="D424" s="376">
        <v>2020</v>
      </c>
      <c r="E424" s="376">
        <v>2025</v>
      </c>
      <c r="F424" s="376">
        <v>0.40444272241720852</v>
      </c>
      <c r="G424" s="376">
        <v>2489.6093421556034</v>
      </c>
      <c r="H424" s="376">
        <v>0.25</v>
      </c>
      <c r="I424" s="376">
        <v>0.85</v>
      </c>
    </row>
    <row r="425" spans="1:9" x14ac:dyDescent="0.35">
      <c r="A425" s="376" t="s">
        <v>1613</v>
      </c>
      <c r="B425" s="376" t="s">
        <v>1609</v>
      </c>
      <c r="C425" s="376" t="s">
        <v>644</v>
      </c>
      <c r="D425" s="376">
        <v>2020</v>
      </c>
      <c r="E425" s="376">
        <v>2026</v>
      </c>
      <c r="F425" s="376">
        <v>0.40444272241720852</v>
      </c>
      <c r="G425" s="376">
        <v>2493.900384971952</v>
      </c>
      <c r="H425" s="376">
        <v>0.25</v>
      </c>
      <c r="I425" s="376">
        <v>0.85</v>
      </c>
    </row>
    <row r="426" spans="1:9" x14ac:dyDescent="0.35">
      <c r="A426" s="376" t="s">
        <v>1613</v>
      </c>
      <c r="B426" s="376" t="s">
        <v>1609</v>
      </c>
      <c r="C426" s="376" t="s">
        <v>644</v>
      </c>
      <c r="D426" s="376">
        <v>2020</v>
      </c>
      <c r="E426" s="376">
        <v>2027</v>
      </c>
      <c r="F426" s="376">
        <v>0.40444272241720852</v>
      </c>
      <c r="G426" s="376">
        <v>2498.1988237472328</v>
      </c>
      <c r="H426" s="376">
        <v>0.25</v>
      </c>
      <c r="I426" s="376">
        <v>0.85</v>
      </c>
    </row>
    <row r="427" spans="1:9" x14ac:dyDescent="0.35">
      <c r="A427" s="376" t="s">
        <v>1613</v>
      </c>
      <c r="B427" s="376" t="s">
        <v>1609</v>
      </c>
      <c r="C427" s="376" t="s">
        <v>644</v>
      </c>
      <c r="D427" s="376">
        <v>2020</v>
      </c>
      <c r="E427" s="376">
        <v>2028</v>
      </c>
      <c r="F427" s="376">
        <v>0.40444272241720852</v>
      </c>
      <c r="G427" s="376">
        <v>2502.5046712289786</v>
      </c>
      <c r="H427" s="376">
        <v>0.25</v>
      </c>
      <c r="I427" s="376">
        <v>0.85</v>
      </c>
    </row>
    <row r="428" spans="1:9" x14ac:dyDescent="0.35">
      <c r="A428" s="376" t="s">
        <v>1613</v>
      </c>
      <c r="B428" s="376" t="s">
        <v>1609</v>
      </c>
      <c r="C428" s="376" t="s">
        <v>644</v>
      </c>
      <c r="D428" s="376">
        <v>2020</v>
      </c>
      <c r="E428" s="376">
        <v>2029</v>
      </c>
      <c r="F428" s="376">
        <v>0.40444272241720852</v>
      </c>
      <c r="G428" s="376">
        <v>2506.8179401866932</v>
      </c>
      <c r="H428" s="376">
        <v>0.25</v>
      </c>
      <c r="I428" s="376">
        <v>0.85</v>
      </c>
    </row>
    <row r="429" spans="1:9" x14ac:dyDescent="0.35">
      <c r="A429" s="376" t="s">
        <v>1613</v>
      </c>
      <c r="B429" s="376" t="s">
        <v>1609</v>
      </c>
      <c r="C429" s="376" t="s">
        <v>644</v>
      </c>
      <c r="D429" s="376">
        <v>2020</v>
      </c>
      <c r="E429" s="376">
        <v>2030</v>
      </c>
      <c r="F429" s="376">
        <v>0.40444272241720852</v>
      </c>
      <c r="G429" s="376">
        <v>2511.1386434118904</v>
      </c>
      <c r="H429" s="376">
        <v>0.25</v>
      </c>
      <c r="I429" s="376">
        <v>0.85</v>
      </c>
    </row>
    <row r="430" spans="1:9" x14ac:dyDescent="0.35">
      <c r="A430" s="376" t="s">
        <v>1605</v>
      </c>
      <c r="B430" s="376" t="s">
        <v>1609</v>
      </c>
      <c r="C430" s="376" t="s">
        <v>1046</v>
      </c>
      <c r="D430" s="376">
        <v>2020</v>
      </c>
      <c r="E430" s="376">
        <v>2021</v>
      </c>
      <c r="F430" s="376">
        <v>0.23884589662749595</v>
      </c>
      <c r="G430" s="376">
        <v>12023.270348024485</v>
      </c>
      <c r="H430" s="376">
        <v>0</v>
      </c>
      <c r="I430" s="376">
        <v>1</v>
      </c>
    </row>
    <row r="431" spans="1:9" x14ac:dyDescent="0.35">
      <c r="A431" s="376" t="s">
        <v>1605</v>
      </c>
      <c r="B431" s="376" t="s">
        <v>1609</v>
      </c>
      <c r="C431" s="376" t="s">
        <v>1046</v>
      </c>
      <c r="D431" s="376">
        <v>2020</v>
      </c>
      <c r="E431" s="376">
        <v>2022</v>
      </c>
      <c r="F431" s="376">
        <v>0.23884589662749595</v>
      </c>
      <c r="G431" s="376">
        <v>12023.270348024485</v>
      </c>
      <c r="H431" s="376">
        <v>0</v>
      </c>
      <c r="I431" s="376">
        <v>1</v>
      </c>
    </row>
    <row r="432" spans="1:9" x14ac:dyDescent="0.35">
      <c r="A432" s="376" t="s">
        <v>1605</v>
      </c>
      <c r="B432" s="376" t="s">
        <v>1609</v>
      </c>
      <c r="C432" s="376" t="s">
        <v>1046</v>
      </c>
      <c r="D432" s="376">
        <v>2020</v>
      </c>
      <c r="E432" s="376">
        <v>2023</v>
      </c>
      <c r="F432" s="376">
        <v>0.23884589662749595</v>
      </c>
      <c r="G432" s="376">
        <v>12023.270348024485</v>
      </c>
      <c r="H432" s="376">
        <v>0</v>
      </c>
      <c r="I432" s="376">
        <v>1</v>
      </c>
    </row>
    <row r="433" spans="1:9" x14ac:dyDescent="0.35">
      <c r="A433" s="376" t="s">
        <v>1605</v>
      </c>
      <c r="B433" s="376" t="s">
        <v>1609</v>
      </c>
      <c r="C433" s="376" t="s">
        <v>1046</v>
      </c>
      <c r="D433" s="376">
        <v>2020</v>
      </c>
      <c r="E433" s="376">
        <v>2024</v>
      </c>
      <c r="F433" s="376">
        <v>0.23884589662749595</v>
      </c>
      <c r="G433" s="376">
        <v>12023.270348024485</v>
      </c>
      <c r="H433" s="376">
        <v>0</v>
      </c>
      <c r="I433" s="376">
        <v>1</v>
      </c>
    </row>
    <row r="434" spans="1:9" x14ac:dyDescent="0.35">
      <c r="A434" s="376" t="s">
        <v>1605</v>
      </c>
      <c r="B434" s="376" t="s">
        <v>1609</v>
      </c>
      <c r="C434" s="376" t="s">
        <v>1046</v>
      </c>
      <c r="D434" s="376">
        <v>2020</v>
      </c>
      <c r="E434" s="376">
        <v>2025</v>
      </c>
      <c r="F434" s="376">
        <v>0.23884589662749595</v>
      </c>
      <c r="G434" s="376">
        <v>12023.270348024485</v>
      </c>
      <c r="H434" s="376">
        <v>0</v>
      </c>
      <c r="I434" s="376">
        <v>1</v>
      </c>
    </row>
    <row r="435" spans="1:9" x14ac:dyDescent="0.35">
      <c r="A435" s="376" t="s">
        <v>1605</v>
      </c>
      <c r="B435" s="376" t="s">
        <v>1609</v>
      </c>
      <c r="C435" s="376" t="s">
        <v>1046</v>
      </c>
      <c r="D435" s="376">
        <v>2020</v>
      </c>
      <c r="E435" s="376">
        <v>2026</v>
      </c>
      <c r="F435" s="376">
        <v>0.23884589662749595</v>
      </c>
      <c r="G435" s="376">
        <v>12023.270348024485</v>
      </c>
      <c r="H435" s="376">
        <v>0</v>
      </c>
      <c r="I435" s="376">
        <v>1</v>
      </c>
    </row>
    <row r="436" spans="1:9" x14ac:dyDescent="0.35">
      <c r="A436" s="376" t="s">
        <v>1605</v>
      </c>
      <c r="B436" s="376" t="s">
        <v>1609</v>
      </c>
      <c r="C436" s="376" t="s">
        <v>1046</v>
      </c>
      <c r="D436" s="376">
        <v>2020</v>
      </c>
      <c r="E436" s="376">
        <v>2027</v>
      </c>
      <c r="F436" s="376">
        <v>0.23884589662749595</v>
      </c>
      <c r="G436" s="376">
        <v>12023.270348024485</v>
      </c>
      <c r="H436" s="376">
        <v>0</v>
      </c>
      <c r="I436" s="376">
        <v>1</v>
      </c>
    </row>
    <row r="437" spans="1:9" x14ac:dyDescent="0.35">
      <c r="A437" s="376" t="s">
        <v>1605</v>
      </c>
      <c r="B437" s="376" t="s">
        <v>1609</v>
      </c>
      <c r="C437" s="376" t="s">
        <v>1046</v>
      </c>
      <c r="D437" s="376">
        <v>2020</v>
      </c>
      <c r="E437" s="376">
        <v>2028</v>
      </c>
      <c r="F437" s="376">
        <v>0.23884589662749595</v>
      </c>
      <c r="G437" s="376">
        <v>12023.270348024485</v>
      </c>
      <c r="H437" s="376">
        <v>0</v>
      </c>
      <c r="I437" s="376">
        <v>1</v>
      </c>
    </row>
    <row r="438" spans="1:9" x14ac:dyDescent="0.35">
      <c r="A438" s="376" t="s">
        <v>1605</v>
      </c>
      <c r="B438" s="376" t="s">
        <v>1609</v>
      </c>
      <c r="C438" s="376" t="s">
        <v>1046</v>
      </c>
      <c r="D438" s="376">
        <v>2020</v>
      </c>
      <c r="E438" s="376">
        <v>2029</v>
      </c>
      <c r="F438" s="376">
        <v>0.23884589662749595</v>
      </c>
      <c r="G438" s="376">
        <v>12023.270348024485</v>
      </c>
      <c r="H438" s="376">
        <v>0</v>
      </c>
      <c r="I438" s="376">
        <v>1</v>
      </c>
    </row>
    <row r="439" spans="1:9" x14ac:dyDescent="0.35">
      <c r="A439" s="376" t="s">
        <v>1605</v>
      </c>
      <c r="B439" s="376" t="s">
        <v>1609</v>
      </c>
      <c r="C439" s="376" t="s">
        <v>1046</v>
      </c>
      <c r="D439" s="376">
        <v>2020</v>
      </c>
      <c r="E439" s="376">
        <v>2030</v>
      </c>
      <c r="F439" s="376">
        <v>0.23884589662749595</v>
      </c>
      <c r="G439" s="376">
        <v>12023.270348024485</v>
      </c>
      <c r="H439" s="376">
        <v>0</v>
      </c>
      <c r="I439" s="376">
        <v>1</v>
      </c>
    </row>
    <row r="440" spans="1:9" x14ac:dyDescent="0.35">
      <c r="A440" s="376" t="s">
        <v>1605</v>
      </c>
      <c r="B440" s="376" t="s">
        <v>1609</v>
      </c>
      <c r="C440" s="376" t="s">
        <v>1046</v>
      </c>
      <c r="D440" s="376">
        <v>2020</v>
      </c>
      <c r="E440" s="376">
        <v>2031</v>
      </c>
      <c r="F440" s="376">
        <v>0.23884589662749595</v>
      </c>
      <c r="G440" s="376">
        <v>12023.270348024485</v>
      </c>
      <c r="H440" s="376">
        <v>0</v>
      </c>
      <c r="I440" s="376">
        <v>1</v>
      </c>
    </row>
    <row r="441" spans="1:9" x14ac:dyDescent="0.35">
      <c r="A441" s="376" t="s">
        <v>1604</v>
      </c>
      <c r="B441" s="376" t="s">
        <v>1609</v>
      </c>
      <c r="C441" s="376" t="s">
        <v>1046</v>
      </c>
      <c r="D441" s="376">
        <v>2020</v>
      </c>
      <c r="E441" s="376">
        <v>2021</v>
      </c>
      <c r="F441" s="376">
        <v>1</v>
      </c>
      <c r="G441" s="376">
        <v>11576.617455650492</v>
      </c>
      <c r="H441" s="376">
        <v>0</v>
      </c>
      <c r="I441" s="376">
        <v>1</v>
      </c>
    </row>
    <row r="442" spans="1:9" x14ac:dyDescent="0.35">
      <c r="A442" s="376" t="s">
        <v>1604</v>
      </c>
      <c r="B442" s="376" t="s">
        <v>1609</v>
      </c>
      <c r="C442" s="376" t="s">
        <v>1046</v>
      </c>
      <c r="D442" s="376">
        <v>2020</v>
      </c>
      <c r="E442" s="376">
        <v>2022</v>
      </c>
      <c r="F442" s="376">
        <v>1</v>
      </c>
      <c r="G442" s="376">
        <v>11576.617455650492</v>
      </c>
      <c r="H442" s="376">
        <v>0</v>
      </c>
      <c r="I442" s="376">
        <v>1</v>
      </c>
    </row>
    <row r="443" spans="1:9" x14ac:dyDescent="0.35">
      <c r="A443" s="376" t="s">
        <v>1604</v>
      </c>
      <c r="B443" s="376" t="s">
        <v>1609</v>
      </c>
      <c r="C443" s="376" t="s">
        <v>1046</v>
      </c>
      <c r="D443" s="376">
        <v>2020</v>
      </c>
      <c r="E443" s="376">
        <v>2023</v>
      </c>
      <c r="F443" s="376">
        <v>1</v>
      </c>
      <c r="G443" s="376">
        <v>11576.617455650492</v>
      </c>
      <c r="H443" s="376">
        <v>0</v>
      </c>
      <c r="I443" s="376">
        <v>1</v>
      </c>
    </row>
    <row r="444" spans="1:9" x14ac:dyDescent="0.35">
      <c r="A444" s="376" t="s">
        <v>1604</v>
      </c>
      <c r="B444" s="376" t="s">
        <v>1609</v>
      </c>
      <c r="C444" s="376" t="s">
        <v>1046</v>
      </c>
      <c r="D444" s="376">
        <v>2020</v>
      </c>
      <c r="E444" s="376">
        <v>2024</v>
      </c>
      <c r="F444" s="376">
        <v>1</v>
      </c>
      <c r="G444" s="376">
        <v>11576.617455650492</v>
      </c>
      <c r="H444" s="376">
        <v>0</v>
      </c>
      <c r="I444" s="376">
        <v>1</v>
      </c>
    </row>
    <row r="445" spans="1:9" x14ac:dyDescent="0.35">
      <c r="A445" s="376" t="s">
        <v>1604</v>
      </c>
      <c r="B445" s="376" t="s">
        <v>1609</v>
      </c>
      <c r="C445" s="376" t="s">
        <v>1046</v>
      </c>
      <c r="D445" s="376">
        <v>2020</v>
      </c>
      <c r="E445" s="376">
        <v>2025</v>
      </c>
      <c r="F445" s="376">
        <v>1</v>
      </c>
      <c r="G445" s="376">
        <v>11576.617455650492</v>
      </c>
      <c r="H445" s="376">
        <v>0</v>
      </c>
      <c r="I445" s="376">
        <v>1</v>
      </c>
    </row>
    <row r="446" spans="1:9" x14ac:dyDescent="0.35">
      <c r="A446" s="376" t="s">
        <v>1604</v>
      </c>
      <c r="B446" s="376" t="s">
        <v>1609</v>
      </c>
      <c r="C446" s="376" t="s">
        <v>1046</v>
      </c>
      <c r="D446" s="376">
        <v>2020</v>
      </c>
      <c r="E446" s="376">
        <v>2026</v>
      </c>
      <c r="F446" s="376">
        <v>1</v>
      </c>
      <c r="G446" s="376">
        <v>11576.617455650492</v>
      </c>
      <c r="H446" s="376">
        <v>0</v>
      </c>
      <c r="I446" s="376">
        <v>1</v>
      </c>
    </row>
    <row r="447" spans="1:9" x14ac:dyDescent="0.35">
      <c r="A447" s="376" t="s">
        <v>1604</v>
      </c>
      <c r="B447" s="376" t="s">
        <v>1609</v>
      </c>
      <c r="C447" s="376" t="s">
        <v>1046</v>
      </c>
      <c r="D447" s="376">
        <v>2020</v>
      </c>
      <c r="E447" s="376">
        <v>2027</v>
      </c>
      <c r="F447" s="376">
        <v>1</v>
      </c>
      <c r="G447" s="376">
        <v>11576.617455650492</v>
      </c>
      <c r="H447" s="376">
        <v>0</v>
      </c>
      <c r="I447" s="376">
        <v>1</v>
      </c>
    </row>
    <row r="448" spans="1:9" x14ac:dyDescent="0.35">
      <c r="A448" s="376" t="s">
        <v>1604</v>
      </c>
      <c r="B448" s="376" t="s">
        <v>1609</v>
      </c>
      <c r="C448" s="376" t="s">
        <v>1046</v>
      </c>
      <c r="D448" s="376">
        <v>2020</v>
      </c>
      <c r="E448" s="376">
        <v>2028</v>
      </c>
      <c r="F448" s="376">
        <v>1</v>
      </c>
      <c r="G448" s="376">
        <v>11576.617455650492</v>
      </c>
      <c r="H448" s="376">
        <v>0</v>
      </c>
      <c r="I448" s="376">
        <v>1</v>
      </c>
    </row>
    <row r="449" spans="1:9" x14ac:dyDescent="0.35">
      <c r="A449" s="376" t="s">
        <v>1604</v>
      </c>
      <c r="B449" s="376" t="s">
        <v>1609</v>
      </c>
      <c r="C449" s="376" t="s">
        <v>1046</v>
      </c>
      <c r="D449" s="376">
        <v>2020</v>
      </c>
      <c r="E449" s="376">
        <v>2029</v>
      </c>
      <c r="F449" s="376">
        <v>1</v>
      </c>
      <c r="G449" s="376">
        <v>11576.617455650492</v>
      </c>
      <c r="H449" s="376">
        <v>0</v>
      </c>
      <c r="I449" s="376">
        <v>1</v>
      </c>
    </row>
    <row r="450" spans="1:9" x14ac:dyDescent="0.35">
      <c r="A450" s="376" t="s">
        <v>1604</v>
      </c>
      <c r="B450" s="376" t="s">
        <v>1609</v>
      </c>
      <c r="C450" s="376" t="s">
        <v>1046</v>
      </c>
      <c r="D450" s="376">
        <v>2020</v>
      </c>
      <c r="E450" s="376">
        <v>2030</v>
      </c>
      <c r="F450" s="376">
        <v>1</v>
      </c>
      <c r="G450" s="376">
        <v>11576.617455650492</v>
      </c>
      <c r="H450" s="376">
        <v>0</v>
      </c>
      <c r="I450" s="376">
        <v>1</v>
      </c>
    </row>
    <row r="451" spans="1:9" x14ac:dyDescent="0.35">
      <c r="A451" s="376" t="s">
        <v>1604</v>
      </c>
      <c r="B451" s="376" t="s">
        <v>1609</v>
      </c>
      <c r="C451" s="376" t="s">
        <v>1046</v>
      </c>
      <c r="D451" s="376">
        <v>2020</v>
      </c>
      <c r="E451" s="376">
        <v>2031</v>
      </c>
      <c r="F451" s="376">
        <v>1</v>
      </c>
      <c r="G451" s="376">
        <v>11576.617455650492</v>
      </c>
      <c r="H451" s="376">
        <v>0</v>
      </c>
      <c r="I451" s="376">
        <v>1</v>
      </c>
    </row>
    <row r="452" spans="1:9" x14ac:dyDescent="0.35">
      <c r="A452" s="376" t="s">
        <v>1615</v>
      </c>
      <c r="B452" s="376" t="s">
        <v>1609</v>
      </c>
      <c r="C452" s="376" t="s">
        <v>1046</v>
      </c>
      <c r="D452" s="376">
        <v>2020</v>
      </c>
      <c r="E452" s="376">
        <v>2021</v>
      </c>
      <c r="F452" s="376">
        <v>1</v>
      </c>
      <c r="G452" s="376">
        <v>18216.212472207873</v>
      </c>
      <c r="H452" s="376">
        <v>0</v>
      </c>
      <c r="I452" s="376">
        <v>0.65716939790195539</v>
      </c>
    </row>
    <row r="453" spans="1:9" x14ac:dyDescent="0.35">
      <c r="A453" s="376" t="s">
        <v>1615</v>
      </c>
      <c r="B453" s="376" t="s">
        <v>1609</v>
      </c>
      <c r="C453" s="376" t="s">
        <v>1046</v>
      </c>
      <c r="D453" s="376">
        <v>2020</v>
      </c>
      <c r="E453" s="376">
        <v>2022</v>
      </c>
      <c r="F453" s="376">
        <v>1</v>
      </c>
      <c r="G453" s="376">
        <v>18216.212472207873</v>
      </c>
      <c r="H453" s="376">
        <v>0</v>
      </c>
      <c r="I453" s="376">
        <v>0.65716939790195539</v>
      </c>
    </row>
    <row r="454" spans="1:9" x14ac:dyDescent="0.35">
      <c r="A454" s="376" t="s">
        <v>1615</v>
      </c>
      <c r="B454" s="376" t="s">
        <v>1609</v>
      </c>
      <c r="C454" s="376" t="s">
        <v>1046</v>
      </c>
      <c r="D454" s="376">
        <v>2020</v>
      </c>
      <c r="E454" s="376">
        <v>2023</v>
      </c>
      <c r="F454" s="376">
        <v>1</v>
      </c>
      <c r="G454" s="376">
        <v>18216.212472207873</v>
      </c>
      <c r="H454" s="376">
        <v>0</v>
      </c>
      <c r="I454" s="376">
        <v>0.65716939790195539</v>
      </c>
    </row>
    <row r="455" spans="1:9" x14ac:dyDescent="0.35">
      <c r="A455" s="376" t="s">
        <v>1615</v>
      </c>
      <c r="B455" s="376" t="s">
        <v>1609</v>
      </c>
      <c r="C455" s="376" t="s">
        <v>1046</v>
      </c>
      <c r="D455" s="376">
        <v>2020</v>
      </c>
      <c r="E455" s="376">
        <v>2024</v>
      </c>
      <c r="F455" s="376">
        <v>1</v>
      </c>
      <c r="G455" s="376">
        <v>18216.212472207873</v>
      </c>
      <c r="H455" s="376">
        <v>0</v>
      </c>
      <c r="I455" s="376">
        <v>0.65716939790195539</v>
      </c>
    </row>
    <row r="456" spans="1:9" x14ac:dyDescent="0.35">
      <c r="A456" s="376" t="s">
        <v>1615</v>
      </c>
      <c r="B456" s="376" t="s">
        <v>1609</v>
      </c>
      <c r="C456" s="376" t="s">
        <v>1046</v>
      </c>
      <c r="D456" s="376">
        <v>2020</v>
      </c>
      <c r="E456" s="376">
        <v>2025</v>
      </c>
      <c r="F456" s="376">
        <v>1</v>
      </c>
      <c r="G456" s="376">
        <v>18216.212472207873</v>
      </c>
      <c r="H456" s="376">
        <v>0</v>
      </c>
      <c r="I456" s="376">
        <v>0.65716939790195539</v>
      </c>
    </row>
    <row r="457" spans="1:9" x14ac:dyDescent="0.35">
      <c r="A457" s="376" t="s">
        <v>1615</v>
      </c>
      <c r="B457" s="376" t="s">
        <v>1609</v>
      </c>
      <c r="C457" s="376" t="s">
        <v>1046</v>
      </c>
      <c r="D457" s="376">
        <v>2020</v>
      </c>
      <c r="E457" s="376">
        <v>2026</v>
      </c>
      <c r="F457" s="376">
        <v>1</v>
      </c>
      <c r="G457" s="376">
        <v>18216.212472207873</v>
      </c>
      <c r="H457" s="376">
        <v>0</v>
      </c>
      <c r="I457" s="376">
        <v>0.65716939790195539</v>
      </c>
    </row>
    <row r="458" spans="1:9" x14ac:dyDescent="0.35">
      <c r="A458" s="376" t="s">
        <v>1615</v>
      </c>
      <c r="B458" s="376" t="s">
        <v>1609</v>
      </c>
      <c r="C458" s="376" t="s">
        <v>1046</v>
      </c>
      <c r="D458" s="376">
        <v>2020</v>
      </c>
      <c r="E458" s="376">
        <v>2027</v>
      </c>
      <c r="F458" s="376">
        <v>1</v>
      </c>
      <c r="G458" s="376">
        <v>18216.212472207873</v>
      </c>
      <c r="H458" s="376">
        <v>0</v>
      </c>
      <c r="I458" s="376">
        <v>0.65716939790195539</v>
      </c>
    </row>
    <row r="459" spans="1:9" x14ac:dyDescent="0.35">
      <c r="A459" s="376" t="s">
        <v>1615</v>
      </c>
      <c r="B459" s="376" t="s">
        <v>1609</v>
      </c>
      <c r="C459" s="376" t="s">
        <v>1046</v>
      </c>
      <c r="D459" s="376">
        <v>2020</v>
      </c>
      <c r="E459" s="376">
        <v>2028</v>
      </c>
      <c r="F459" s="376">
        <v>1</v>
      </c>
      <c r="G459" s="376">
        <v>18216.212472207873</v>
      </c>
      <c r="H459" s="376">
        <v>0</v>
      </c>
      <c r="I459" s="376">
        <v>0.65716939790195539</v>
      </c>
    </row>
    <row r="460" spans="1:9" x14ac:dyDescent="0.35">
      <c r="A460" s="376" t="s">
        <v>1615</v>
      </c>
      <c r="B460" s="376" t="s">
        <v>1609</v>
      </c>
      <c r="C460" s="376" t="s">
        <v>1046</v>
      </c>
      <c r="D460" s="376">
        <v>2020</v>
      </c>
      <c r="E460" s="376">
        <v>2029</v>
      </c>
      <c r="F460" s="376">
        <v>1</v>
      </c>
      <c r="G460" s="376">
        <v>18216.212472207873</v>
      </c>
      <c r="H460" s="376">
        <v>0</v>
      </c>
      <c r="I460" s="376">
        <v>0.65716939790195539</v>
      </c>
    </row>
    <row r="461" spans="1:9" x14ac:dyDescent="0.35">
      <c r="A461" s="376" t="s">
        <v>1615</v>
      </c>
      <c r="B461" s="376" t="s">
        <v>1609</v>
      </c>
      <c r="C461" s="376" t="s">
        <v>1046</v>
      </c>
      <c r="D461" s="376">
        <v>2020</v>
      </c>
      <c r="E461" s="376">
        <v>2030</v>
      </c>
      <c r="F461" s="376">
        <v>1</v>
      </c>
      <c r="G461" s="376">
        <v>18216.212472207873</v>
      </c>
      <c r="H461" s="376">
        <v>0</v>
      </c>
      <c r="I461" s="376">
        <v>0.65716939790195539</v>
      </c>
    </row>
    <row r="462" spans="1:9" x14ac:dyDescent="0.35">
      <c r="A462" s="376" t="s">
        <v>1615</v>
      </c>
      <c r="B462" s="376" t="s">
        <v>1609</v>
      </c>
      <c r="C462" s="376" t="s">
        <v>1046</v>
      </c>
      <c r="D462" s="376">
        <v>2020</v>
      </c>
      <c r="E462" s="376">
        <v>2031</v>
      </c>
      <c r="F462" s="376">
        <v>1</v>
      </c>
      <c r="G462" s="376">
        <v>18216.212472207873</v>
      </c>
      <c r="H462" s="376">
        <v>0</v>
      </c>
      <c r="I462" s="376">
        <v>0.65716939790195539</v>
      </c>
    </row>
    <row r="463" spans="1:9" x14ac:dyDescent="0.35">
      <c r="A463" s="376" t="s">
        <v>1603</v>
      </c>
      <c r="B463" s="376" t="s">
        <v>1609</v>
      </c>
      <c r="C463" s="376" t="s">
        <v>1046</v>
      </c>
      <c r="D463" s="376">
        <v>2020</v>
      </c>
      <c r="E463" s="376">
        <v>2021</v>
      </c>
      <c r="F463" s="376">
        <v>1</v>
      </c>
      <c r="G463" s="376">
        <v>4783.4825046733322</v>
      </c>
      <c r="H463" s="376">
        <v>0</v>
      </c>
      <c r="I463" s="376">
        <v>1</v>
      </c>
    </row>
    <row r="464" spans="1:9" x14ac:dyDescent="0.35">
      <c r="A464" s="376" t="s">
        <v>1603</v>
      </c>
      <c r="B464" s="376" t="s">
        <v>1609</v>
      </c>
      <c r="C464" s="376" t="s">
        <v>1046</v>
      </c>
      <c r="D464" s="376">
        <v>2020</v>
      </c>
      <c r="E464" s="376">
        <v>2022</v>
      </c>
      <c r="F464" s="376">
        <v>1</v>
      </c>
      <c r="G464" s="376">
        <v>4783.4825046733322</v>
      </c>
      <c r="H464" s="376">
        <v>0</v>
      </c>
      <c r="I464" s="376">
        <v>1</v>
      </c>
    </row>
    <row r="465" spans="1:9" x14ac:dyDescent="0.35">
      <c r="A465" s="376" t="s">
        <v>1603</v>
      </c>
      <c r="B465" s="376" t="s">
        <v>1609</v>
      </c>
      <c r="C465" s="376" t="s">
        <v>1046</v>
      </c>
      <c r="D465" s="376">
        <v>2020</v>
      </c>
      <c r="E465" s="376">
        <v>2023</v>
      </c>
      <c r="F465" s="376">
        <v>1</v>
      </c>
      <c r="G465" s="376">
        <v>4783.4825046733322</v>
      </c>
      <c r="H465" s="376">
        <v>0</v>
      </c>
      <c r="I465" s="376">
        <v>1</v>
      </c>
    </row>
    <row r="466" spans="1:9" x14ac:dyDescent="0.35">
      <c r="A466" s="376" t="s">
        <v>1603</v>
      </c>
      <c r="B466" s="376" t="s">
        <v>1609</v>
      </c>
      <c r="C466" s="376" t="s">
        <v>1046</v>
      </c>
      <c r="D466" s="376">
        <v>2020</v>
      </c>
      <c r="E466" s="376">
        <v>2024</v>
      </c>
      <c r="F466" s="376">
        <v>1</v>
      </c>
      <c r="G466" s="376">
        <v>4783.4825046733322</v>
      </c>
      <c r="H466" s="376">
        <v>0</v>
      </c>
      <c r="I466" s="376">
        <v>1</v>
      </c>
    </row>
    <row r="467" spans="1:9" x14ac:dyDescent="0.35">
      <c r="A467" s="376" t="s">
        <v>1603</v>
      </c>
      <c r="B467" s="376" t="s">
        <v>1609</v>
      </c>
      <c r="C467" s="376" t="s">
        <v>1046</v>
      </c>
      <c r="D467" s="376">
        <v>2020</v>
      </c>
      <c r="E467" s="376">
        <v>2025</v>
      </c>
      <c r="F467" s="376">
        <v>1</v>
      </c>
      <c r="G467" s="376">
        <v>4783.4825046733322</v>
      </c>
      <c r="H467" s="376">
        <v>0</v>
      </c>
      <c r="I467" s="376">
        <v>1</v>
      </c>
    </row>
    <row r="468" spans="1:9" x14ac:dyDescent="0.35">
      <c r="A468" s="376" t="s">
        <v>1603</v>
      </c>
      <c r="B468" s="376" t="s">
        <v>1609</v>
      </c>
      <c r="C468" s="376" t="s">
        <v>1046</v>
      </c>
      <c r="D468" s="376">
        <v>2020</v>
      </c>
      <c r="E468" s="376">
        <v>2026</v>
      </c>
      <c r="F468" s="376">
        <v>1</v>
      </c>
      <c r="G468" s="376">
        <v>4783.4825046733322</v>
      </c>
      <c r="H468" s="376">
        <v>0</v>
      </c>
      <c r="I468" s="376">
        <v>1</v>
      </c>
    </row>
    <row r="469" spans="1:9" x14ac:dyDescent="0.35">
      <c r="A469" s="376" t="s">
        <v>1603</v>
      </c>
      <c r="B469" s="376" t="s">
        <v>1609</v>
      </c>
      <c r="C469" s="376" t="s">
        <v>1046</v>
      </c>
      <c r="D469" s="376">
        <v>2020</v>
      </c>
      <c r="E469" s="376">
        <v>2027</v>
      </c>
      <c r="F469" s="376">
        <v>1</v>
      </c>
      <c r="G469" s="376">
        <v>4783.4825046733322</v>
      </c>
      <c r="H469" s="376">
        <v>0</v>
      </c>
      <c r="I469" s="376">
        <v>1</v>
      </c>
    </row>
    <row r="470" spans="1:9" x14ac:dyDescent="0.35">
      <c r="A470" s="376" t="s">
        <v>1603</v>
      </c>
      <c r="B470" s="376" t="s">
        <v>1609</v>
      </c>
      <c r="C470" s="376" t="s">
        <v>1046</v>
      </c>
      <c r="D470" s="376">
        <v>2020</v>
      </c>
      <c r="E470" s="376">
        <v>2028</v>
      </c>
      <c r="F470" s="376">
        <v>1</v>
      </c>
      <c r="G470" s="376">
        <v>4783.4825046733322</v>
      </c>
      <c r="H470" s="376">
        <v>0</v>
      </c>
      <c r="I470" s="376">
        <v>1</v>
      </c>
    </row>
    <row r="471" spans="1:9" x14ac:dyDescent="0.35">
      <c r="A471" s="376" t="s">
        <v>1603</v>
      </c>
      <c r="B471" s="376" t="s">
        <v>1609</v>
      </c>
      <c r="C471" s="376" t="s">
        <v>1046</v>
      </c>
      <c r="D471" s="376">
        <v>2020</v>
      </c>
      <c r="E471" s="376">
        <v>2029</v>
      </c>
      <c r="F471" s="376">
        <v>1</v>
      </c>
      <c r="G471" s="376">
        <v>4783.4825046733322</v>
      </c>
      <c r="H471" s="376">
        <v>0</v>
      </c>
      <c r="I471" s="376">
        <v>1</v>
      </c>
    </row>
    <row r="472" spans="1:9" x14ac:dyDescent="0.35">
      <c r="A472" s="376" t="s">
        <v>1603</v>
      </c>
      <c r="B472" s="376" t="s">
        <v>1609</v>
      </c>
      <c r="C472" s="376" t="s">
        <v>1046</v>
      </c>
      <c r="D472" s="376">
        <v>2020</v>
      </c>
      <c r="E472" s="376">
        <v>2030</v>
      </c>
      <c r="F472" s="376">
        <v>1</v>
      </c>
      <c r="G472" s="376">
        <v>4783.4825046733322</v>
      </c>
      <c r="H472" s="376">
        <v>0</v>
      </c>
      <c r="I472" s="376">
        <v>1</v>
      </c>
    </row>
    <row r="473" spans="1:9" x14ac:dyDescent="0.35">
      <c r="A473" s="376" t="s">
        <v>1603</v>
      </c>
      <c r="B473" s="376" t="s">
        <v>1609</v>
      </c>
      <c r="C473" s="376" t="s">
        <v>1046</v>
      </c>
      <c r="D473" s="376">
        <v>2020</v>
      </c>
      <c r="E473" s="376">
        <v>2031</v>
      </c>
      <c r="F473" s="376">
        <v>1</v>
      </c>
      <c r="G473" s="376">
        <v>4783.4825046733322</v>
      </c>
      <c r="H473" s="376">
        <v>0</v>
      </c>
      <c r="I473" s="376">
        <v>1</v>
      </c>
    </row>
    <row r="474" spans="1:9" x14ac:dyDescent="0.35">
      <c r="A474" s="376" t="s">
        <v>1636</v>
      </c>
      <c r="B474" s="376" t="s">
        <v>1609</v>
      </c>
      <c r="C474" s="376" t="s">
        <v>1046</v>
      </c>
      <c r="D474" s="376">
        <v>2020</v>
      </c>
      <c r="E474" s="376">
        <v>2021</v>
      </c>
      <c r="F474" s="376">
        <v>1</v>
      </c>
      <c r="G474" s="376">
        <v>8940.0285185740213</v>
      </c>
      <c r="H474" s="376">
        <v>0</v>
      </c>
      <c r="I474" s="376">
        <v>1</v>
      </c>
    </row>
    <row r="475" spans="1:9" x14ac:dyDescent="0.35">
      <c r="A475" s="376" t="s">
        <v>1636</v>
      </c>
      <c r="B475" s="376" t="s">
        <v>1609</v>
      </c>
      <c r="C475" s="376" t="s">
        <v>1046</v>
      </c>
      <c r="D475" s="376">
        <v>2020</v>
      </c>
      <c r="E475" s="376">
        <v>2022</v>
      </c>
      <c r="F475" s="376">
        <v>1</v>
      </c>
      <c r="G475" s="376">
        <v>8582.4273778310599</v>
      </c>
      <c r="H475" s="376">
        <v>0</v>
      </c>
      <c r="I475" s="376">
        <v>1</v>
      </c>
    </row>
    <row r="476" spans="1:9" x14ac:dyDescent="0.35">
      <c r="A476" s="376" t="s">
        <v>1636</v>
      </c>
      <c r="B476" s="376" t="s">
        <v>1609</v>
      </c>
      <c r="C476" s="376" t="s">
        <v>1046</v>
      </c>
      <c r="D476" s="376">
        <v>2020</v>
      </c>
      <c r="E476" s="376">
        <v>2023</v>
      </c>
      <c r="F476" s="376">
        <v>1</v>
      </c>
      <c r="G476" s="376">
        <v>8239.130282717817</v>
      </c>
      <c r="H476" s="376">
        <v>0</v>
      </c>
      <c r="I476" s="376">
        <v>1</v>
      </c>
    </row>
    <row r="477" spans="1:9" x14ac:dyDescent="0.35">
      <c r="A477" s="376" t="s">
        <v>1636</v>
      </c>
      <c r="B477" s="376" t="s">
        <v>1609</v>
      </c>
      <c r="C477" s="376" t="s">
        <v>1046</v>
      </c>
      <c r="D477" s="376">
        <v>2020</v>
      </c>
      <c r="E477" s="376">
        <v>2024</v>
      </c>
      <c r="F477" s="376">
        <v>1</v>
      </c>
      <c r="G477" s="376">
        <v>7909.5650714091043</v>
      </c>
      <c r="H477" s="376">
        <v>0</v>
      </c>
      <c r="I477" s="376">
        <v>1</v>
      </c>
    </row>
    <row r="478" spans="1:9" x14ac:dyDescent="0.35">
      <c r="A478" s="376" t="s">
        <v>1636</v>
      </c>
      <c r="B478" s="376" t="s">
        <v>1609</v>
      </c>
      <c r="C478" s="376" t="s">
        <v>1046</v>
      </c>
      <c r="D478" s="376">
        <v>2020</v>
      </c>
      <c r="E478" s="376">
        <v>2025</v>
      </c>
      <c r="F478" s="376">
        <v>1</v>
      </c>
      <c r="G478" s="376">
        <v>7593.1824685527399</v>
      </c>
      <c r="H478" s="376">
        <v>0</v>
      </c>
      <c r="I478" s="376">
        <v>1</v>
      </c>
    </row>
    <row r="479" spans="1:9" x14ac:dyDescent="0.35">
      <c r="A479" s="376" t="s">
        <v>1636</v>
      </c>
      <c r="B479" s="376" t="s">
        <v>1609</v>
      </c>
      <c r="C479" s="376" t="s">
        <v>1046</v>
      </c>
      <c r="D479" s="376">
        <v>2020</v>
      </c>
      <c r="E479" s="376">
        <v>2026</v>
      </c>
      <c r="F479" s="376">
        <v>1</v>
      </c>
      <c r="G479" s="376">
        <v>7289.4551698106297</v>
      </c>
      <c r="H479" s="376">
        <v>0</v>
      </c>
      <c r="I479" s="376">
        <v>1</v>
      </c>
    </row>
    <row r="480" spans="1:9" x14ac:dyDescent="0.35">
      <c r="A480" s="376" t="s">
        <v>1636</v>
      </c>
      <c r="B480" s="376" t="s">
        <v>1609</v>
      </c>
      <c r="C480" s="376" t="s">
        <v>1046</v>
      </c>
      <c r="D480" s="376">
        <v>2020</v>
      </c>
      <c r="E480" s="376">
        <v>2027</v>
      </c>
      <c r="F480" s="376">
        <v>1</v>
      </c>
      <c r="G480" s="376">
        <v>6997.8769630182042</v>
      </c>
      <c r="H480" s="376">
        <v>0</v>
      </c>
      <c r="I480" s="376">
        <v>1</v>
      </c>
    </row>
    <row r="481" spans="1:9" x14ac:dyDescent="0.35">
      <c r="A481" s="376" t="s">
        <v>1636</v>
      </c>
      <c r="B481" s="376" t="s">
        <v>1609</v>
      </c>
      <c r="C481" s="376" t="s">
        <v>1046</v>
      </c>
      <c r="D481" s="376">
        <v>2020</v>
      </c>
      <c r="E481" s="376">
        <v>2028</v>
      </c>
      <c r="F481" s="376">
        <v>1</v>
      </c>
      <c r="G481" s="376">
        <v>6717.9618844974757</v>
      </c>
      <c r="H481" s="376">
        <v>0</v>
      </c>
      <c r="I481" s="376">
        <v>1</v>
      </c>
    </row>
    <row r="482" spans="1:9" x14ac:dyDescent="0.35">
      <c r="A482" s="376" t="s">
        <v>1636</v>
      </c>
      <c r="B482" s="376" t="s">
        <v>1609</v>
      </c>
      <c r="C482" s="376" t="s">
        <v>1046</v>
      </c>
      <c r="D482" s="376">
        <v>2020</v>
      </c>
      <c r="E482" s="376">
        <v>2029</v>
      </c>
      <c r="F482" s="376">
        <v>1</v>
      </c>
      <c r="G482" s="376">
        <v>6449.2434091175764</v>
      </c>
      <c r="H482" s="376">
        <v>0</v>
      </c>
      <c r="I482" s="376">
        <v>1</v>
      </c>
    </row>
    <row r="483" spans="1:9" x14ac:dyDescent="0.35">
      <c r="A483" s="376" t="s">
        <v>1636</v>
      </c>
      <c r="B483" s="376" t="s">
        <v>1609</v>
      </c>
      <c r="C483" s="376" t="s">
        <v>1046</v>
      </c>
      <c r="D483" s="376">
        <v>2020</v>
      </c>
      <c r="E483" s="376">
        <v>2030</v>
      </c>
      <c r="F483" s="376">
        <v>1</v>
      </c>
      <c r="G483" s="376">
        <v>6191.2736727528736</v>
      </c>
      <c r="H483" s="376">
        <v>0</v>
      </c>
      <c r="I483" s="376">
        <v>1</v>
      </c>
    </row>
    <row r="484" spans="1:9" x14ac:dyDescent="0.35">
      <c r="A484" s="376" t="s">
        <v>1636</v>
      </c>
      <c r="B484" s="376" t="s">
        <v>1609</v>
      </c>
      <c r="C484" s="376" t="s">
        <v>1046</v>
      </c>
      <c r="D484" s="376">
        <v>2020</v>
      </c>
      <c r="E484" s="376">
        <v>2031</v>
      </c>
      <c r="F484" s="376">
        <v>1</v>
      </c>
      <c r="G484" s="376">
        <v>5943.6227258427589</v>
      </c>
      <c r="H484" s="376">
        <v>0</v>
      </c>
      <c r="I484" s="376">
        <v>1</v>
      </c>
    </row>
    <row r="485" spans="1:9" x14ac:dyDescent="0.35">
      <c r="A485" s="376" t="s">
        <v>1606</v>
      </c>
      <c r="B485" s="376" t="s">
        <v>1609</v>
      </c>
      <c r="C485" s="376" t="s">
        <v>1046</v>
      </c>
      <c r="D485" s="376">
        <v>2020</v>
      </c>
      <c r="E485" s="376">
        <v>2021</v>
      </c>
      <c r="F485" s="376">
        <v>1</v>
      </c>
      <c r="G485" s="376">
        <v>8177.3076994117473</v>
      </c>
      <c r="H485" s="376">
        <v>0</v>
      </c>
      <c r="I485" s="376">
        <v>1</v>
      </c>
    </row>
    <row r="486" spans="1:9" x14ac:dyDescent="0.35">
      <c r="A486" s="376" t="s">
        <v>1606</v>
      </c>
      <c r="B486" s="376" t="s">
        <v>1609</v>
      </c>
      <c r="C486" s="376" t="s">
        <v>1046</v>
      </c>
      <c r="D486" s="376">
        <v>2020</v>
      </c>
      <c r="E486" s="376">
        <v>2022</v>
      </c>
      <c r="F486" s="376">
        <v>1</v>
      </c>
      <c r="G486" s="376">
        <v>7850.2153914352775</v>
      </c>
      <c r="H486" s="376">
        <v>0</v>
      </c>
      <c r="I486" s="376">
        <v>1</v>
      </c>
    </row>
    <row r="487" spans="1:9" x14ac:dyDescent="0.35">
      <c r="A487" s="376" t="s">
        <v>1606</v>
      </c>
      <c r="B487" s="376" t="s">
        <v>1609</v>
      </c>
      <c r="C487" s="376" t="s">
        <v>1046</v>
      </c>
      <c r="D487" s="376">
        <v>2020</v>
      </c>
      <c r="E487" s="376">
        <v>2023</v>
      </c>
      <c r="F487" s="376">
        <v>1</v>
      </c>
      <c r="G487" s="376">
        <v>7536.2067757778659</v>
      </c>
      <c r="H487" s="376">
        <v>0</v>
      </c>
      <c r="I487" s="376">
        <v>1</v>
      </c>
    </row>
    <row r="488" spans="1:9" x14ac:dyDescent="0.35">
      <c r="A488" s="376" t="s">
        <v>1606</v>
      </c>
      <c r="B488" s="376" t="s">
        <v>1609</v>
      </c>
      <c r="C488" s="376" t="s">
        <v>1046</v>
      </c>
      <c r="D488" s="376">
        <v>2020</v>
      </c>
      <c r="E488" s="376">
        <v>2024</v>
      </c>
      <c r="F488" s="376">
        <v>1</v>
      </c>
      <c r="G488" s="376">
        <v>7234.758504746751</v>
      </c>
      <c r="H488" s="376">
        <v>0</v>
      </c>
      <c r="I488" s="376">
        <v>1</v>
      </c>
    </row>
    <row r="489" spans="1:9" x14ac:dyDescent="0.35">
      <c r="A489" s="376" t="s">
        <v>1606</v>
      </c>
      <c r="B489" s="376" t="s">
        <v>1609</v>
      </c>
      <c r="C489" s="376" t="s">
        <v>1046</v>
      </c>
      <c r="D489" s="376">
        <v>2020</v>
      </c>
      <c r="E489" s="376">
        <v>2025</v>
      </c>
      <c r="F489" s="376">
        <v>1</v>
      </c>
      <c r="G489" s="376">
        <v>6945.3681645568804</v>
      </c>
      <c r="H489" s="376">
        <v>0</v>
      </c>
      <c r="I489" s="376">
        <v>1</v>
      </c>
    </row>
    <row r="490" spans="1:9" x14ac:dyDescent="0.35">
      <c r="A490" s="376" t="s">
        <v>1606</v>
      </c>
      <c r="B490" s="376" t="s">
        <v>1609</v>
      </c>
      <c r="C490" s="376" t="s">
        <v>1046</v>
      </c>
      <c r="D490" s="376">
        <v>2020</v>
      </c>
      <c r="E490" s="376">
        <v>2026</v>
      </c>
      <c r="F490" s="376">
        <v>1</v>
      </c>
      <c r="G490" s="376">
        <v>6667.553437974605</v>
      </c>
      <c r="H490" s="376">
        <v>0</v>
      </c>
      <c r="I490" s="376">
        <v>1</v>
      </c>
    </row>
    <row r="491" spans="1:9" x14ac:dyDescent="0.35">
      <c r="A491" s="376" t="s">
        <v>1606</v>
      </c>
      <c r="B491" s="376" t="s">
        <v>1609</v>
      </c>
      <c r="C491" s="376" t="s">
        <v>1046</v>
      </c>
      <c r="D491" s="376">
        <v>2020</v>
      </c>
      <c r="E491" s="376">
        <v>2027</v>
      </c>
      <c r="F491" s="376">
        <v>1</v>
      </c>
      <c r="G491" s="376">
        <v>6400.8513004556207</v>
      </c>
      <c r="H491" s="376">
        <v>0</v>
      </c>
      <c r="I491" s="376">
        <v>1</v>
      </c>
    </row>
    <row r="492" spans="1:9" x14ac:dyDescent="0.35">
      <c r="A492" s="376" t="s">
        <v>1606</v>
      </c>
      <c r="B492" s="376" t="s">
        <v>1609</v>
      </c>
      <c r="C492" s="376" t="s">
        <v>1046</v>
      </c>
      <c r="D492" s="376">
        <v>2020</v>
      </c>
      <c r="E492" s="376">
        <v>2028</v>
      </c>
      <c r="F492" s="376">
        <v>1</v>
      </c>
      <c r="G492" s="376">
        <v>6144.8172484373954</v>
      </c>
      <c r="H492" s="376">
        <v>0</v>
      </c>
      <c r="I492" s="376">
        <v>1</v>
      </c>
    </row>
    <row r="493" spans="1:9" x14ac:dyDescent="0.35">
      <c r="A493" s="376" t="s">
        <v>1606</v>
      </c>
      <c r="B493" s="376" t="s">
        <v>1609</v>
      </c>
      <c r="C493" s="376" t="s">
        <v>1046</v>
      </c>
      <c r="D493" s="376">
        <v>2020</v>
      </c>
      <c r="E493" s="376">
        <v>2029</v>
      </c>
      <c r="F493" s="376">
        <v>1</v>
      </c>
      <c r="G493" s="376">
        <v>5899.0245584998993</v>
      </c>
      <c r="H493" s="376">
        <v>0</v>
      </c>
      <c r="I493" s="376">
        <v>1</v>
      </c>
    </row>
    <row r="494" spans="1:9" x14ac:dyDescent="0.35">
      <c r="A494" s="376" t="s">
        <v>1606</v>
      </c>
      <c r="B494" s="376" t="s">
        <v>1609</v>
      </c>
      <c r="C494" s="376" t="s">
        <v>1046</v>
      </c>
      <c r="D494" s="376">
        <v>2020</v>
      </c>
      <c r="E494" s="376">
        <v>2030</v>
      </c>
      <c r="F494" s="376">
        <v>1</v>
      </c>
      <c r="G494" s="376">
        <v>5663.0635761599033</v>
      </c>
      <c r="H494" s="376">
        <v>0</v>
      </c>
      <c r="I494" s="376">
        <v>1</v>
      </c>
    </row>
    <row r="495" spans="1:9" x14ac:dyDescent="0.35">
      <c r="A495" s="376" t="s">
        <v>1606</v>
      </c>
      <c r="B495" s="376" t="s">
        <v>1609</v>
      </c>
      <c r="C495" s="376" t="s">
        <v>1046</v>
      </c>
      <c r="D495" s="376">
        <v>2020</v>
      </c>
      <c r="E495" s="376">
        <v>2031</v>
      </c>
      <c r="F495" s="376">
        <v>1</v>
      </c>
      <c r="G495" s="376">
        <v>5436.5410331135072</v>
      </c>
      <c r="H495" s="376">
        <v>0</v>
      </c>
      <c r="I495" s="376">
        <v>1</v>
      </c>
    </row>
    <row r="496" spans="1:9" x14ac:dyDescent="0.35">
      <c r="A496" s="376" t="s">
        <v>1613</v>
      </c>
      <c r="B496" s="376" t="s">
        <v>1609</v>
      </c>
      <c r="C496" s="376" t="s">
        <v>644</v>
      </c>
      <c r="D496" s="376">
        <v>2020</v>
      </c>
      <c r="E496" s="376">
        <v>2031</v>
      </c>
      <c r="F496" s="376">
        <v>0.40444272241720852</v>
      </c>
      <c r="G496" s="376">
        <v>2515.4667937181302</v>
      </c>
      <c r="H496" s="376">
        <v>0.25</v>
      </c>
      <c r="I496" s="376">
        <v>0.85</v>
      </c>
    </row>
    <row r="497" spans="1:9" x14ac:dyDescent="0.35">
      <c r="A497" s="376" t="s">
        <v>1604</v>
      </c>
      <c r="B497" s="376" t="s">
        <v>1609</v>
      </c>
      <c r="C497" s="376" t="s">
        <v>644</v>
      </c>
      <c r="D497" s="376">
        <v>2020</v>
      </c>
      <c r="E497" s="376">
        <v>2021</v>
      </c>
      <c r="F497" s="376">
        <v>1</v>
      </c>
      <c r="G497" s="376">
        <v>8143.6762367750935</v>
      </c>
      <c r="H497" s="376">
        <v>0</v>
      </c>
      <c r="I497" s="376">
        <v>1</v>
      </c>
    </row>
    <row r="498" spans="1:9" x14ac:dyDescent="0.35">
      <c r="A498" s="376" t="s">
        <v>1604</v>
      </c>
      <c r="B498" s="376" t="s">
        <v>1609</v>
      </c>
      <c r="C498" s="376" t="s">
        <v>644</v>
      </c>
      <c r="D498" s="376">
        <v>2020</v>
      </c>
      <c r="E498" s="376">
        <v>2022</v>
      </c>
      <c r="F498" s="376">
        <v>1</v>
      </c>
      <c r="G498" s="376">
        <v>8143.6762367750935</v>
      </c>
      <c r="H498" s="376">
        <v>0</v>
      </c>
      <c r="I498" s="376">
        <v>1</v>
      </c>
    </row>
    <row r="499" spans="1:9" x14ac:dyDescent="0.35">
      <c r="A499" s="376" t="s">
        <v>1604</v>
      </c>
      <c r="B499" s="376" t="s">
        <v>1609</v>
      </c>
      <c r="C499" s="376" t="s">
        <v>644</v>
      </c>
      <c r="D499" s="376">
        <v>2020</v>
      </c>
      <c r="E499" s="376">
        <v>2023</v>
      </c>
      <c r="F499" s="376">
        <v>1</v>
      </c>
      <c r="G499" s="376">
        <v>8143.6762367750935</v>
      </c>
      <c r="H499" s="376">
        <v>0</v>
      </c>
      <c r="I499" s="376">
        <v>1</v>
      </c>
    </row>
    <row r="500" spans="1:9" x14ac:dyDescent="0.35">
      <c r="A500" s="376" t="s">
        <v>1604</v>
      </c>
      <c r="B500" s="376" t="s">
        <v>1609</v>
      </c>
      <c r="C500" s="376" t="s">
        <v>644</v>
      </c>
      <c r="D500" s="376">
        <v>2020</v>
      </c>
      <c r="E500" s="376">
        <v>2024</v>
      </c>
      <c r="F500" s="376">
        <v>1</v>
      </c>
      <c r="G500" s="376">
        <v>8143.6762367750935</v>
      </c>
      <c r="H500" s="376">
        <v>0</v>
      </c>
      <c r="I500" s="376">
        <v>1</v>
      </c>
    </row>
    <row r="501" spans="1:9" x14ac:dyDescent="0.35">
      <c r="A501" s="376" t="s">
        <v>1604</v>
      </c>
      <c r="B501" s="376" t="s">
        <v>1609</v>
      </c>
      <c r="C501" s="376" t="s">
        <v>644</v>
      </c>
      <c r="D501" s="376">
        <v>2020</v>
      </c>
      <c r="E501" s="376">
        <v>2025</v>
      </c>
      <c r="F501" s="376">
        <v>1</v>
      </c>
      <c r="G501" s="376">
        <v>8143.6762367750935</v>
      </c>
      <c r="H501" s="376">
        <v>0</v>
      </c>
      <c r="I501" s="376">
        <v>1</v>
      </c>
    </row>
    <row r="502" spans="1:9" x14ac:dyDescent="0.35">
      <c r="A502" s="376" t="s">
        <v>1604</v>
      </c>
      <c r="B502" s="376" t="s">
        <v>1609</v>
      </c>
      <c r="C502" s="376" t="s">
        <v>644</v>
      </c>
      <c r="D502" s="376">
        <v>2020</v>
      </c>
      <c r="E502" s="376">
        <v>2026</v>
      </c>
      <c r="F502" s="376">
        <v>1</v>
      </c>
      <c r="G502" s="376">
        <v>8143.6762367750935</v>
      </c>
      <c r="H502" s="376">
        <v>0</v>
      </c>
      <c r="I502" s="376">
        <v>1</v>
      </c>
    </row>
    <row r="503" spans="1:9" x14ac:dyDescent="0.35">
      <c r="A503" s="376" t="s">
        <v>1604</v>
      </c>
      <c r="B503" s="376" t="s">
        <v>1609</v>
      </c>
      <c r="C503" s="376" t="s">
        <v>644</v>
      </c>
      <c r="D503" s="376">
        <v>2020</v>
      </c>
      <c r="E503" s="376">
        <v>2027</v>
      </c>
      <c r="F503" s="376">
        <v>1</v>
      </c>
      <c r="G503" s="376">
        <v>8143.6762367750935</v>
      </c>
      <c r="H503" s="376">
        <v>0</v>
      </c>
      <c r="I503" s="376">
        <v>1</v>
      </c>
    </row>
    <row r="504" spans="1:9" x14ac:dyDescent="0.35">
      <c r="A504" s="376" t="s">
        <v>1604</v>
      </c>
      <c r="B504" s="376" t="s">
        <v>1609</v>
      </c>
      <c r="C504" s="376" t="s">
        <v>644</v>
      </c>
      <c r="D504" s="376">
        <v>2020</v>
      </c>
      <c r="E504" s="376">
        <v>2028</v>
      </c>
      <c r="F504" s="376">
        <v>1</v>
      </c>
      <c r="G504" s="376">
        <v>8143.6762367750935</v>
      </c>
      <c r="H504" s="376">
        <v>0</v>
      </c>
      <c r="I504" s="376">
        <v>1</v>
      </c>
    </row>
    <row r="505" spans="1:9" x14ac:dyDescent="0.35">
      <c r="A505" s="376" t="s">
        <v>1604</v>
      </c>
      <c r="B505" s="376" t="s">
        <v>1609</v>
      </c>
      <c r="C505" s="376" t="s">
        <v>644</v>
      </c>
      <c r="D505" s="376">
        <v>2020</v>
      </c>
      <c r="E505" s="376">
        <v>2029</v>
      </c>
      <c r="F505" s="376">
        <v>1</v>
      </c>
      <c r="G505" s="376">
        <v>8143.6762367750935</v>
      </c>
      <c r="H505" s="376">
        <v>0</v>
      </c>
      <c r="I505" s="376">
        <v>1</v>
      </c>
    </row>
    <row r="506" spans="1:9" x14ac:dyDescent="0.35">
      <c r="A506" s="376" t="s">
        <v>1604</v>
      </c>
      <c r="B506" s="376" t="s">
        <v>1609</v>
      </c>
      <c r="C506" s="376" t="s">
        <v>644</v>
      </c>
      <c r="D506" s="376">
        <v>2020</v>
      </c>
      <c r="E506" s="376">
        <v>2030</v>
      </c>
      <c r="F506" s="376">
        <v>1</v>
      </c>
      <c r="G506" s="376">
        <v>8143.6762367750935</v>
      </c>
      <c r="H506" s="376">
        <v>0</v>
      </c>
      <c r="I506" s="376">
        <v>1</v>
      </c>
    </row>
    <row r="507" spans="1:9" x14ac:dyDescent="0.35">
      <c r="A507" s="376" t="s">
        <v>1604</v>
      </c>
      <c r="B507" s="376" t="s">
        <v>1609</v>
      </c>
      <c r="C507" s="376" t="s">
        <v>644</v>
      </c>
      <c r="D507" s="376">
        <v>2020</v>
      </c>
      <c r="E507" s="376">
        <v>2031</v>
      </c>
      <c r="F507" s="376">
        <v>1</v>
      </c>
      <c r="G507" s="376">
        <v>8143.6762367750935</v>
      </c>
      <c r="H507" s="376">
        <v>0</v>
      </c>
      <c r="I507" s="376">
        <v>1</v>
      </c>
    </row>
    <row r="508" spans="1:9" x14ac:dyDescent="0.35">
      <c r="A508" s="376" t="s">
        <v>1603</v>
      </c>
      <c r="B508" s="376" t="s">
        <v>1609</v>
      </c>
      <c r="C508" s="376" t="s">
        <v>644</v>
      </c>
      <c r="D508" s="376">
        <v>2020</v>
      </c>
      <c r="E508" s="376">
        <v>2021</v>
      </c>
      <c r="F508" s="376">
        <v>1</v>
      </c>
      <c r="G508" s="376">
        <v>1819.9453197613475</v>
      </c>
      <c r="H508" s="376">
        <v>0</v>
      </c>
      <c r="I508" s="376">
        <v>1</v>
      </c>
    </row>
    <row r="509" spans="1:9" x14ac:dyDescent="0.35">
      <c r="A509" s="376" t="s">
        <v>1603</v>
      </c>
      <c r="B509" s="376" t="s">
        <v>1609</v>
      </c>
      <c r="C509" s="376" t="s">
        <v>644</v>
      </c>
      <c r="D509" s="376">
        <v>2020</v>
      </c>
      <c r="E509" s="376">
        <v>2022</v>
      </c>
      <c r="F509" s="376">
        <v>1</v>
      </c>
      <c r="G509" s="376">
        <v>1819.9453197613475</v>
      </c>
      <c r="H509" s="376">
        <v>0</v>
      </c>
      <c r="I509" s="376">
        <v>1</v>
      </c>
    </row>
    <row r="510" spans="1:9" x14ac:dyDescent="0.35">
      <c r="A510" s="376" t="s">
        <v>1603</v>
      </c>
      <c r="B510" s="376" t="s">
        <v>1609</v>
      </c>
      <c r="C510" s="376" t="s">
        <v>644</v>
      </c>
      <c r="D510" s="376">
        <v>2020</v>
      </c>
      <c r="E510" s="376">
        <v>2023</v>
      </c>
      <c r="F510" s="376">
        <v>1</v>
      </c>
      <c r="G510" s="376">
        <v>1819.9453197613475</v>
      </c>
      <c r="H510" s="376">
        <v>0</v>
      </c>
      <c r="I510" s="376">
        <v>1</v>
      </c>
    </row>
    <row r="511" spans="1:9" x14ac:dyDescent="0.35">
      <c r="A511" s="376" t="s">
        <v>1603</v>
      </c>
      <c r="B511" s="376" t="s">
        <v>1609</v>
      </c>
      <c r="C511" s="376" t="s">
        <v>644</v>
      </c>
      <c r="D511" s="376">
        <v>2020</v>
      </c>
      <c r="E511" s="376">
        <v>2024</v>
      </c>
      <c r="F511" s="376">
        <v>1</v>
      </c>
      <c r="G511" s="376">
        <v>1819.9453197613475</v>
      </c>
      <c r="H511" s="376">
        <v>0</v>
      </c>
      <c r="I511" s="376">
        <v>1</v>
      </c>
    </row>
    <row r="512" spans="1:9" x14ac:dyDescent="0.35">
      <c r="A512" s="376" t="s">
        <v>1603</v>
      </c>
      <c r="B512" s="376" t="s">
        <v>1609</v>
      </c>
      <c r="C512" s="376" t="s">
        <v>644</v>
      </c>
      <c r="D512" s="376">
        <v>2020</v>
      </c>
      <c r="E512" s="376">
        <v>2025</v>
      </c>
      <c r="F512" s="376">
        <v>1</v>
      </c>
      <c r="G512" s="376">
        <v>1819.9453197613475</v>
      </c>
      <c r="H512" s="376">
        <v>0</v>
      </c>
      <c r="I512" s="376">
        <v>1</v>
      </c>
    </row>
    <row r="513" spans="1:9" x14ac:dyDescent="0.35">
      <c r="A513" s="376" t="s">
        <v>1603</v>
      </c>
      <c r="B513" s="376" t="s">
        <v>1609</v>
      </c>
      <c r="C513" s="376" t="s">
        <v>644</v>
      </c>
      <c r="D513" s="376">
        <v>2020</v>
      </c>
      <c r="E513" s="376">
        <v>2026</v>
      </c>
      <c r="F513" s="376">
        <v>1</v>
      </c>
      <c r="G513" s="376">
        <v>1819.9453197613475</v>
      </c>
      <c r="H513" s="376">
        <v>0</v>
      </c>
      <c r="I513" s="376">
        <v>1</v>
      </c>
    </row>
    <row r="514" spans="1:9" x14ac:dyDescent="0.35">
      <c r="A514" s="376" t="s">
        <v>1603</v>
      </c>
      <c r="B514" s="376" t="s">
        <v>1609</v>
      </c>
      <c r="C514" s="376" t="s">
        <v>644</v>
      </c>
      <c r="D514" s="376">
        <v>2020</v>
      </c>
      <c r="E514" s="376">
        <v>2027</v>
      </c>
      <c r="F514" s="376">
        <v>1</v>
      </c>
      <c r="G514" s="376">
        <v>1819.9453197613475</v>
      </c>
      <c r="H514" s="376">
        <v>0</v>
      </c>
      <c r="I514" s="376">
        <v>1</v>
      </c>
    </row>
    <row r="515" spans="1:9" x14ac:dyDescent="0.35">
      <c r="A515" s="376" t="s">
        <v>1603</v>
      </c>
      <c r="B515" s="376" t="s">
        <v>1609</v>
      </c>
      <c r="C515" s="376" t="s">
        <v>644</v>
      </c>
      <c r="D515" s="376">
        <v>2020</v>
      </c>
      <c r="E515" s="376">
        <v>2028</v>
      </c>
      <c r="F515" s="376">
        <v>1</v>
      </c>
      <c r="G515" s="376">
        <v>1819.9453197613475</v>
      </c>
      <c r="H515" s="376">
        <v>0</v>
      </c>
      <c r="I515" s="376">
        <v>1</v>
      </c>
    </row>
    <row r="516" spans="1:9" x14ac:dyDescent="0.35">
      <c r="A516" s="376" t="s">
        <v>1603</v>
      </c>
      <c r="B516" s="376" t="s">
        <v>1609</v>
      </c>
      <c r="C516" s="376" t="s">
        <v>644</v>
      </c>
      <c r="D516" s="376">
        <v>2020</v>
      </c>
      <c r="E516" s="376">
        <v>2029</v>
      </c>
      <c r="F516" s="376">
        <v>1</v>
      </c>
      <c r="G516" s="376">
        <v>1819.9453197613475</v>
      </c>
      <c r="H516" s="376">
        <v>0</v>
      </c>
      <c r="I516" s="376">
        <v>1</v>
      </c>
    </row>
    <row r="517" spans="1:9" x14ac:dyDescent="0.35">
      <c r="A517" s="376" t="s">
        <v>1603</v>
      </c>
      <c r="B517" s="376" t="s">
        <v>1609</v>
      </c>
      <c r="C517" s="376" t="s">
        <v>644</v>
      </c>
      <c r="D517" s="376">
        <v>2020</v>
      </c>
      <c r="E517" s="376">
        <v>2030</v>
      </c>
      <c r="F517" s="376">
        <v>1</v>
      </c>
      <c r="G517" s="376">
        <v>1819.9453197613475</v>
      </c>
      <c r="H517" s="376">
        <v>0</v>
      </c>
      <c r="I517" s="376">
        <v>1</v>
      </c>
    </row>
    <row r="518" spans="1:9" x14ac:dyDescent="0.35">
      <c r="A518" s="376" t="s">
        <v>1603</v>
      </c>
      <c r="B518" s="376" t="s">
        <v>1609</v>
      </c>
      <c r="C518" s="376" t="s">
        <v>644</v>
      </c>
      <c r="D518" s="376">
        <v>2020</v>
      </c>
      <c r="E518" s="376">
        <v>2031</v>
      </c>
      <c r="F518" s="376">
        <v>1</v>
      </c>
      <c r="G518" s="376">
        <v>1819.9453197613475</v>
      </c>
      <c r="H518" s="376">
        <v>0</v>
      </c>
      <c r="I518" s="376">
        <v>1</v>
      </c>
    </row>
    <row r="519" spans="1:9" x14ac:dyDescent="0.35">
      <c r="A519" s="376" t="s">
        <v>1605</v>
      </c>
      <c r="B519" s="376" t="s">
        <v>1609</v>
      </c>
      <c r="C519" s="376" t="s">
        <v>644</v>
      </c>
      <c r="D519" s="376">
        <v>2020</v>
      </c>
      <c r="E519" s="376">
        <v>2021</v>
      </c>
      <c r="F519" s="376">
        <v>0.23884589662749595</v>
      </c>
      <c r="G519" s="376">
        <v>14598.416471112962</v>
      </c>
      <c r="H519" s="376">
        <v>0</v>
      </c>
      <c r="I519" s="376">
        <v>1</v>
      </c>
    </row>
    <row r="520" spans="1:9" x14ac:dyDescent="0.35">
      <c r="A520" s="376" t="s">
        <v>1605</v>
      </c>
      <c r="B520" s="376" t="s">
        <v>1609</v>
      </c>
      <c r="C520" s="376" t="s">
        <v>644</v>
      </c>
      <c r="D520" s="376">
        <v>2020</v>
      </c>
      <c r="E520" s="376">
        <v>2022</v>
      </c>
      <c r="F520" s="376">
        <v>0.23884589662749595</v>
      </c>
      <c r="G520" s="376">
        <v>14598.416471112962</v>
      </c>
      <c r="H520" s="376">
        <v>0</v>
      </c>
      <c r="I520" s="376">
        <v>1</v>
      </c>
    </row>
    <row r="521" spans="1:9" x14ac:dyDescent="0.35">
      <c r="A521" s="376" t="s">
        <v>1605</v>
      </c>
      <c r="B521" s="376" t="s">
        <v>1609</v>
      </c>
      <c r="C521" s="376" t="s">
        <v>644</v>
      </c>
      <c r="D521" s="376">
        <v>2020</v>
      </c>
      <c r="E521" s="376">
        <v>2023</v>
      </c>
      <c r="F521" s="376">
        <v>0.23884589662749595</v>
      </c>
      <c r="G521" s="376">
        <v>14598.416471112962</v>
      </c>
      <c r="H521" s="376">
        <v>0</v>
      </c>
      <c r="I521" s="376">
        <v>1</v>
      </c>
    </row>
    <row r="522" spans="1:9" x14ac:dyDescent="0.35">
      <c r="A522" s="376" t="s">
        <v>1605</v>
      </c>
      <c r="B522" s="376" t="s">
        <v>1609</v>
      </c>
      <c r="C522" s="376" t="s">
        <v>644</v>
      </c>
      <c r="D522" s="376">
        <v>2020</v>
      </c>
      <c r="E522" s="376">
        <v>2024</v>
      </c>
      <c r="F522" s="376">
        <v>0.23884589662749595</v>
      </c>
      <c r="G522" s="376">
        <v>14598.416471112962</v>
      </c>
      <c r="H522" s="376">
        <v>0</v>
      </c>
      <c r="I522" s="376">
        <v>1</v>
      </c>
    </row>
    <row r="523" spans="1:9" x14ac:dyDescent="0.35">
      <c r="A523" s="376" t="s">
        <v>1605</v>
      </c>
      <c r="B523" s="376" t="s">
        <v>1609</v>
      </c>
      <c r="C523" s="376" t="s">
        <v>644</v>
      </c>
      <c r="D523" s="376">
        <v>2020</v>
      </c>
      <c r="E523" s="376">
        <v>2025</v>
      </c>
      <c r="F523" s="376">
        <v>0.23884589662749595</v>
      </c>
      <c r="G523" s="376">
        <v>14598.416471112962</v>
      </c>
      <c r="H523" s="376">
        <v>0</v>
      </c>
      <c r="I523" s="376">
        <v>1</v>
      </c>
    </row>
    <row r="524" spans="1:9" x14ac:dyDescent="0.35">
      <c r="A524" s="376" t="s">
        <v>1605</v>
      </c>
      <c r="B524" s="376" t="s">
        <v>1609</v>
      </c>
      <c r="C524" s="376" t="s">
        <v>644</v>
      </c>
      <c r="D524" s="376">
        <v>2020</v>
      </c>
      <c r="E524" s="376">
        <v>2026</v>
      </c>
      <c r="F524" s="376">
        <v>0.23884589662749595</v>
      </c>
      <c r="G524" s="376">
        <v>14598.416471112962</v>
      </c>
      <c r="H524" s="376">
        <v>0</v>
      </c>
      <c r="I524" s="376">
        <v>1</v>
      </c>
    </row>
    <row r="525" spans="1:9" x14ac:dyDescent="0.35">
      <c r="A525" s="376" t="s">
        <v>1605</v>
      </c>
      <c r="B525" s="376" t="s">
        <v>1609</v>
      </c>
      <c r="C525" s="376" t="s">
        <v>644</v>
      </c>
      <c r="D525" s="376">
        <v>2020</v>
      </c>
      <c r="E525" s="376">
        <v>2027</v>
      </c>
      <c r="F525" s="376">
        <v>0.23884589662749595</v>
      </c>
      <c r="G525" s="376">
        <v>14598.416471112962</v>
      </c>
      <c r="H525" s="376">
        <v>0</v>
      </c>
      <c r="I525" s="376">
        <v>1</v>
      </c>
    </row>
    <row r="526" spans="1:9" x14ac:dyDescent="0.35">
      <c r="A526" s="376" t="s">
        <v>1605</v>
      </c>
      <c r="B526" s="376" t="s">
        <v>1609</v>
      </c>
      <c r="C526" s="376" t="s">
        <v>644</v>
      </c>
      <c r="D526" s="376">
        <v>2020</v>
      </c>
      <c r="E526" s="376">
        <v>2028</v>
      </c>
      <c r="F526" s="376">
        <v>0.23884589662749595</v>
      </c>
      <c r="G526" s="376">
        <v>14598.416471112962</v>
      </c>
      <c r="H526" s="376">
        <v>0</v>
      </c>
      <c r="I526" s="376">
        <v>1</v>
      </c>
    </row>
    <row r="527" spans="1:9" x14ac:dyDescent="0.35">
      <c r="A527" s="376" t="s">
        <v>1605</v>
      </c>
      <c r="B527" s="376" t="s">
        <v>1609</v>
      </c>
      <c r="C527" s="376" t="s">
        <v>644</v>
      </c>
      <c r="D527" s="376">
        <v>2020</v>
      </c>
      <c r="E527" s="376">
        <v>2029</v>
      </c>
      <c r="F527" s="376">
        <v>0.23884589662749595</v>
      </c>
      <c r="G527" s="376">
        <v>14598.416471112962</v>
      </c>
      <c r="H527" s="376">
        <v>0</v>
      </c>
      <c r="I527" s="376">
        <v>1</v>
      </c>
    </row>
    <row r="528" spans="1:9" x14ac:dyDescent="0.35">
      <c r="A528" s="376" t="s">
        <v>1605</v>
      </c>
      <c r="B528" s="376" t="s">
        <v>1609</v>
      </c>
      <c r="C528" s="376" t="s">
        <v>644</v>
      </c>
      <c r="D528" s="376">
        <v>2020</v>
      </c>
      <c r="E528" s="376">
        <v>2030</v>
      </c>
      <c r="F528" s="376">
        <v>0.23884589662749595</v>
      </c>
      <c r="G528" s="376">
        <v>14598.416471112962</v>
      </c>
      <c r="H528" s="376">
        <v>0</v>
      </c>
      <c r="I528" s="376">
        <v>1</v>
      </c>
    </row>
    <row r="529" spans="1:9" x14ac:dyDescent="0.35">
      <c r="A529" s="376" t="s">
        <v>1605</v>
      </c>
      <c r="B529" s="376" t="s">
        <v>1609</v>
      </c>
      <c r="C529" s="376" t="s">
        <v>644</v>
      </c>
      <c r="D529" s="376">
        <v>2020</v>
      </c>
      <c r="E529" s="376">
        <v>2031</v>
      </c>
      <c r="F529" s="376">
        <v>0.23884589662749595</v>
      </c>
      <c r="G529" s="376">
        <v>14598.416471112962</v>
      </c>
      <c r="H529" s="376">
        <v>0</v>
      </c>
      <c r="I529" s="376">
        <v>1</v>
      </c>
    </row>
    <row r="530" spans="1:9" x14ac:dyDescent="0.35">
      <c r="A530" s="376" t="s">
        <v>1636</v>
      </c>
      <c r="B530" s="376" t="s">
        <v>1609</v>
      </c>
      <c r="C530" s="376" t="s">
        <v>644</v>
      </c>
      <c r="D530" s="376">
        <v>2020</v>
      </c>
      <c r="E530" s="376">
        <v>2021</v>
      </c>
      <c r="F530" s="376">
        <v>1</v>
      </c>
      <c r="G530" s="376">
        <v>15808.731754424425</v>
      </c>
      <c r="H530" s="376">
        <v>0</v>
      </c>
      <c r="I530" s="376">
        <v>1</v>
      </c>
    </row>
    <row r="531" spans="1:9" x14ac:dyDescent="0.35">
      <c r="A531" s="376" t="s">
        <v>1636</v>
      </c>
      <c r="B531" s="376" t="s">
        <v>1609</v>
      </c>
      <c r="C531" s="376" t="s">
        <v>644</v>
      </c>
      <c r="D531" s="376">
        <v>2020</v>
      </c>
      <c r="E531" s="376">
        <v>2022</v>
      </c>
      <c r="F531" s="376">
        <v>1</v>
      </c>
      <c r="G531" s="376">
        <v>15176.382484247448</v>
      </c>
      <c r="H531" s="376">
        <v>0</v>
      </c>
      <c r="I531" s="376">
        <v>1</v>
      </c>
    </row>
    <row r="532" spans="1:9" x14ac:dyDescent="0.35">
      <c r="A532" s="376" t="s">
        <v>1636</v>
      </c>
      <c r="B532" s="376" t="s">
        <v>1609</v>
      </c>
      <c r="C532" s="376" t="s">
        <v>644</v>
      </c>
      <c r="D532" s="376">
        <v>2020</v>
      </c>
      <c r="E532" s="376">
        <v>2023</v>
      </c>
      <c r="F532" s="376">
        <v>1</v>
      </c>
      <c r="G532" s="376">
        <v>14569.327184877549</v>
      </c>
      <c r="H532" s="376">
        <v>0</v>
      </c>
      <c r="I532" s="376">
        <v>1</v>
      </c>
    </row>
    <row r="533" spans="1:9" x14ac:dyDescent="0.35">
      <c r="A533" s="376" t="s">
        <v>1636</v>
      </c>
      <c r="B533" s="376" t="s">
        <v>1609</v>
      </c>
      <c r="C533" s="376" t="s">
        <v>644</v>
      </c>
      <c r="D533" s="376">
        <v>2020</v>
      </c>
      <c r="E533" s="376">
        <v>2024</v>
      </c>
      <c r="F533" s="376">
        <v>1</v>
      </c>
      <c r="G533" s="376">
        <v>13986.554097482447</v>
      </c>
      <c r="H533" s="376">
        <v>0</v>
      </c>
      <c r="I533" s="376">
        <v>1</v>
      </c>
    </row>
    <row r="534" spans="1:9" x14ac:dyDescent="0.35">
      <c r="A534" s="376" t="s">
        <v>1636</v>
      </c>
      <c r="B534" s="376" t="s">
        <v>1609</v>
      </c>
      <c r="C534" s="376" t="s">
        <v>644</v>
      </c>
      <c r="D534" s="376">
        <v>2020</v>
      </c>
      <c r="E534" s="376">
        <v>2025</v>
      </c>
      <c r="F534" s="376">
        <v>1</v>
      </c>
      <c r="G534" s="376">
        <v>13427.09193358315</v>
      </c>
      <c r="H534" s="376">
        <v>0</v>
      </c>
      <c r="I534" s="376">
        <v>1</v>
      </c>
    </row>
    <row r="535" spans="1:9" x14ac:dyDescent="0.35">
      <c r="A535" s="376" t="s">
        <v>1636</v>
      </c>
      <c r="B535" s="376" t="s">
        <v>1609</v>
      </c>
      <c r="C535" s="376" t="s">
        <v>644</v>
      </c>
      <c r="D535" s="376">
        <v>2020</v>
      </c>
      <c r="E535" s="376">
        <v>2026</v>
      </c>
      <c r="F535" s="376">
        <v>1</v>
      </c>
      <c r="G535" s="376">
        <v>12890.008256239824</v>
      </c>
      <c r="H535" s="376">
        <v>0</v>
      </c>
      <c r="I535" s="376">
        <v>1</v>
      </c>
    </row>
    <row r="536" spans="1:9" x14ac:dyDescent="0.35">
      <c r="A536" s="376" t="s">
        <v>1636</v>
      </c>
      <c r="B536" s="376" t="s">
        <v>1609</v>
      </c>
      <c r="C536" s="376" t="s">
        <v>644</v>
      </c>
      <c r="D536" s="376">
        <v>2020</v>
      </c>
      <c r="E536" s="376">
        <v>2027</v>
      </c>
      <c r="F536" s="376">
        <v>1</v>
      </c>
      <c r="G536" s="376">
        <v>12374.40792599023</v>
      </c>
      <c r="H536" s="376">
        <v>0</v>
      </c>
      <c r="I536" s="376">
        <v>1</v>
      </c>
    </row>
    <row r="537" spans="1:9" x14ac:dyDescent="0.35">
      <c r="A537" s="376" t="s">
        <v>1636</v>
      </c>
      <c r="B537" s="376" t="s">
        <v>1609</v>
      </c>
      <c r="C537" s="376" t="s">
        <v>644</v>
      </c>
      <c r="D537" s="376">
        <v>2020</v>
      </c>
      <c r="E537" s="376">
        <v>2028</v>
      </c>
      <c r="F537" s="376">
        <v>1</v>
      </c>
      <c r="G537" s="376">
        <v>11879.431608950621</v>
      </c>
      <c r="H537" s="376">
        <v>0</v>
      </c>
      <c r="I537" s="376">
        <v>1</v>
      </c>
    </row>
    <row r="538" spans="1:9" x14ac:dyDescent="0.35">
      <c r="A538" s="376" t="s">
        <v>1636</v>
      </c>
      <c r="B538" s="376" t="s">
        <v>1609</v>
      </c>
      <c r="C538" s="376" t="s">
        <v>644</v>
      </c>
      <c r="D538" s="376">
        <v>2020</v>
      </c>
      <c r="E538" s="376">
        <v>2029</v>
      </c>
      <c r="F538" s="376">
        <v>1</v>
      </c>
      <c r="G538" s="376">
        <v>11404.254344592595</v>
      </c>
      <c r="H538" s="376">
        <v>0</v>
      </c>
      <c r="I538" s="376">
        <v>1</v>
      </c>
    </row>
    <row r="539" spans="1:9" x14ac:dyDescent="0.35">
      <c r="A539" s="376" t="s">
        <v>1636</v>
      </c>
      <c r="B539" s="376" t="s">
        <v>1609</v>
      </c>
      <c r="C539" s="376" t="s">
        <v>644</v>
      </c>
      <c r="D539" s="376">
        <v>2020</v>
      </c>
      <c r="E539" s="376">
        <v>2030</v>
      </c>
      <c r="F539" s="376">
        <v>1</v>
      </c>
      <c r="G539" s="376">
        <v>10948.08417080889</v>
      </c>
      <c r="H539" s="376">
        <v>0</v>
      </c>
      <c r="I539" s="376">
        <v>1</v>
      </c>
    </row>
    <row r="540" spans="1:9" x14ac:dyDescent="0.35">
      <c r="A540" s="376" t="s">
        <v>1636</v>
      </c>
      <c r="B540" s="376" t="s">
        <v>1609</v>
      </c>
      <c r="C540" s="376" t="s">
        <v>644</v>
      </c>
      <c r="D540" s="376">
        <v>2020</v>
      </c>
      <c r="E540" s="376">
        <v>2031</v>
      </c>
      <c r="F540" s="376">
        <v>1</v>
      </c>
      <c r="G540" s="376">
        <v>10510.160803976534</v>
      </c>
      <c r="H540" s="376">
        <v>0</v>
      </c>
      <c r="I540" s="376">
        <v>1</v>
      </c>
    </row>
    <row r="541" spans="1:9" x14ac:dyDescent="0.35">
      <c r="A541" s="376" t="s">
        <v>1612</v>
      </c>
      <c r="B541" s="376" t="s">
        <v>1609</v>
      </c>
      <c r="C541" s="376" t="s">
        <v>628</v>
      </c>
      <c r="D541" s="376">
        <v>2020</v>
      </c>
      <c r="E541" s="376">
        <v>2021</v>
      </c>
      <c r="F541" s="376">
        <v>0.35737526128209052</v>
      </c>
      <c r="G541" s="376">
        <v>9193.1674726616548</v>
      </c>
      <c r="H541" s="376">
        <v>0.25</v>
      </c>
      <c r="I541" s="376">
        <v>0.85</v>
      </c>
    </row>
    <row r="542" spans="1:9" x14ac:dyDescent="0.35">
      <c r="A542" s="376" t="s">
        <v>1612</v>
      </c>
      <c r="B542" s="376" t="s">
        <v>1609</v>
      </c>
      <c r="C542" s="376" t="s">
        <v>628</v>
      </c>
      <c r="D542" s="376">
        <v>2020</v>
      </c>
      <c r="E542" s="376">
        <v>2022</v>
      </c>
      <c r="F542" s="376">
        <v>0.35737526128209052</v>
      </c>
      <c r="G542" s="376">
        <v>9209.0126394414765</v>
      </c>
      <c r="H542" s="376">
        <v>0.25</v>
      </c>
      <c r="I542" s="376">
        <v>0.85</v>
      </c>
    </row>
    <row r="543" spans="1:9" x14ac:dyDescent="0.35">
      <c r="A543" s="376" t="s">
        <v>1612</v>
      </c>
      <c r="B543" s="376" t="s">
        <v>1609</v>
      </c>
      <c r="C543" s="376" t="s">
        <v>628</v>
      </c>
      <c r="D543" s="376">
        <v>2020</v>
      </c>
      <c r="E543" s="376">
        <v>2023</v>
      </c>
      <c r="F543" s="376">
        <v>0.35737526128209052</v>
      </c>
      <c r="G543" s="376">
        <v>9224.8851166462446</v>
      </c>
      <c r="H543" s="376">
        <v>0.25</v>
      </c>
      <c r="I543" s="376">
        <v>0.85</v>
      </c>
    </row>
    <row r="544" spans="1:9" x14ac:dyDescent="0.35">
      <c r="A544" s="376" t="s">
        <v>1612</v>
      </c>
      <c r="B544" s="376" t="s">
        <v>1609</v>
      </c>
      <c r="C544" s="376" t="s">
        <v>628</v>
      </c>
      <c r="D544" s="376">
        <v>2020</v>
      </c>
      <c r="E544" s="376">
        <v>2024</v>
      </c>
      <c r="F544" s="376">
        <v>0.35737526128209052</v>
      </c>
      <c r="G544" s="376">
        <v>9240.7849513476813</v>
      </c>
      <c r="H544" s="376">
        <v>0.25</v>
      </c>
      <c r="I544" s="376">
        <v>0.85</v>
      </c>
    </row>
    <row r="545" spans="1:9" x14ac:dyDescent="0.35">
      <c r="A545" s="376" t="s">
        <v>1612</v>
      </c>
      <c r="B545" s="376" t="s">
        <v>1609</v>
      </c>
      <c r="C545" s="376" t="s">
        <v>628</v>
      </c>
      <c r="D545" s="376">
        <v>2020</v>
      </c>
      <c r="E545" s="376">
        <v>2025</v>
      </c>
      <c r="F545" s="376">
        <v>0.35737526128209052</v>
      </c>
      <c r="G545" s="376">
        <v>9256.7121906986431</v>
      </c>
      <c r="H545" s="376">
        <v>0.25</v>
      </c>
      <c r="I545" s="376">
        <v>0.85</v>
      </c>
    </row>
    <row r="546" spans="1:9" x14ac:dyDescent="0.35">
      <c r="A546" s="376" t="s">
        <v>1612</v>
      </c>
      <c r="B546" s="376" t="s">
        <v>1609</v>
      </c>
      <c r="C546" s="376" t="s">
        <v>628</v>
      </c>
      <c r="D546" s="376">
        <v>2020</v>
      </c>
      <c r="E546" s="376">
        <v>2026</v>
      </c>
      <c r="F546" s="376">
        <v>0.35737526128209052</v>
      </c>
      <c r="G546" s="376">
        <v>9272.666881933259</v>
      </c>
      <c r="H546" s="376">
        <v>0.25</v>
      </c>
      <c r="I546" s="376">
        <v>0.85</v>
      </c>
    </row>
    <row r="547" spans="1:9" x14ac:dyDescent="0.35">
      <c r="A547" s="376" t="s">
        <v>1612</v>
      </c>
      <c r="B547" s="376" t="s">
        <v>1609</v>
      </c>
      <c r="C547" s="376" t="s">
        <v>628</v>
      </c>
      <c r="D547" s="376">
        <v>2020</v>
      </c>
      <c r="E547" s="376">
        <v>2027</v>
      </c>
      <c r="F547" s="376">
        <v>0.35737526128209052</v>
      </c>
      <c r="G547" s="376">
        <v>9288.6490723670649</v>
      </c>
      <c r="H547" s="376">
        <v>0.25</v>
      </c>
      <c r="I547" s="376">
        <v>0.85</v>
      </c>
    </row>
    <row r="548" spans="1:9" x14ac:dyDescent="0.35">
      <c r="A548" s="376" t="s">
        <v>1612</v>
      </c>
      <c r="B548" s="376" t="s">
        <v>1609</v>
      </c>
      <c r="C548" s="376" t="s">
        <v>628</v>
      </c>
      <c r="D548" s="376">
        <v>2020</v>
      </c>
      <c r="E548" s="376">
        <v>2028</v>
      </c>
      <c r="F548" s="376">
        <v>0.35737526128209052</v>
      </c>
      <c r="G548" s="376">
        <v>9304.658809397155</v>
      </c>
      <c r="H548" s="376">
        <v>0.25</v>
      </c>
      <c r="I548" s="376">
        <v>0.85</v>
      </c>
    </row>
    <row r="549" spans="1:9" x14ac:dyDescent="0.35">
      <c r="A549" s="376" t="s">
        <v>1612</v>
      </c>
      <c r="B549" s="376" t="s">
        <v>1609</v>
      </c>
      <c r="C549" s="376" t="s">
        <v>628</v>
      </c>
      <c r="D549" s="376">
        <v>2020</v>
      </c>
      <c r="E549" s="376">
        <v>2029</v>
      </c>
      <c r="F549" s="376">
        <v>0.35737526128209052</v>
      </c>
      <c r="G549" s="376">
        <v>9320.6961405023121</v>
      </c>
      <c r="H549" s="376">
        <v>0.25</v>
      </c>
      <c r="I549" s="376">
        <v>0.85</v>
      </c>
    </row>
    <row r="550" spans="1:9" x14ac:dyDescent="0.35">
      <c r="A550" s="376" t="s">
        <v>1612</v>
      </c>
      <c r="B550" s="376" t="s">
        <v>1609</v>
      </c>
      <c r="C550" s="376" t="s">
        <v>628</v>
      </c>
      <c r="D550" s="376">
        <v>2020</v>
      </c>
      <c r="E550" s="376">
        <v>2030</v>
      </c>
      <c r="F550" s="376">
        <v>0.35737526128209052</v>
      </c>
      <c r="G550" s="376">
        <v>9336.7611132431521</v>
      </c>
      <c r="H550" s="376">
        <v>0.25</v>
      </c>
      <c r="I550" s="376">
        <v>0.85</v>
      </c>
    </row>
    <row r="551" spans="1:9" x14ac:dyDescent="0.35">
      <c r="A551" s="376" t="s">
        <v>1612</v>
      </c>
      <c r="B551" s="376" t="s">
        <v>1609</v>
      </c>
      <c r="C551" s="376" t="s">
        <v>628</v>
      </c>
      <c r="D551" s="376">
        <v>2020</v>
      </c>
      <c r="E551" s="376">
        <v>2031</v>
      </c>
      <c r="F551" s="376">
        <v>0.35737526128209052</v>
      </c>
      <c r="G551" s="376">
        <v>9352.8537752622688</v>
      </c>
      <c r="H551" s="376">
        <v>0.25</v>
      </c>
      <c r="I551" s="376">
        <v>0.85</v>
      </c>
    </row>
    <row r="552" spans="1:9" x14ac:dyDescent="0.35">
      <c r="A552" s="376" t="s">
        <v>1613</v>
      </c>
      <c r="B552" s="376" t="s">
        <v>1609</v>
      </c>
      <c r="C552" s="376" t="s">
        <v>628</v>
      </c>
      <c r="D552" s="376">
        <v>2020</v>
      </c>
      <c r="E552" s="376">
        <v>2021</v>
      </c>
      <c r="F552" s="376">
        <v>0.40444272241720852</v>
      </c>
      <c r="G552" s="376">
        <v>5742.4984906120881</v>
      </c>
      <c r="H552" s="376">
        <v>0.25</v>
      </c>
      <c r="I552" s="376">
        <v>0.85</v>
      </c>
    </row>
    <row r="553" spans="1:9" x14ac:dyDescent="0.35">
      <c r="A553" s="376" t="s">
        <v>1613</v>
      </c>
      <c r="B553" s="376" t="s">
        <v>1609</v>
      </c>
      <c r="C553" s="376" t="s">
        <v>628</v>
      </c>
      <c r="D553" s="376">
        <v>2020</v>
      </c>
      <c r="E553" s="376">
        <v>2022</v>
      </c>
      <c r="F553" s="376">
        <v>0.40444272241720852</v>
      </c>
      <c r="G553" s="376">
        <v>5752.3961506500682</v>
      </c>
      <c r="H553" s="376">
        <v>0.25</v>
      </c>
      <c r="I553" s="376">
        <v>0.85</v>
      </c>
    </row>
    <row r="554" spans="1:9" x14ac:dyDescent="0.35">
      <c r="A554" s="376" t="s">
        <v>1613</v>
      </c>
      <c r="B554" s="376" t="s">
        <v>1609</v>
      </c>
      <c r="C554" s="376" t="s">
        <v>628</v>
      </c>
      <c r="D554" s="376">
        <v>2020</v>
      </c>
      <c r="E554" s="376">
        <v>2023</v>
      </c>
      <c r="F554" s="376">
        <v>0.40444272241720852</v>
      </c>
      <c r="G554" s="376">
        <v>5762.310870104674</v>
      </c>
      <c r="H554" s="376">
        <v>0.25</v>
      </c>
      <c r="I554" s="376">
        <v>0.85</v>
      </c>
    </row>
    <row r="555" spans="1:9" x14ac:dyDescent="0.35">
      <c r="A555" s="376" t="s">
        <v>1613</v>
      </c>
      <c r="B555" s="376" t="s">
        <v>1609</v>
      </c>
      <c r="C555" s="376" t="s">
        <v>628</v>
      </c>
      <c r="D555" s="376">
        <v>2020</v>
      </c>
      <c r="E555" s="376">
        <v>2024</v>
      </c>
      <c r="F555" s="376">
        <v>0.40444272241720852</v>
      </c>
      <c r="G555" s="376">
        <v>5772.2426783791889</v>
      </c>
      <c r="H555" s="376">
        <v>0.25</v>
      </c>
      <c r="I555" s="376">
        <v>0.85</v>
      </c>
    </row>
    <row r="556" spans="1:9" x14ac:dyDescent="0.35">
      <c r="A556" s="376" t="s">
        <v>1613</v>
      </c>
      <c r="B556" s="376" t="s">
        <v>1609</v>
      </c>
      <c r="C556" s="376" t="s">
        <v>628</v>
      </c>
      <c r="D556" s="376">
        <v>2020</v>
      </c>
      <c r="E556" s="376">
        <v>2025</v>
      </c>
      <c r="F556" s="376">
        <v>0.40444272241720852</v>
      </c>
      <c r="G556" s="376">
        <v>5782.1916049275742</v>
      </c>
      <c r="H556" s="376">
        <v>0.25</v>
      </c>
      <c r="I556" s="376">
        <v>0.85</v>
      </c>
    </row>
    <row r="557" spans="1:9" x14ac:dyDescent="0.35">
      <c r="A557" s="376" t="s">
        <v>1613</v>
      </c>
      <c r="B557" s="376" t="s">
        <v>1609</v>
      </c>
      <c r="C557" s="376" t="s">
        <v>628</v>
      </c>
      <c r="D557" s="376">
        <v>2020</v>
      </c>
      <c r="E557" s="376">
        <v>2026</v>
      </c>
      <c r="F557" s="376">
        <v>0.40444272241720852</v>
      </c>
      <c r="G557" s="376">
        <v>5792.1576792545584</v>
      </c>
      <c r="H557" s="376">
        <v>0.25</v>
      </c>
      <c r="I557" s="376">
        <v>0.85</v>
      </c>
    </row>
    <row r="558" spans="1:9" x14ac:dyDescent="0.35">
      <c r="A558" s="376" t="s">
        <v>1613</v>
      </c>
      <c r="B558" s="376" t="s">
        <v>1609</v>
      </c>
      <c r="C558" s="376" t="s">
        <v>628</v>
      </c>
      <c r="D558" s="376">
        <v>2020</v>
      </c>
      <c r="E558" s="376">
        <v>2027</v>
      </c>
      <c r="F558" s="376">
        <v>0.40444272241720852</v>
      </c>
      <c r="G558" s="376">
        <v>5802.1409309157225</v>
      </c>
      <c r="H558" s="376">
        <v>0.25</v>
      </c>
      <c r="I558" s="376">
        <v>0.85</v>
      </c>
    </row>
    <row r="559" spans="1:9" x14ac:dyDescent="0.35">
      <c r="A559" s="376" t="s">
        <v>1613</v>
      </c>
      <c r="B559" s="376" t="s">
        <v>1609</v>
      </c>
      <c r="C559" s="376" t="s">
        <v>628</v>
      </c>
      <c r="D559" s="376">
        <v>2020</v>
      </c>
      <c r="E559" s="376">
        <v>2028</v>
      </c>
      <c r="F559" s="376">
        <v>0.40444272241720852</v>
      </c>
      <c r="G559" s="376">
        <v>5812.1413895175901</v>
      </c>
      <c r="H559" s="376">
        <v>0.25</v>
      </c>
      <c r="I559" s="376">
        <v>0.85</v>
      </c>
    </row>
    <row r="560" spans="1:9" x14ac:dyDescent="0.35">
      <c r="A560" s="376" t="s">
        <v>1613</v>
      </c>
      <c r="B560" s="376" t="s">
        <v>1609</v>
      </c>
      <c r="C560" s="376" t="s">
        <v>628</v>
      </c>
      <c r="D560" s="376">
        <v>2020</v>
      </c>
      <c r="E560" s="376">
        <v>2029</v>
      </c>
      <c r="F560" s="376">
        <v>0.40444272241720852</v>
      </c>
      <c r="G560" s="376">
        <v>5822.1590847177131</v>
      </c>
      <c r="H560" s="376">
        <v>0.25</v>
      </c>
      <c r="I560" s="376">
        <v>0.85</v>
      </c>
    </row>
    <row r="561" spans="1:9" x14ac:dyDescent="0.35">
      <c r="A561" s="376" t="s">
        <v>1613</v>
      </c>
      <c r="B561" s="376" t="s">
        <v>1609</v>
      </c>
      <c r="C561" s="376" t="s">
        <v>628</v>
      </c>
      <c r="D561" s="376">
        <v>2020</v>
      </c>
      <c r="E561" s="376">
        <v>2030</v>
      </c>
      <c r="F561" s="376">
        <v>0.40444272241720852</v>
      </c>
      <c r="G561" s="376">
        <v>5832.1940462247612</v>
      </c>
      <c r="H561" s="376">
        <v>0.25</v>
      </c>
      <c r="I561" s="376">
        <v>0.85</v>
      </c>
    </row>
    <row r="562" spans="1:9" x14ac:dyDescent="0.35">
      <c r="A562" s="376" t="s">
        <v>1613</v>
      </c>
      <c r="B562" s="376" t="s">
        <v>1609</v>
      </c>
      <c r="C562" s="376" t="s">
        <v>628</v>
      </c>
      <c r="D562" s="376">
        <v>2020</v>
      </c>
      <c r="E562" s="376">
        <v>2031</v>
      </c>
      <c r="F562" s="376">
        <v>0.40444272241720852</v>
      </c>
      <c r="G562" s="376">
        <v>5842.246303798609</v>
      </c>
      <c r="H562" s="376">
        <v>0.25</v>
      </c>
      <c r="I562" s="376">
        <v>0.85</v>
      </c>
    </row>
    <row r="563" spans="1:9" x14ac:dyDescent="0.35">
      <c r="A563" s="376" t="s">
        <v>1604</v>
      </c>
      <c r="B563" s="376" t="s">
        <v>1609</v>
      </c>
      <c r="C563" s="376" t="s">
        <v>628</v>
      </c>
      <c r="D563" s="376">
        <v>2020</v>
      </c>
      <c r="E563" s="376">
        <v>2021</v>
      </c>
      <c r="F563" s="376">
        <v>1</v>
      </c>
      <c r="G563" s="376">
        <v>4688.4442946660474</v>
      </c>
      <c r="H563" s="376">
        <v>0</v>
      </c>
      <c r="I563" s="376">
        <v>1</v>
      </c>
    </row>
    <row r="564" spans="1:9" x14ac:dyDescent="0.35">
      <c r="A564" s="376" t="s">
        <v>1604</v>
      </c>
      <c r="B564" s="376" t="s">
        <v>1609</v>
      </c>
      <c r="C564" s="376" t="s">
        <v>628</v>
      </c>
      <c r="D564" s="376">
        <v>2020</v>
      </c>
      <c r="E564" s="376">
        <v>2022</v>
      </c>
      <c r="F564" s="376">
        <v>1</v>
      </c>
      <c r="G564" s="376">
        <v>4688.4442946660474</v>
      </c>
      <c r="H564" s="376">
        <v>0</v>
      </c>
      <c r="I564" s="376">
        <v>1</v>
      </c>
    </row>
    <row r="565" spans="1:9" x14ac:dyDescent="0.35">
      <c r="A565" s="376" t="s">
        <v>1604</v>
      </c>
      <c r="B565" s="376" t="s">
        <v>1609</v>
      </c>
      <c r="C565" s="376" t="s">
        <v>628</v>
      </c>
      <c r="D565" s="376">
        <v>2020</v>
      </c>
      <c r="E565" s="376">
        <v>2023</v>
      </c>
      <c r="F565" s="376">
        <v>1</v>
      </c>
      <c r="G565" s="376">
        <v>4688.4442946660474</v>
      </c>
      <c r="H565" s="376">
        <v>0</v>
      </c>
      <c r="I565" s="376">
        <v>1</v>
      </c>
    </row>
    <row r="566" spans="1:9" x14ac:dyDescent="0.35">
      <c r="A566" s="376" t="s">
        <v>1604</v>
      </c>
      <c r="B566" s="376" t="s">
        <v>1609</v>
      </c>
      <c r="C566" s="376" t="s">
        <v>628</v>
      </c>
      <c r="D566" s="376">
        <v>2020</v>
      </c>
      <c r="E566" s="376">
        <v>2024</v>
      </c>
      <c r="F566" s="376">
        <v>1</v>
      </c>
      <c r="G566" s="376">
        <v>4688.4442946660474</v>
      </c>
      <c r="H566" s="376">
        <v>0</v>
      </c>
      <c r="I566" s="376">
        <v>1</v>
      </c>
    </row>
    <row r="567" spans="1:9" x14ac:dyDescent="0.35">
      <c r="A567" s="376" t="s">
        <v>1604</v>
      </c>
      <c r="B567" s="376" t="s">
        <v>1609</v>
      </c>
      <c r="C567" s="376" t="s">
        <v>628</v>
      </c>
      <c r="D567" s="376">
        <v>2020</v>
      </c>
      <c r="E567" s="376">
        <v>2025</v>
      </c>
      <c r="F567" s="376">
        <v>1</v>
      </c>
      <c r="G567" s="376">
        <v>4688.4442946660474</v>
      </c>
      <c r="H567" s="376">
        <v>0</v>
      </c>
      <c r="I567" s="376">
        <v>1</v>
      </c>
    </row>
    <row r="568" spans="1:9" x14ac:dyDescent="0.35">
      <c r="A568" s="376" t="s">
        <v>1604</v>
      </c>
      <c r="B568" s="376" t="s">
        <v>1609</v>
      </c>
      <c r="C568" s="376" t="s">
        <v>628</v>
      </c>
      <c r="D568" s="376">
        <v>2020</v>
      </c>
      <c r="E568" s="376">
        <v>2026</v>
      </c>
      <c r="F568" s="376">
        <v>1</v>
      </c>
      <c r="G568" s="376">
        <v>4688.4442946660474</v>
      </c>
      <c r="H568" s="376">
        <v>0</v>
      </c>
      <c r="I568" s="376">
        <v>1</v>
      </c>
    </row>
    <row r="569" spans="1:9" x14ac:dyDescent="0.35">
      <c r="A569" s="376" t="s">
        <v>1604</v>
      </c>
      <c r="B569" s="376" t="s">
        <v>1609</v>
      </c>
      <c r="C569" s="376" t="s">
        <v>628</v>
      </c>
      <c r="D569" s="376">
        <v>2020</v>
      </c>
      <c r="E569" s="376">
        <v>2027</v>
      </c>
      <c r="F569" s="376">
        <v>1</v>
      </c>
      <c r="G569" s="376">
        <v>4688.4442946660474</v>
      </c>
      <c r="H569" s="376">
        <v>0</v>
      </c>
      <c r="I569" s="376">
        <v>1</v>
      </c>
    </row>
    <row r="570" spans="1:9" x14ac:dyDescent="0.35">
      <c r="A570" s="376" t="s">
        <v>1604</v>
      </c>
      <c r="B570" s="376" t="s">
        <v>1609</v>
      </c>
      <c r="C570" s="376" t="s">
        <v>628</v>
      </c>
      <c r="D570" s="376">
        <v>2020</v>
      </c>
      <c r="E570" s="376">
        <v>2028</v>
      </c>
      <c r="F570" s="376">
        <v>1</v>
      </c>
      <c r="G570" s="376">
        <v>4688.4442946660474</v>
      </c>
      <c r="H570" s="376">
        <v>0</v>
      </c>
      <c r="I570" s="376">
        <v>1</v>
      </c>
    </row>
    <row r="571" spans="1:9" x14ac:dyDescent="0.35">
      <c r="A571" s="376" t="s">
        <v>1604</v>
      </c>
      <c r="B571" s="376" t="s">
        <v>1609</v>
      </c>
      <c r="C571" s="376" t="s">
        <v>628</v>
      </c>
      <c r="D571" s="376">
        <v>2020</v>
      </c>
      <c r="E571" s="376">
        <v>2029</v>
      </c>
      <c r="F571" s="376">
        <v>1</v>
      </c>
      <c r="G571" s="376">
        <v>4688.4442946660474</v>
      </c>
      <c r="H571" s="376">
        <v>0</v>
      </c>
      <c r="I571" s="376">
        <v>1</v>
      </c>
    </row>
    <row r="572" spans="1:9" x14ac:dyDescent="0.35">
      <c r="A572" s="376" t="s">
        <v>1604</v>
      </c>
      <c r="B572" s="376" t="s">
        <v>1609</v>
      </c>
      <c r="C572" s="376" t="s">
        <v>628</v>
      </c>
      <c r="D572" s="376">
        <v>2020</v>
      </c>
      <c r="E572" s="376">
        <v>2030</v>
      </c>
      <c r="F572" s="376">
        <v>1</v>
      </c>
      <c r="G572" s="376">
        <v>4688.4442946660474</v>
      </c>
      <c r="H572" s="376">
        <v>0</v>
      </c>
      <c r="I572" s="376">
        <v>1</v>
      </c>
    </row>
    <row r="573" spans="1:9" x14ac:dyDescent="0.35">
      <c r="A573" s="376" t="s">
        <v>1604</v>
      </c>
      <c r="B573" s="376" t="s">
        <v>1609</v>
      </c>
      <c r="C573" s="376" t="s">
        <v>628</v>
      </c>
      <c r="D573" s="376">
        <v>2020</v>
      </c>
      <c r="E573" s="376">
        <v>2031</v>
      </c>
      <c r="F573" s="376">
        <v>1</v>
      </c>
      <c r="G573" s="376">
        <v>4688.4442946660474</v>
      </c>
      <c r="H573" s="376">
        <v>0</v>
      </c>
      <c r="I573" s="376">
        <v>1</v>
      </c>
    </row>
    <row r="574" spans="1:9" x14ac:dyDescent="0.35">
      <c r="A574" s="376" t="s">
        <v>1615</v>
      </c>
      <c r="B574" s="376" t="s">
        <v>1609</v>
      </c>
      <c r="C574" s="376" t="s">
        <v>628</v>
      </c>
      <c r="D574" s="376">
        <v>2020</v>
      </c>
      <c r="E574" s="376">
        <v>2021</v>
      </c>
      <c r="F574" s="376">
        <v>1</v>
      </c>
      <c r="G574" s="376">
        <v>15322.738981527909</v>
      </c>
      <c r="H574" s="376">
        <v>0</v>
      </c>
      <c r="I574" s="376">
        <v>0.65716939790195539</v>
      </c>
    </row>
    <row r="575" spans="1:9" x14ac:dyDescent="0.35">
      <c r="A575" s="376" t="s">
        <v>1615</v>
      </c>
      <c r="B575" s="376" t="s">
        <v>1609</v>
      </c>
      <c r="C575" s="376" t="s">
        <v>628</v>
      </c>
      <c r="D575" s="376">
        <v>2020</v>
      </c>
      <c r="E575" s="376">
        <v>2022</v>
      </c>
      <c r="F575" s="376">
        <v>1</v>
      </c>
      <c r="G575" s="376">
        <v>15322.738981527909</v>
      </c>
      <c r="H575" s="376">
        <v>0</v>
      </c>
      <c r="I575" s="376">
        <v>0.65716939790195539</v>
      </c>
    </row>
    <row r="576" spans="1:9" x14ac:dyDescent="0.35">
      <c r="A576" s="376" t="s">
        <v>1615</v>
      </c>
      <c r="B576" s="376" t="s">
        <v>1609</v>
      </c>
      <c r="C576" s="376" t="s">
        <v>628</v>
      </c>
      <c r="D576" s="376">
        <v>2020</v>
      </c>
      <c r="E576" s="376">
        <v>2023</v>
      </c>
      <c r="F576" s="376">
        <v>1</v>
      </c>
      <c r="G576" s="376">
        <v>15322.738981527909</v>
      </c>
      <c r="H576" s="376">
        <v>0</v>
      </c>
      <c r="I576" s="376">
        <v>0.65716939790195539</v>
      </c>
    </row>
    <row r="577" spans="1:9" x14ac:dyDescent="0.35">
      <c r="A577" s="376" t="s">
        <v>1615</v>
      </c>
      <c r="B577" s="376" t="s">
        <v>1609</v>
      </c>
      <c r="C577" s="376" t="s">
        <v>628</v>
      </c>
      <c r="D577" s="376">
        <v>2020</v>
      </c>
      <c r="E577" s="376">
        <v>2024</v>
      </c>
      <c r="F577" s="376">
        <v>1</v>
      </c>
      <c r="G577" s="376">
        <v>15322.738981527909</v>
      </c>
      <c r="H577" s="376">
        <v>0</v>
      </c>
      <c r="I577" s="376">
        <v>0.65716939790195539</v>
      </c>
    </row>
    <row r="578" spans="1:9" x14ac:dyDescent="0.35">
      <c r="A578" s="376" t="s">
        <v>1615</v>
      </c>
      <c r="B578" s="376" t="s">
        <v>1609</v>
      </c>
      <c r="C578" s="376" t="s">
        <v>628</v>
      </c>
      <c r="D578" s="376">
        <v>2020</v>
      </c>
      <c r="E578" s="376">
        <v>2025</v>
      </c>
      <c r="F578" s="376">
        <v>1</v>
      </c>
      <c r="G578" s="376">
        <v>15322.738981527909</v>
      </c>
      <c r="H578" s="376">
        <v>0</v>
      </c>
      <c r="I578" s="376">
        <v>0.65716939790195539</v>
      </c>
    </row>
    <row r="579" spans="1:9" x14ac:dyDescent="0.35">
      <c r="A579" s="376" t="s">
        <v>1615</v>
      </c>
      <c r="B579" s="376" t="s">
        <v>1609</v>
      </c>
      <c r="C579" s="376" t="s">
        <v>628</v>
      </c>
      <c r="D579" s="376">
        <v>2020</v>
      </c>
      <c r="E579" s="376">
        <v>2026</v>
      </c>
      <c r="F579" s="376">
        <v>1</v>
      </c>
      <c r="G579" s="376">
        <v>15322.738981527909</v>
      </c>
      <c r="H579" s="376">
        <v>0</v>
      </c>
      <c r="I579" s="376">
        <v>0.65716939790195539</v>
      </c>
    </row>
    <row r="580" spans="1:9" x14ac:dyDescent="0.35">
      <c r="A580" s="376" t="s">
        <v>1615</v>
      </c>
      <c r="B580" s="376" t="s">
        <v>1609</v>
      </c>
      <c r="C580" s="376" t="s">
        <v>628</v>
      </c>
      <c r="D580" s="376">
        <v>2020</v>
      </c>
      <c r="E580" s="376">
        <v>2027</v>
      </c>
      <c r="F580" s="376">
        <v>1</v>
      </c>
      <c r="G580" s="376">
        <v>15322.738981527909</v>
      </c>
      <c r="H580" s="376">
        <v>0</v>
      </c>
      <c r="I580" s="376">
        <v>0.65716939790195539</v>
      </c>
    </row>
    <row r="581" spans="1:9" x14ac:dyDescent="0.35">
      <c r="A581" s="376" t="s">
        <v>1615</v>
      </c>
      <c r="B581" s="376" t="s">
        <v>1609</v>
      </c>
      <c r="C581" s="376" t="s">
        <v>628</v>
      </c>
      <c r="D581" s="376">
        <v>2020</v>
      </c>
      <c r="E581" s="376">
        <v>2028</v>
      </c>
      <c r="F581" s="376">
        <v>1</v>
      </c>
      <c r="G581" s="376">
        <v>15322.738981527909</v>
      </c>
      <c r="H581" s="376">
        <v>0</v>
      </c>
      <c r="I581" s="376">
        <v>0.65716939790195539</v>
      </c>
    </row>
    <row r="582" spans="1:9" x14ac:dyDescent="0.35">
      <c r="A582" s="376" t="s">
        <v>1615</v>
      </c>
      <c r="B582" s="376" t="s">
        <v>1609</v>
      </c>
      <c r="C582" s="376" t="s">
        <v>628</v>
      </c>
      <c r="D582" s="376">
        <v>2020</v>
      </c>
      <c r="E582" s="376">
        <v>2029</v>
      </c>
      <c r="F582" s="376">
        <v>1</v>
      </c>
      <c r="G582" s="376">
        <v>15322.738981527909</v>
      </c>
      <c r="H582" s="376">
        <v>0</v>
      </c>
      <c r="I582" s="376">
        <v>0.65716939790195539</v>
      </c>
    </row>
    <row r="583" spans="1:9" x14ac:dyDescent="0.35">
      <c r="A583" s="376" t="s">
        <v>1615</v>
      </c>
      <c r="B583" s="376" t="s">
        <v>1609</v>
      </c>
      <c r="C583" s="376" t="s">
        <v>628</v>
      </c>
      <c r="D583" s="376">
        <v>2020</v>
      </c>
      <c r="E583" s="376">
        <v>2030</v>
      </c>
      <c r="F583" s="376">
        <v>1</v>
      </c>
      <c r="G583" s="376">
        <v>15322.738981527909</v>
      </c>
      <c r="H583" s="376">
        <v>0</v>
      </c>
      <c r="I583" s="376">
        <v>0.65716939790195539</v>
      </c>
    </row>
    <row r="584" spans="1:9" x14ac:dyDescent="0.35">
      <c r="A584" s="376" t="s">
        <v>1615</v>
      </c>
      <c r="B584" s="376" t="s">
        <v>1609</v>
      </c>
      <c r="C584" s="376" t="s">
        <v>628</v>
      </c>
      <c r="D584" s="376">
        <v>2020</v>
      </c>
      <c r="E584" s="376">
        <v>2031</v>
      </c>
      <c r="F584" s="376">
        <v>1</v>
      </c>
      <c r="G584" s="376">
        <v>15322.738981527909</v>
      </c>
      <c r="H584" s="376">
        <v>0</v>
      </c>
      <c r="I584" s="376">
        <v>0.65716939790195539</v>
      </c>
    </row>
    <row r="585" spans="1:9" x14ac:dyDescent="0.35">
      <c r="A585" s="376" t="s">
        <v>1603</v>
      </c>
      <c r="B585" s="376" t="s">
        <v>1609</v>
      </c>
      <c r="C585" s="376" t="s">
        <v>628</v>
      </c>
      <c r="D585" s="376">
        <v>2020</v>
      </c>
      <c r="E585" s="376">
        <v>2021</v>
      </c>
      <c r="F585" s="376">
        <v>1</v>
      </c>
      <c r="G585" s="376">
        <v>2761.0753173085959</v>
      </c>
      <c r="H585" s="376">
        <v>0</v>
      </c>
      <c r="I585" s="376">
        <v>1</v>
      </c>
    </row>
    <row r="586" spans="1:9" x14ac:dyDescent="0.35">
      <c r="A586" s="376" t="s">
        <v>1603</v>
      </c>
      <c r="B586" s="376" t="s">
        <v>1609</v>
      </c>
      <c r="C586" s="376" t="s">
        <v>628</v>
      </c>
      <c r="D586" s="376">
        <v>2020</v>
      </c>
      <c r="E586" s="376">
        <v>2022</v>
      </c>
      <c r="F586" s="376">
        <v>1</v>
      </c>
      <c r="G586" s="376">
        <v>2761.0753173085959</v>
      </c>
      <c r="H586" s="376">
        <v>0</v>
      </c>
      <c r="I586" s="376">
        <v>1</v>
      </c>
    </row>
    <row r="587" spans="1:9" x14ac:dyDescent="0.35">
      <c r="A587" s="376" t="s">
        <v>1603</v>
      </c>
      <c r="B587" s="376" t="s">
        <v>1609</v>
      </c>
      <c r="C587" s="376" t="s">
        <v>628</v>
      </c>
      <c r="D587" s="376">
        <v>2020</v>
      </c>
      <c r="E587" s="376">
        <v>2023</v>
      </c>
      <c r="F587" s="376">
        <v>1</v>
      </c>
      <c r="G587" s="376">
        <v>2761.0753173085959</v>
      </c>
      <c r="H587" s="376">
        <v>0</v>
      </c>
      <c r="I587" s="376">
        <v>1</v>
      </c>
    </row>
    <row r="588" spans="1:9" x14ac:dyDescent="0.35">
      <c r="A588" s="376" t="s">
        <v>1603</v>
      </c>
      <c r="B588" s="376" t="s">
        <v>1609</v>
      </c>
      <c r="C588" s="376" t="s">
        <v>628</v>
      </c>
      <c r="D588" s="376">
        <v>2020</v>
      </c>
      <c r="E588" s="376">
        <v>2024</v>
      </c>
      <c r="F588" s="376">
        <v>1</v>
      </c>
      <c r="G588" s="376">
        <v>2761.0753173085959</v>
      </c>
      <c r="H588" s="376">
        <v>0</v>
      </c>
      <c r="I588" s="376">
        <v>1</v>
      </c>
    </row>
    <row r="589" spans="1:9" x14ac:dyDescent="0.35">
      <c r="A589" s="376" t="s">
        <v>1603</v>
      </c>
      <c r="B589" s="376" t="s">
        <v>1609</v>
      </c>
      <c r="C589" s="376" t="s">
        <v>628</v>
      </c>
      <c r="D589" s="376">
        <v>2020</v>
      </c>
      <c r="E589" s="376">
        <v>2025</v>
      </c>
      <c r="F589" s="376">
        <v>1</v>
      </c>
      <c r="G589" s="376">
        <v>2761.0753173085959</v>
      </c>
      <c r="H589" s="376">
        <v>0</v>
      </c>
      <c r="I589" s="376">
        <v>1</v>
      </c>
    </row>
    <row r="590" spans="1:9" x14ac:dyDescent="0.35">
      <c r="A590" s="376" t="s">
        <v>1603</v>
      </c>
      <c r="B590" s="376" t="s">
        <v>1609</v>
      </c>
      <c r="C590" s="376" t="s">
        <v>628</v>
      </c>
      <c r="D590" s="376">
        <v>2020</v>
      </c>
      <c r="E590" s="376">
        <v>2026</v>
      </c>
      <c r="F590" s="376">
        <v>1</v>
      </c>
      <c r="G590" s="376">
        <v>2761.0753173085959</v>
      </c>
      <c r="H590" s="376">
        <v>0</v>
      </c>
      <c r="I590" s="376">
        <v>1</v>
      </c>
    </row>
    <row r="591" spans="1:9" x14ac:dyDescent="0.35">
      <c r="A591" s="376" t="s">
        <v>1603</v>
      </c>
      <c r="B591" s="376" t="s">
        <v>1609</v>
      </c>
      <c r="C591" s="376" t="s">
        <v>628</v>
      </c>
      <c r="D591" s="376">
        <v>2020</v>
      </c>
      <c r="E591" s="376">
        <v>2027</v>
      </c>
      <c r="F591" s="376">
        <v>1</v>
      </c>
      <c r="G591" s="376">
        <v>2761.0753173085959</v>
      </c>
      <c r="H591" s="376">
        <v>0</v>
      </c>
      <c r="I591" s="376">
        <v>1</v>
      </c>
    </row>
    <row r="592" spans="1:9" x14ac:dyDescent="0.35">
      <c r="A592" s="376" t="s">
        <v>1603</v>
      </c>
      <c r="B592" s="376" t="s">
        <v>1609</v>
      </c>
      <c r="C592" s="376" t="s">
        <v>628</v>
      </c>
      <c r="D592" s="376">
        <v>2020</v>
      </c>
      <c r="E592" s="376">
        <v>2028</v>
      </c>
      <c r="F592" s="376">
        <v>1</v>
      </c>
      <c r="G592" s="376">
        <v>2761.0753173085959</v>
      </c>
      <c r="H592" s="376">
        <v>0</v>
      </c>
      <c r="I592" s="376">
        <v>1</v>
      </c>
    </row>
    <row r="593" spans="1:9" x14ac:dyDescent="0.35">
      <c r="A593" s="376" t="s">
        <v>1603</v>
      </c>
      <c r="B593" s="376" t="s">
        <v>1609</v>
      </c>
      <c r="C593" s="376" t="s">
        <v>628</v>
      </c>
      <c r="D593" s="376">
        <v>2020</v>
      </c>
      <c r="E593" s="376">
        <v>2029</v>
      </c>
      <c r="F593" s="376">
        <v>1</v>
      </c>
      <c r="G593" s="376">
        <v>2761.0753173085959</v>
      </c>
      <c r="H593" s="376">
        <v>0</v>
      </c>
      <c r="I593" s="376">
        <v>1</v>
      </c>
    </row>
    <row r="594" spans="1:9" x14ac:dyDescent="0.35">
      <c r="A594" s="376" t="s">
        <v>1603</v>
      </c>
      <c r="B594" s="376" t="s">
        <v>1609</v>
      </c>
      <c r="C594" s="376" t="s">
        <v>628</v>
      </c>
      <c r="D594" s="376">
        <v>2020</v>
      </c>
      <c r="E594" s="376">
        <v>2030</v>
      </c>
      <c r="F594" s="376">
        <v>1</v>
      </c>
      <c r="G594" s="376">
        <v>2761.0753173085959</v>
      </c>
      <c r="H594" s="376">
        <v>0</v>
      </c>
      <c r="I594" s="376">
        <v>1</v>
      </c>
    </row>
    <row r="595" spans="1:9" x14ac:dyDescent="0.35">
      <c r="A595" s="376" t="s">
        <v>1603</v>
      </c>
      <c r="B595" s="376" t="s">
        <v>1609</v>
      </c>
      <c r="C595" s="376" t="s">
        <v>628</v>
      </c>
      <c r="D595" s="376">
        <v>2020</v>
      </c>
      <c r="E595" s="376">
        <v>2031</v>
      </c>
      <c r="F595" s="376">
        <v>1</v>
      </c>
      <c r="G595" s="376">
        <v>2761.0753173085959</v>
      </c>
      <c r="H595" s="376">
        <v>0</v>
      </c>
      <c r="I595" s="376">
        <v>1</v>
      </c>
    </row>
    <row r="596" spans="1:9" x14ac:dyDescent="0.35">
      <c r="A596" s="376" t="s">
        <v>1605</v>
      </c>
      <c r="B596" s="376" t="s">
        <v>1609</v>
      </c>
      <c r="C596" s="376" t="s">
        <v>628</v>
      </c>
      <c r="D596" s="376">
        <v>2020</v>
      </c>
      <c r="E596" s="376">
        <v>2021</v>
      </c>
      <c r="F596" s="376">
        <v>0.23884589662749595</v>
      </c>
      <c r="G596" s="376">
        <v>11616.716581930692</v>
      </c>
      <c r="H596" s="376">
        <v>0</v>
      </c>
      <c r="I596" s="376">
        <v>1</v>
      </c>
    </row>
    <row r="597" spans="1:9" x14ac:dyDescent="0.35">
      <c r="A597" s="376" t="s">
        <v>1605</v>
      </c>
      <c r="B597" s="376" t="s">
        <v>1609</v>
      </c>
      <c r="C597" s="376" t="s">
        <v>628</v>
      </c>
      <c r="D597" s="376">
        <v>2020</v>
      </c>
      <c r="E597" s="376">
        <v>2022</v>
      </c>
      <c r="F597" s="376">
        <v>0.23884589662749595</v>
      </c>
      <c r="G597" s="376">
        <v>11616.716581930692</v>
      </c>
      <c r="H597" s="376">
        <v>0</v>
      </c>
      <c r="I597" s="376">
        <v>1</v>
      </c>
    </row>
    <row r="598" spans="1:9" x14ac:dyDescent="0.35">
      <c r="A598" s="376" t="s">
        <v>1605</v>
      </c>
      <c r="B598" s="376" t="s">
        <v>1609</v>
      </c>
      <c r="C598" s="376" t="s">
        <v>628</v>
      </c>
      <c r="D598" s="376">
        <v>2020</v>
      </c>
      <c r="E598" s="376">
        <v>2023</v>
      </c>
      <c r="F598" s="376">
        <v>0.23884589662749595</v>
      </c>
      <c r="G598" s="376">
        <v>11616.716581930692</v>
      </c>
      <c r="H598" s="376">
        <v>0</v>
      </c>
      <c r="I598" s="376">
        <v>1</v>
      </c>
    </row>
    <row r="599" spans="1:9" x14ac:dyDescent="0.35">
      <c r="A599" s="376" t="s">
        <v>1605</v>
      </c>
      <c r="B599" s="376" t="s">
        <v>1609</v>
      </c>
      <c r="C599" s="376" t="s">
        <v>628</v>
      </c>
      <c r="D599" s="376">
        <v>2020</v>
      </c>
      <c r="E599" s="376">
        <v>2024</v>
      </c>
      <c r="F599" s="376">
        <v>0.23884589662749595</v>
      </c>
      <c r="G599" s="376">
        <v>11616.716581930692</v>
      </c>
      <c r="H599" s="376">
        <v>0</v>
      </c>
      <c r="I599" s="376">
        <v>1</v>
      </c>
    </row>
    <row r="600" spans="1:9" x14ac:dyDescent="0.35">
      <c r="A600" s="376" t="s">
        <v>1605</v>
      </c>
      <c r="B600" s="376" t="s">
        <v>1609</v>
      </c>
      <c r="C600" s="376" t="s">
        <v>628</v>
      </c>
      <c r="D600" s="376">
        <v>2020</v>
      </c>
      <c r="E600" s="376">
        <v>2025</v>
      </c>
      <c r="F600" s="376">
        <v>0.23884589662749595</v>
      </c>
      <c r="G600" s="376">
        <v>11616.716581930692</v>
      </c>
      <c r="H600" s="376">
        <v>0</v>
      </c>
      <c r="I600" s="376">
        <v>1</v>
      </c>
    </row>
    <row r="601" spans="1:9" x14ac:dyDescent="0.35">
      <c r="A601" s="376" t="s">
        <v>1605</v>
      </c>
      <c r="B601" s="376" t="s">
        <v>1609</v>
      </c>
      <c r="C601" s="376" t="s">
        <v>628</v>
      </c>
      <c r="D601" s="376">
        <v>2020</v>
      </c>
      <c r="E601" s="376">
        <v>2026</v>
      </c>
      <c r="F601" s="376">
        <v>0.23884589662749595</v>
      </c>
      <c r="G601" s="376">
        <v>11616.716581930692</v>
      </c>
      <c r="H601" s="376">
        <v>0</v>
      </c>
      <c r="I601" s="376">
        <v>1</v>
      </c>
    </row>
    <row r="602" spans="1:9" x14ac:dyDescent="0.35">
      <c r="A602" s="376" t="s">
        <v>1605</v>
      </c>
      <c r="B602" s="376" t="s">
        <v>1609</v>
      </c>
      <c r="C602" s="376" t="s">
        <v>628</v>
      </c>
      <c r="D602" s="376">
        <v>2020</v>
      </c>
      <c r="E602" s="376">
        <v>2027</v>
      </c>
      <c r="F602" s="376">
        <v>0.23884589662749595</v>
      </c>
      <c r="G602" s="376">
        <v>11616.716581930692</v>
      </c>
      <c r="H602" s="376">
        <v>0</v>
      </c>
      <c r="I602" s="376">
        <v>1</v>
      </c>
    </row>
    <row r="603" spans="1:9" x14ac:dyDescent="0.35">
      <c r="A603" s="376" t="s">
        <v>1605</v>
      </c>
      <c r="B603" s="376" t="s">
        <v>1609</v>
      </c>
      <c r="C603" s="376" t="s">
        <v>628</v>
      </c>
      <c r="D603" s="376">
        <v>2020</v>
      </c>
      <c r="E603" s="376">
        <v>2028</v>
      </c>
      <c r="F603" s="376">
        <v>0.23884589662749595</v>
      </c>
      <c r="G603" s="376">
        <v>11616.716581930692</v>
      </c>
      <c r="H603" s="376">
        <v>0</v>
      </c>
      <c r="I603" s="376">
        <v>1</v>
      </c>
    </row>
    <row r="604" spans="1:9" x14ac:dyDescent="0.35">
      <c r="A604" s="376" t="s">
        <v>1605</v>
      </c>
      <c r="B604" s="376" t="s">
        <v>1609</v>
      </c>
      <c r="C604" s="376" t="s">
        <v>628</v>
      </c>
      <c r="D604" s="376">
        <v>2020</v>
      </c>
      <c r="E604" s="376">
        <v>2029</v>
      </c>
      <c r="F604" s="376">
        <v>0.23884589662749595</v>
      </c>
      <c r="G604" s="376">
        <v>11616.716581930692</v>
      </c>
      <c r="H604" s="376">
        <v>0</v>
      </c>
      <c r="I604" s="376">
        <v>1</v>
      </c>
    </row>
    <row r="605" spans="1:9" x14ac:dyDescent="0.35">
      <c r="A605" s="376" t="s">
        <v>1605</v>
      </c>
      <c r="B605" s="376" t="s">
        <v>1609</v>
      </c>
      <c r="C605" s="376" t="s">
        <v>628</v>
      </c>
      <c r="D605" s="376">
        <v>2020</v>
      </c>
      <c r="E605" s="376">
        <v>2030</v>
      </c>
      <c r="F605" s="376">
        <v>0.23884589662749595</v>
      </c>
      <c r="G605" s="376">
        <v>11616.716581930692</v>
      </c>
      <c r="H605" s="376">
        <v>0</v>
      </c>
      <c r="I605" s="376">
        <v>1</v>
      </c>
    </row>
    <row r="606" spans="1:9" x14ac:dyDescent="0.35">
      <c r="A606" s="376" t="s">
        <v>1605</v>
      </c>
      <c r="B606" s="376" t="s">
        <v>1609</v>
      </c>
      <c r="C606" s="376" t="s">
        <v>628</v>
      </c>
      <c r="D606" s="376">
        <v>2020</v>
      </c>
      <c r="E606" s="376">
        <v>2031</v>
      </c>
      <c r="F606" s="376">
        <v>0.23884589662749595</v>
      </c>
      <c r="G606" s="376">
        <v>11616.716581930692</v>
      </c>
      <c r="H606" s="376">
        <v>0</v>
      </c>
      <c r="I606" s="376">
        <v>1</v>
      </c>
    </row>
    <row r="607" spans="1:9" x14ac:dyDescent="0.35">
      <c r="A607" s="376" t="s">
        <v>1636</v>
      </c>
      <c r="B607" s="376" t="s">
        <v>1609</v>
      </c>
      <c r="C607" s="376" t="s">
        <v>628</v>
      </c>
      <c r="D607" s="376">
        <v>2020</v>
      </c>
      <c r="E607" s="376">
        <v>2021</v>
      </c>
      <c r="F607" s="376">
        <v>1</v>
      </c>
      <c r="G607" s="376">
        <v>10793.167282852371</v>
      </c>
      <c r="H607" s="376">
        <v>0</v>
      </c>
      <c r="I607" s="376">
        <v>1</v>
      </c>
    </row>
    <row r="608" spans="1:9" x14ac:dyDescent="0.35">
      <c r="A608" s="376" t="s">
        <v>1636</v>
      </c>
      <c r="B608" s="376" t="s">
        <v>1609</v>
      </c>
      <c r="C608" s="376" t="s">
        <v>628</v>
      </c>
      <c r="D608" s="376">
        <v>2020</v>
      </c>
      <c r="E608" s="376">
        <v>2022</v>
      </c>
      <c r="F608" s="376">
        <v>1</v>
      </c>
      <c r="G608" s="376">
        <v>10361.440591538276</v>
      </c>
      <c r="H608" s="376">
        <v>0</v>
      </c>
      <c r="I608" s="376">
        <v>1</v>
      </c>
    </row>
    <row r="609" spans="1:9" x14ac:dyDescent="0.35">
      <c r="A609" s="376" t="s">
        <v>1636</v>
      </c>
      <c r="B609" s="376" t="s">
        <v>1609</v>
      </c>
      <c r="C609" s="376" t="s">
        <v>628</v>
      </c>
      <c r="D609" s="376">
        <v>2020</v>
      </c>
      <c r="E609" s="376">
        <v>2023</v>
      </c>
      <c r="F609" s="376">
        <v>1</v>
      </c>
      <c r="G609" s="376">
        <v>9946.9829678767437</v>
      </c>
      <c r="H609" s="376">
        <v>0</v>
      </c>
      <c r="I609" s="376">
        <v>1</v>
      </c>
    </row>
    <row r="610" spans="1:9" x14ac:dyDescent="0.35">
      <c r="A610" s="376" t="s">
        <v>1636</v>
      </c>
      <c r="B610" s="376" t="s">
        <v>1609</v>
      </c>
      <c r="C610" s="376" t="s">
        <v>628</v>
      </c>
      <c r="D610" s="376">
        <v>2020</v>
      </c>
      <c r="E610" s="376">
        <v>2024</v>
      </c>
      <c r="F610" s="376">
        <v>1</v>
      </c>
      <c r="G610" s="376">
        <v>9549.1036491616742</v>
      </c>
      <c r="H610" s="376">
        <v>0</v>
      </c>
      <c r="I610" s="376">
        <v>1</v>
      </c>
    </row>
    <row r="611" spans="1:9" x14ac:dyDescent="0.35">
      <c r="A611" s="376" t="s">
        <v>1636</v>
      </c>
      <c r="B611" s="376" t="s">
        <v>1609</v>
      </c>
      <c r="C611" s="376" t="s">
        <v>628</v>
      </c>
      <c r="D611" s="376">
        <v>2020</v>
      </c>
      <c r="E611" s="376">
        <v>2025</v>
      </c>
      <c r="F611" s="376">
        <v>1</v>
      </c>
      <c r="G611" s="376">
        <v>9167.139503195207</v>
      </c>
      <c r="H611" s="376">
        <v>0</v>
      </c>
      <c r="I611" s="376">
        <v>1</v>
      </c>
    </row>
    <row r="612" spans="1:9" x14ac:dyDescent="0.35">
      <c r="A612" s="376" t="s">
        <v>1636</v>
      </c>
      <c r="B612" s="376" t="s">
        <v>1609</v>
      </c>
      <c r="C612" s="376" t="s">
        <v>628</v>
      </c>
      <c r="D612" s="376">
        <v>2020</v>
      </c>
      <c r="E612" s="376">
        <v>2026</v>
      </c>
      <c r="F612" s="376">
        <v>1</v>
      </c>
      <c r="G612" s="376">
        <v>8800.4539230673981</v>
      </c>
      <c r="H612" s="376">
        <v>0</v>
      </c>
      <c r="I612" s="376">
        <v>1</v>
      </c>
    </row>
    <row r="613" spans="1:9" x14ac:dyDescent="0.35">
      <c r="A613" s="376" t="s">
        <v>1636</v>
      </c>
      <c r="B613" s="376" t="s">
        <v>1609</v>
      </c>
      <c r="C613" s="376" t="s">
        <v>628</v>
      </c>
      <c r="D613" s="376">
        <v>2020</v>
      </c>
      <c r="E613" s="376">
        <v>2027</v>
      </c>
      <c r="F613" s="376">
        <v>1</v>
      </c>
      <c r="G613" s="376">
        <v>8448.4357661447011</v>
      </c>
      <c r="H613" s="376">
        <v>0</v>
      </c>
      <c r="I613" s="376">
        <v>1</v>
      </c>
    </row>
    <row r="614" spans="1:9" x14ac:dyDescent="0.35">
      <c r="A614" s="376" t="s">
        <v>1636</v>
      </c>
      <c r="B614" s="376" t="s">
        <v>1609</v>
      </c>
      <c r="C614" s="376" t="s">
        <v>628</v>
      </c>
      <c r="D614" s="376">
        <v>2020</v>
      </c>
      <c r="E614" s="376">
        <v>2028</v>
      </c>
      <c r="F614" s="376">
        <v>1</v>
      </c>
      <c r="G614" s="376">
        <v>8110.4983354989126</v>
      </c>
      <c r="H614" s="376">
        <v>0</v>
      </c>
      <c r="I614" s="376">
        <v>1</v>
      </c>
    </row>
    <row r="615" spans="1:9" x14ac:dyDescent="0.35">
      <c r="A615" s="376" t="s">
        <v>1636</v>
      </c>
      <c r="B615" s="376" t="s">
        <v>1609</v>
      </c>
      <c r="C615" s="376" t="s">
        <v>628</v>
      </c>
      <c r="D615" s="376">
        <v>2020</v>
      </c>
      <c r="E615" s="376">
        <v>2029</v>
      </c>
      <c r="F615" s="376">
        <v>1</v>
      </c>
      <c r="G615" s="376">
        <v>7786.0784020789561</v>
      </c>
      <c r="H615" s="376">
        <v>0</v>
      </c>
      <c r="I615" s="376">
        <v>1</v>
      </c>
    </row>
    <row r="616" spans="1:9" x14ac:dyDescent="0.35">
      <c r="A616" s="376" t="s">
        <v>1636</v>
      </c>
      <c r="B616" s="376" t="s">
        <v>1609</v>
      </c>
      <c r="C616" s="376" t="s">
        <v>628</v>
      </c>
      <c r="D616" s="376">
        <v>2020</v>
      </c>
      <c r="E616" s="376">
        <v>2030</v>
      </c>
      <c r="F616" s="376">
        <v>1</v>
      </c>
      <c r="G616" s="376">
        <v>7474.6352659957975</v>
      </c>
      <c r="H616" s="376">
        <v>0</v>
      </c>
      <c r="I616" s="376">
        <v>1</v>
      </c>
    </row>
    <row r="617" spans="1:9" x14ac:dyDescent="0.35">
      <c r="A617" s="376" t="s">
        <v>1636</v>
      </c>
      <c r="B617" s="376" t="s">
        <v>1609</v>
      </c>
      <c r="C617" s="376" t="s">
        <v>628</v>
      </c>
      <c r="D617" s="376">
        <v>2020</v>
      </c>
      <c r="E617" s="376">
        <v>2031</v>
      </c>
      <c r="F617" s="376">
        <v>1</v>
      </c>
      <c r="G617" s="376">
        <v>7175.649855355965</v>
      </c>
      <c r="H617" s="376">
        <v>0</v>
      </c>
      <c r="I617" s="376">
        <v>1</v>
      </c>
    </row>
    <row r="618" spans="1:9" x14ac:dyDescent="0.35">
      <c r="A618" s="376" t="s">
        <v>1606</v>
      </c>
      <c r="B618" s="376" t="s">
        <v>1609</v>
      </c>
      <c r="C618" s="376" t="s">
        <v>628</v>
      </c>
      <c r="D618" s="376">
        <v>2020</v>
      </c>
      <c r="E618" s="376">
        <v>2021</v>
      </c>
      <c r="F618" s="376">
        <v>1</v>
      </c>
      <c r="G618" s="376">
        <v>7346.1988674099939</v>
      </c>
      <c r="H618" s="376">
        <v>0</v>
      </c>
      <c r="I618" s="376">
        <v>1</v>
      </c>
    </row>
    <row r="619" spans="1:9" x14ac:dyDescent="0.35">
      <c r="A619" s="376" t="s">
        <v>1606</v>
      </c>
      <c r="B619" s="376" t="s">
        <v>1609</v>
      </c>
      <c r="C619" s="376" t="s">
        <v>628</v>
      </c>
      <c r="D619" s="376">
        <v>2020</v>
      </c>
      <c r="E619" s="376">
        <v>2022</v>
      </c>
      <c r="F619" s="376">
        <v>1</v>
      </c>
      <c r="G619" s="376">
        <v>7052.350912713594</v>
      </c>
      <c r="H619" s="376">
        <v>0</v>
      </c>
      <c r="I619" s="376">
        <v>1</v>
      </c>
    </row>
    <row r="620" spans="1:9" x14ac:dyDescent="0.35">
      <c r="A620" s="376" t="s">
        <v>1606</v>
      </c>
      <c r="B620" s="376" t="s">
        <v>1609</v>
      </c>
      <c r="C620" s="376" t="s">
        <v>628</v>
      </c>
      <c r="D620" s="376">
        <v>2020</v>
      </c>
      <c r="E620" s="376">
        <v>2023</v>
      </c>
      <c r="F620" s="376">
        <v>1</v>
      </c>
      <c r="G620" s="376">
        <v>6770.2568762050496</v>
      </c>
      <c r="H620" s="376">
        <v>0</v>
      </c>
      <c r="I620" s="376">
        <v>1</v>
      </c>
    </row>
    <row r="621" spans="1:9" x14ac:dyDescent="0.35">
      <c r="A621" s="376" t="s">
        <v>1606</v>
      </c>
      <c r="B621" s="376" t="s">
        <v>1609</v>
      </c>
      <c r="C621" s="376" t="s">
        <v>628</v>
      </c>
      <c r="D621" s="376">
        <v>2020</v>
      </c>
      <c r="E621" s="376">
        <v>2024</v>
      </c>
      <c r="F621" s="376">
        <v>1</v>
      </c>
      <c r="G621" s="376">
        <v>6499.4466011568475</v>
      </c>
      <c r="H621" s="376">
        <v>0</v>
      </c>
      <c r="I621" s="376">
        <v>1</v>
      </c>
    </row>
    <row r="622" spans="1:9" x14ac:dyDescent="0.35">
      <c r="A622" s="376" t="s">
        <v>1606</v>
      </c>
      <c r="B622" s="376" t="s">
        <v>1609</v>
      </c>
      <c r="C622" s="376" t="s">
        <v>628</v>
      </c>
      <c r="D622" s="376">
        <v>2020</v>
      </c>
      <c r="E622" s="376">
        <v>2025</v>
      </c>
      <c r="F622" s="376">
        <v>1</v>
      </c>
      <c r="G622" s="376">
        <v>6239.4687371105738</v>
      </c>
      <c r="H622" s="376">
        <v>0</v>
      </c>
      <c r="I622" s="376">
        <v>1</v>
      </c>
    </row>
    <row r="623" spans="1:9" x14ac:dyDescent="0.35">
      <c r="A623" s="376" t="s">
        <v>1606</v>
      </c>
      <c r="B623" s="376" t="s">
        <v>1609</v>
      </c>
      <c r="C623" s="376" t="s">
        <v>628</v>
      </c>
      <c r="D623" s="376">
        <v>2020</v>
      </c>
      <c r="E623" s="376">
        <v>2026</v>
      </c>
      <c r="F623" s="376">
        <v>1</v>
      </c>
      <c r="G623" s="376">
        <v>5989.8899876261503</v>
      </c>
      <c r="H623" s="376">
        <v>0</v>
      </c>
      <c r="I623" s="376">
        <v>1</v>
      </c>
    </row>
    <row r="624" spans="1:9" x14ac:dyDescent="0.35">
      <c r="A624" s="376" t="s">
        <v>1606</v>
      </c>
      <c r="B624" s="376" t="s">
        <v>1609</v>
      </c>
      <c r="C624" s="376" t="s">
        <v>628</v>
      </c>
      <c r="D624" s="376">
        <v>2020</v>
      </c>
      <c r="E624" s="376">
        <v>2027</v>
      </c>
      <c r="F624" s="376">
        <v>1</v>
      </c>
      <c r="G624" s="376">
        <v>5750.294388121104</v>
      </c>
      <c r="H624" s="376">
        <v>0</v>
      </c>
      <c r="I624" s="376">
        <v>1</v>
      </c>
    </row>
    <row r="625" spans="1:9" x14ac:dyDescent="0.35">
      <c r="A625" s="376" t="s">
        <v>1606</v>
      </c>
      <c r="B625" s="376" t="s">
        <v>1609</v>
      </c>
      <c r="C625" s="376" t="s">
        <v>628</v>
      </c>
      <c r="D625" s="376">
        <v>2020</v>
      </c>
      <c r="E625" s="376">
        <v>2028</v>
      </c>
      <c r="F625" s="376">
        <v>1</v>
      </c>
      <c r="G625" s="376">
        <v>5520.2826125962592</v>
      </c>
      <c r="H625" s="376">
        <v>0</v>
      </c>
      <c r="I625" s="376">
        <v>1</v>
      </c>
    </row>
    <row r="626" spans="1:9" x14ac:dyDescent="0.35">
      <c r="A626" s="376" t="s">
        <v>1606</v>
      </c>
      <c r="B626" s="376" t="s">
        <v>1609</v>
      </c>
      <c r="C626" s="376" t="s">
        <v>628</v>
      </c>
      <c r="D626" s="376">
        <v>2020</v>
      </c>
      <c r="E626" s="376">
        <v>2029</v>
      </c>
      <c r="F626" s="376">
        <v>1</v>
      </c>
      <c r="G626" s="376">
        <v>5299.4713080924084</v>
      </c>
      <c r="H626" s="376">
        <v>0</v>
      </c>
      <c r="I626" s="376">
        <v>1</v>
      </c>
    </row>
    <row r="627" spans="1:9" x14ac:dyDescent="0.35">
      <c r="A627" s="376" t="s">
        <v>1606</v>
      </c>
      <c r="B627" s="376" t="s">
        <v>1609</v>
      </c>
      <c r="C627" s="376" t="s">
        <v>628</v>
      </c>
      <c r="D627" s="376">
        <v>2020</v>
      </c>
      <c r="E627" s="376">
        <v>2030</v>
      </c>
      <c r="F627" s="376">
        <v>1</v>
      </c>
      <c r="G627" s="376">
        <v>5087.4924557687118</v>
      </c>
      <c r="H627" s="376">
        <v>0</v>
      </c>
      <c r="I627" s="376">
        <v>1</v>
      </c>
    </row>
    <row r="628" spans="1:9" x14ac:dyDescent="0.35">
      <c r="A628" s="376" t="s">
        <v>1606</v>
      </c>
      <c r="B628" s="376" t="s">
        <v>1609</v>
      </c>
      <c r="C628" s="376" t="s">
        <v>628</v>
      </c>
      <c r="D628" s="376">
        <v>2020</v>
      </c>
      <c r="E628" s="376">
        <v>2031</v>
      </c>
      <c r="F628" s="376">
        <v>1</v>
      </c>
      <c r="G628" s="376">
        <v>4883.9927575379634</v>
      </c>
      <c r="H628" s="376">
        <v>0</v>
      </c>
      <c r="I628" s="376">
        <v>1</v>
      </c>
    </row>
    <row r="629" spans="1:9" x14ac:dyDescent="0.35">
      <c r="A629" s="376" t="s">
        <v>1612</v>
      </c>
      <c r="B629" s="376" t="s">
        <v>1609</v>
      </c>
      <c r="C629" s="376" t="s">
        <v>1051</v>
      </c>
      <c r="D629" s="376">
        <v>2020</v>
      </c>
      <c r="E629" s="376">
        <v>2021</v>
      </c>
      <c r="F629" s="376">
        <v>0.35737526128209052</v>
      </c>
      <c r="G629" s="376">
        <v>8795.5010709939306</v>
      </c>
      <c r="H629" s="376">
        <v>0.25</v>
      </c>
      <c r="I629" s="376">
        <v>0.85</v>
      </c>
    </row>
    <row r="630" spans="1:9" x14ac:dyDescent="0.35">
      <c r="A630" s="376" t="s">
        <v>1612</v>
      </c>
      <c r="B630" s="376" t="s">
        <v>1609</v>
      </c>
      <c r="C630" s="376" t="s">
        <v>1051</v>
      </c>
      <c r="D630" s="376">
        <v>2020</v>
      </c>
      <c r="E630" s="376">
        <v>2022</v>
      </c>
      <c r="F630" s="376">
        <v>0.35737526128209052</v>
      </c>
      <c r="G630" s="376">
        <v>8810.660827606267</v>
      </c>
      <c r="H630" s="376">
        <v>0.25</v>
      </c>
      <c r="I630" s="376">
        <v>0.85</v>
      </c>
    </row>
    <row r="631" spans="1:9" x14ac:dyDescent="0.35">
      <c r="A631" s="376" t="s">
        <v>1612</v>
      </c>
      <c r="B631" s="376" t="s">
        <v>1609</v>
      </c>
      <c r="C631" s="376" t="s">
        <v>1051</v>
      </c>
      <c r="D631" s="376">
        <v>2020</v>
      </c>
      <c r="E631" s="376">
        <v>2023</v>
      </c>
      <c r="F631" s="376">
        <v>0.35737526128209052</v>
      </c>
      <c r="G631" s="376">
        <v>8825.8467132837577</v>
      </c>
      <c r="H631" s="376">
        <v>0.25</v>
      </c>
      <c r="I631" s="376">
        <v>0.85</v>
      </c>
    </row>
    <row r="632" spans="1:9" x14ac:dyDescent="0.35">
      <c r="A632" s="376" t="s">
        <v>1612</v>
      </c>
      <c r="B632" s="376" t="s">
        <v>1609</v>
      </c>
      <c r="C632" s="376" t="s">
        <v>1051</v>
      </c>
      <c r="D632" s="376">
        <v>2020</v>
      </c>
      <c r="E632" s="376">
        <v>2024</v>
      </c>
      <c r="F632" s="376">
        <v>0.35737526128209052</v>
      </c>
      <c r="G632" s="376">
        <v>8841.0587730619554</v>
      </c>
      <c r="H632" s="376">
        <v>0.25</v>
      </c>
      <c r="I632" s="376">
        <v>0.85</v>
      </c>
    </row>
    <row r="633" spans="1:9" x14ac:dyDescent="0.35">
      <c r="A633" s="376" t="s">
        <v>1612</v>
      </c>
      <c r="B633" s="376" t="s">
        <v>1609</v>
      </c>
      <c r="C633" s="376" t="s">
        <v>1051</v>
      </c>
      <c r="D633" s="376">
        <v>2020</v>
      </c>
      <c r="E633" s="376">
        <v>2025</v>
      </c>
      <c r="F633" s="376">
        <v>0.35737526128209052</v>
      </c>
      <c r="G633" s="376">
        <v>8856.2970520540384</v>
      </c>
      <c r="H633" s="376">
        <v>0.25</v>
      </c>
      <c r="I633" s="376">
        <v>0.85</v>
      </c>
    </row>
    <row r="634" spans="1:9" x14ac:dyDescent="0.35">
      <c r="A634" s="376" t="s">
        <v>1612</v>
      </c>
      <c r="B634" s="376" t="s">
        <v>1609</v>
      </c>
      <c r="C634" s="376" t="s">
        <v>1051</v>
      </c>
      <c r="D634" s="376">
        <v>2020</v>
      </c>
      <c r="E634" s="376">
        <v>2026</v>
      </c>
      <c r="F634" s="376">
        <v>0.35737526128209052</v>
      </c>
      <c r="G634" s="376">
        <v>8871.5615954509412</v>
      </c>
      <c r="H634" s="376">
        <v>0.25</v>
      </c>
      <c r="I634" s="376">
        <v>0.85</v>
      </c>
    </row>
    <row r="635" spans="1:9" x14ac:dyDescent="0.35">
      <c r="A635" s="376" t="s">
        <v>1612</v>
      </c>
      <c r="B635" s="376" t="s">
        <v>1609</v>
      </c>
      <c r="C635" s="376" t="s">
        <v>1051</v>
      </c>
      <c r="D635" s="376">
        <v>2020</v>
      </c>
      <c r="E635" s="376">
        <v>2027</v>
      </c>
      <c r="F635" s="376">
        <v>0.35737526128209052</v>
      </c>
      <c r="G635" s="376">
        <v>8886.8524485214857</v>
      </c>
      <c r="H635" s="376">
        <v>0.25</v>
      </c>
      <c r="I635" s="376">
        <v>0.85</v>
      </c>
    </row>
    <row r="636" spans="1:9" x14ac:dyDescent="0.35">
      <c r="A636" s="376" t="s">
        <v>1612</v>
      </c>
      <c r="B636" s="376" t="s">
        <v>1609</v>
      </c>
      <c r="C636" s="376" t="s">
        <v>1051</v>
      </c>
      <c r="D636" s="376">
        <v>2020</v>
      </c>
      <c r="E636" s="376">
        <v>2028</v>
      </c>
      <c r="F636" s="376">
        <v>0.35737526128209052</v>
      </c>
      <c r="G636" s="376">
        <v>8902.1696566125192</v>
      </c>
      <c r="H636" s="376">
        <v>0.25</v>
      </c>
      <c r="I636" s="376">
        <v>0.85</v>
      </c>
    </row>
    <row r="637" spans="1:9" x14ac:dyDescent="0.35">
      <c r="A637" s="376" t="s">
        <v>1612</v>
      </c>
      <c r="B637" s="376" t="s">
        <v>1609</v>
      </c>
      <c r="C637" s="376" t="s">
        <v>1051</v>
      </c>
      <c r="D637" s="376">
        <v>2020</v>
      </c>
      <c r="E637" s="376">
        <v>2029</v>
      </c>
      <c r="F637" s="376">
        <v>0.35737526128209052</v>
      </c>
      <c r="G637" s="376">
        <v>8917.5132651490494</v>
      </c>
      <c r="H637" s="376">
        <v>0.25</v>
      </c>
      <c r="I637" s="376">
        <v>0.85</v>
      </c>
    </row>
    <row r="638" spans="1:9" x14ac:dyDescent="0.35">
      <c r="A638" s="376" t="s">
        <v>1612</v>
      </c>
      <c r="B638" s="376" t="s">
        <v>1609</v>
      </c>
      <c r="C638" s="376" t="s">
        <v>1051</v>
      </c>
      <c r="D638" s="376">
        <v>2020</v>
      </c>
      <c r="E638" s="376">
        <v>2030</v>
      </c>
      <c r="F638" s="376">
        <v>0.35737526128209052</v>
      </c>
      <c r="G638" s="376">
        <v>8932.8833196343767</v>
      </c>
      <c r="H638" s="376">
        <v>0.25</v>
      </c>
      <c r="I638" s="376">
        <v>0.85</v>
      </c>
    </row>
    <row r="639" spans="1:9" x14ac:dyDescent="0.35">
      <c r="A639" s="376" t="s">
        <v>1612</v>
      </c>
      <c r="B639" s="376" t="s">
        <v>1609</v>
      </c>
      <c r="C639" s="376" t="s">
        <v>1051</v>
      </c>
      <c r="D639" s="376">
        <v>2020</v>
      </c>
      <c r="E639" s="376">
        <v>2031</v>
      </c>
      <c r="F639" s="376">
        <v>0.35737526128209052</v>
      </c>
      <c r="G639" s="376">
        <v>8948.2798656502309</v>
      </c>
      <c r="H639" s="376">
        <v>0.25</v>
      </c>
      <c r="I639" s="376">
        <v>0.85</v>
      </c>
    </row>
    <row r="640" spans="1:9" x14ac:dyDescent="0.35">
      <c r="A640" s="376" t="s">
        <v>1613</v>
      </c>
      <c r="B640" s="376" t="s">
        <v>1609</v>
      </c>
      <c r="C640" s="376" t="s">
        <v>1051</v>
      </c>
      <c r="D640" s="376">
        <v>2020</v>
      </c>
      <c r="E640" s="376">
        <v>2021</v>
      </c>
      <c r="F640" s="376">
        <v>0.40444272241720852</v>
      </c>
      <c r="G640" s="376">
        <v>4210.7317541352131</v>
      </c>
      <c r="H640" s="376">
        <v>0.25</v>
      </c>
      <c r="I640" s="376">
        <v>0.85</v>
      </c>
    </row>
    <row r="641" spans="1:9" x14ac:dyDescent="0.35">
      <c r="A641" s="376" t="s">
        <v>1613</v>
      </c>
      <c r="B641" s="376" t="s">
        <v>1609</v>
      </c>
      <c r="C641" s="376" t="s">
        <v>1051</v>
      </c>
      <c r="D641" s="376">
        <v>2020</v>
      </c>
      <c r="E641" s="376">
        <v>2022</v>
      </c>
      <c r="F641" s="376">
        <v>0.40444272241720852</v>
      </c>
      <c r="G641" s="376">
        <v>4217.9892904639892</v>
      </c>
      <c r="H641" s="376">
        <v>0.25</v>
      </c>
      <c r="I641" s="376">
        <v>0.85</v>
      </c>
    </row>
    <row r="642" spans="1:9" x14ac:dyDescent="0.35">
      <c r="A642" s="376" t="s">
        <v>1613</v>
      </c>
      <c r="B642" s="376" t="s">
        <v>1609</v>
      </c>
      <c r="C642" s="376" t="s">
        <v>1051</v>
      </c>
      <c r="D642" s="376">
        <v>2020</v>
      </c>
      <c r="E642" s="376">
        <v>2023</v>
      </c>
      <c r="F642" s="376">
        <v>0.40444272241720852</v>
      </c>
      <c r="G642" s="376">
        <v>4225.2593357429041</v>
      </c>
      <c r="H642" s="376">
        <v>0.25</v>
      </c>
      <c r="I642" s="376">
        <v>0.85</v>
      </c>
    </row>
    <row r="643" spans="1:9" x14ac:dyDescent="0.35">
      <c r="A643" s="376" t="s">
        <v>1613</v>
      </c>
      <c r="B643" s="376" t="s">
        <v>1609</v>
      </c>
      <c r="C643" s="376" t="s">
        <v>1051</v>
      </c>
      <c r="D643" s="376">
        <v>2020</v>
      </c>
      <c r="E643" s="376">
        <v>2024</v>
      </c>
      <c r="F643" s="376">
        <v>0.40444272241720852</v>
      </c>
      <c r="G643" s="376">
        <v>4232.5419115321447</v>
      </c>
      <c r="H643" s="376">
        <v>0.25</v>
      </c>
      <c r="I643" s="376">
        <v>0.85</v>
      </c>
    </row>
    <row r="644" spans="1:9" x14ac:dyDescent="0.35">
      <c r="A644" s="376" t="s">
        <v>1613</v>
      </c>
      <c r="B644" s="376" t="s">
        <v>1609</v>
      </c>
      <c r="C644" s="376" t="s">
        <v>1051</v>
      </c>
      <c r="D644" s="376">
        <v>2020</v>
      </c>
      <c r="E644" s="376">
        <v>2025</v>
      </c>
      <c r="F644" s="376">
        <v>0.40444272241720852</v>
      </c>
      <c r="G644" s="376">
        <v>4239.8370394290578</v>
      </c>
      <c r="H644" s="376">
        <v>0.25</v>
      </c>
      <c r="I644" s="376">
        <v>0.85</v>
      </c>
    </row>
    <row r="645" spans="1:9" x14ac:dyDescent="0.35">
      <c r="A645" s="376" t="s">
        <v>1613</v>
      </c>
      <c r="B645" s="376" t="s">
        <v>1609</v>
      </c>
      <c r="C645" s="376" t="s">
        <v>1051</v>
      </c>
      <c r="D645" s="376">
        <v>2020</v>
      </c>
      <c r="E645" s="376">
        <v>2026</v>
      </c>
      <c r="F645" s="376">
        <v>0.40444272241720852</v>
      </c>
      <c r="G645" s="376">
        <v>4247.1447410682149</v>
      </c>
      <c r="H645" s="376">
        <v>0.25</v>
      </c>
      <c r="I645" s="376">
        <v>0.85</v>
      </c>
    </row>
    <row r="646" spans="1:9" x14ac:dyDescent="0.35">
      <c r="A646" s="376" t="s">
        <v>1613</v>
      </c>
      <c r="B646" s="376" t="s">
        <v>1609</v>
      </c>
      <c r="C646" s="376" t="s">
        <v>1051</v>
      </c>
      <c r="D646" s="376">
        <v>2020</v>
      </c>
      <c r="E646" s="376">
        <v>2027</v>
      </c>
      <c r="F646" s="376">
        <v>0.40444272241720852</v>
      </c>
      <c r="G646" s="376">
        <v>4254.4650381214769</v>
      </c>
      <c r="H646" s="376">
        <v>0.25</v>
      </c>
      <c r="I646" s="376">
        <v>0.85</v>
      </c>
    </row>
    <row r="647" spans="1:9" x14ac:dyDescent="0.35">
      <c r="A647" s="376" t="s">
        <v>1613</v>
      </c>
      <c r="B647" s="376" t="s">
        <v>1609</v>
      </c>
      <c r="C647" s="376" t="s">
        <v>1051</v>
      </c>
      <c r="D647" s="376">
        <v>2020</v>
      </c>
      <c r="E647" s="376">
        <v>2028</v>
      </c>
      <c r="F647" s="376">
        <v>0.40444272241720852</v>
      </c>
      <c r="G647" s="376">
        <v>4261.7979522980568</v>
      </c>
      <c r="H647" s="376">
        <v>0.25</v>
      </c>
      <c r="I647" s="376">
        <v>0.85</v>
      </c>
    </row>
    <row r="648" spans="1:9" x14ac:dyDescent="0.35">
      <c r="A648" s="376" t="s">
        <v>1613</v>
      </c>
      <c r="B648" s="376" t="s">
        <v>1609</v>
      </c>
      <c r="C648" s="376" t="s">
        <v>1051</v>
      </c>
      <c r="D648" s="376">
        <v>2020</v>
      </c>
      <c r="E648" s="376">
        <v>2029</v>
      </c>
      <c r="F648" s="376">
        <v>0.40444272241720852</v>
      </c>
      <c r="G648" s="376">
        <v>4269.1435053445857</v>
      </c>
      <c r="H648" s="376">
        <v>0.25</v>
      </c>
      <c r="I648" s="376">
        <v>0.85</v>
      </c>
    </row>
    <row r="649" spans="1:9" x14ac:dyDescent="0.35">
      <c r="A649" s="376" t="s">
        <v>1613</v>
      </c>
      <c r="B649" s="376" t="s">
        <v>1609</v>
      </c>
      <c r="C649" s="376" t="s">
        <v>1051</v>
      </c>
      <c r="D649" s="376">
        <v>2020</v>
      </c>
      <c r="E649" s="376">
        <v>2030</v>
      </c>
      <c r="F649" s="376">
        <v>0.40444272241720852</v>
      </c>
      <c r="G649" s="376">
        <v>4276.5017190451781</v>
      </c>
      <c r="H649" s="376">
        <v>0.25</v>
      </c>
      <c r="I649" s="376">
        <v>0.85</v>
      </c>
    </row>
    <row r="650" spans="1:9" x14ac:dyDescent="0.35">
      <c r="A650" s="376" t="s">
        <v>1613</v>
      </c>
      <c r="B650" s="376" t="s">
        <v>1609</v>
      </c>
      <c r="C650" s="376" t="s">
        <v>1051</v>
      </c>
      <c r="D650" s="376">
        <v>2020</v>
      </c>
      <c r="E650" s="376">
        <v>2031</v>
      </c>
      <c r="F650" s="376">
        <v>0.40444272241720852</v>
      </c>
      <c r="G650" s="376">
        <v>4283.8726152214931</v>
      </c>
      <c r="H650" s="376">
        <v>0.25</v>
      </c>
      <c r="I650" s="376">
        <v>0.85</v>
      </c>
    </row>
    <row r="651" spans="1:9" x14ac:dyDescent="0.35">
      <c r="A651" s="376" t="s">
        <v>1604</v>
      </c>
      <c r="B651" s="376" t="s">
        <v>1609</v>
      </c>
      <c r="C651" s="376" t="s">
        <v>1051</v>
      </c>
      <c r="D651" s="376">
        <v>2020</v>
      </c>
      <c r="E651" s="376">
        <v>2021</v>
      </c>
      <c r="F651" s="376">
        <v>1</v>
      </c>
      <c r="G651" s="376">
        <v>4080.9585671288087</v>
      </c>
      <c r="H651" s="376">
        <v>0</v>
      </c>
      <c r="I651" s="376">
        <v>1</v>
      </c>
    </row>
    <row r="652" spans="1:9" x14ac:dyDescent="0.35">
      <c r="A652" s="376" t="s">
        <v>1604</v>
      </c>
      <c r="B652" s="376" t="s">
        <v>1609</v>
      </c>
      <c r="C652" s="376" t="s">
        <v>1051</v>
      </c>
      <c r="D652" s="376">
        <v>2020</v>
      </c>
      <c r="E652" s="376">
        <v>2022</v>
      </c>
      <c r="F652" s="376">
        <v>1</v>
      </c>
      <c r="G652" s="376">
        <v>4080.9585671288087</v>
      </c>
      <c r="H652" s="376">
        <v>0</v>
      </c>
      <c r="I652" s="376">
        <v>1</v>
      </c>
    </row>
    <row r="653" spans="1:9" x14ac:dyDescent="0.35">
      <c r="A653" s="376" t="s">
        <v>1604</v>
      </c>
      <c r="B653" s="376" t="s">
        <v>1609</v>
      </c>
      <c r="C653" s="376" t="s">
        <v>1051</v>
      </c>
      <c r="D653" s="376">
        <v>2020</v>
      </c>
      <c r="E653" s="376">
        <v>2023</v>
      </c>
      <c r="F653" s="376">
        <v>1</v>
      </c>
      <c r="G653" s="376">
        <v>4080.9585671288087</v>
      </c>
      <c r="H653" s="376">
        <v>0</v>
      </c>
      <c r="I653" s="376">
        <v>1</v>
      </c>
    </row>
    <row r="654" spans="1:9" x14ac:dyDescent="0.35">
      <c r="A654" s="376" t="s">
        <v>1604</v>
      </c>
      <c r="B654" s="376" t="s">
        <v>1609</v>
      </c>
      <c r="C654" s="376" t="s">
        <v>1051</v>
      </c>
      <c r="D654" s="376">
        <v>2020</v>
      </c>
      <c r="E654" s="376">
        <v>2024</v>
      </c>
      <c r="F654" s="376">
        <v>1</v>
      </c>
      <c r="G654" s="376">
        <v>4080.9585671288087</v>
      </c>
      <c r="H654" s="376">
        <v>0</v>
      </c>
      <c r="I654" s="376">
        <v>1</v>
      </c>
    </row>
    <row r="655" spans="1:9" x14ac:dyDescent="0.35">
      <c r="A655" s="376" t="s">
        <v>1604</v>
      </c>
      <c r="B655" s="376" t="s">
        <v>1609</v>
      </c>
      <c r="C655" s="376" t="s">
        <v>1051</v>
      </c>
      <c r="D655" s="376">
        <v>2020</v>
      </c>
      <c r="E655" s="376">
        <v>2025</v>
      </c>
      <c r="F655" s="376">
        <v>1</v>
      </c>
      <c r="G655" s="376">
        <v>4080.9585671288087</v>
      </c>
      <c r="H655" s="376">
        <v>0</v>
      </c>
      <c r="I655" s="376">
        <v>1</v>
      </c>
    </row>
    <row r="656" spans="1:9" x14ac:dyDescent="0.35">
      <c r="A656" s="376" t="s">
        <v>1604</v>
      </c>
      <c r="B656" s="376" t="s">
        <v>1609</v>
      </c>
      <c r="C656" s="376" t="s">
        <v>1051</v>
      </c>
      <c r="D656" s="376">
        <v>2020</v>
      </c>
      <c r="E656" s="376">
        <v>2026</v>
      </c>
      <c r="F656" s="376">
        <v>1</v>
      </c>
      <c r="G656" s="376">
        <v>4080.9585671288087</v>
      </c>
      <c r="H656" s="376">
        <v>0</v>
      </c>
      <c r="I656" s="376">
        <v>1</v>
      </c>
    </row>
    <row r="657" spans="1:9" x14ac:dyDescent="0.35">
      <c r="A657" s="376" t="s">
        <v>1604</v>
      </c>
      <c r="B657" s="376" t="s">
        <v>1609</v>
      </c>
      <c r="C657" s="376" t="s">
        <v>1051</v>
      </c>
      <c r="D657" s="376">
        <v>2020</v>
      </c>
      <c r="E657" s="376">
        <v>2027</v>
      </c>
      <c r="F657" s="376">
        <v>1</v>
      </c>
      <c r="G657" s="376">
        <v>4080.9585671288087</v>
      </c>
      <c r="H657" s="376">
        <v>0</v>
      </c>
      <c r="I657" s="376">
        <v>1</v>
      </c>
    </row>
    <row r="658" spans="1:9" x14ac:dyDescent="0.35">
      <c r="A658" s="376" t="s">
        <v>1604</v>
      </c>
      <c r="B658" s="376" t="s">
        <v>1609</v>
      </c>
      <c r="C658" s="376" t="s">
        <v>1051</v>
      </c>
      <c r="D658" s="376">
        <v>2020</v>
      </c>
      <c r="E658" s="376">
        <v>2028</v>
      </c>
      <c r="F658" s="376">
        <v>1</v>
      </c>
      <c r="G658" s="376">
        <v>4080.9585671288087</v>
      </c>
      <c r="H658" s="376">
        <v>0</v>
      </c>
      <c r="I658" s="376">
        <v>1</v>
      </c>
    </row>
    <row r="659" spans="1:9" x14ac:dyDescent="0.35">
      <c r="A659" s="376" t="s">
        <v>1604</v>
      </c>
      <c r="B659" s="376" t="s">
        <v>1609</v>
      </c>
      <c r="C659" s="376" t="s">
        <v>1051</v>
      </c>
      <c r="D659" s="376">
        <v>2020</v>
      </c>
      <c r="E659" s="376">
        <v>2029</v>
      </c>
      <c r="F659" s="376">
        <v>1</v>
      </c>
      <c r="G659" s="376">
        <v>4080.9585671288087</v>
      </c>
      <c r="H659" s="376">
        <v>0</v>
      </c>
      <c r="I659" s="376">
        <v>1</v>
      </c>
    </row>
    <row r="660" spans="1:9" x14ac:dyDescent="0.35">
      <c r="A660" s="376" t="s">
        <v>1604</v>
      </c>
      <c r="B660" s="376" t="s">
        <v>1609</v>
      </c>
      <c r="C660" s="376" t="s">
        <v>1051</v>
      </c>
      <c r="D660" s="376">
        <v>2020</v>
      </c>
      <c r="E660" s="376">
        <v>2030</v>
      </c>
      <c r="F660" s="376">
        <v>1</v>
      </c>
      <c r="G660" s="376">
        <v>4080.9585671288087</v>
      </c>
      <c r="H660" s="376">
        <v>0</v>
      </c>
      <c r="I660" s="376">
        <v>1</v>
      </c>
    </row>
    <row r="661" spans="1:9" x14ac:dyDescent="0.35">
      <c r="A661" s="376" t="s">
        <v>1604</v>
      </c>
      <c r="B661" s="376" t="s">
        <v>1609</v>
      </c>
      <c r="C661" s="376" t="s">
        <v>1051</v>
      </c>
      <c r="D661" s="376">
        <v>2020</v>
      </c>
      <c r="E661" s="376">
        <v>2031</v>
      </c>
      <c r="F661" s="376">
        <v>1</v>
      </c>
      <c r="G661" s="376">
        <v>4080.9585671288087</v>
      </c>
      <c r="H661" s="376">
        <v>0</v>
      </c>
      <c r="I661" s="376">
        <v>1</v>
      </c>
    </row>
    <row r="662" spans="1:9" x14ac:dyDescent="0.35">
      <c r="A662" s="376" t="s">
        <v>1615</v>
      </c>
      <c r="B662" s="376" t="s">
        <v>1609</v>
      </c>
      <c r="C662" s="376" t="s">
        <v>1051</v>
      </c>
      <c r="D662" s="376">
        <v>2020</v>
      </c>
      <c r="E662" s="376">
        <v>2021</v>
      </c>
      <c r="F662" s="376">
        <v>1</v>
      </c>
      <c r="G662" s="376">
        <v>19116.166827077381</v>
      </c>
      <c r="H662" s="376">
        <v>0</v>
      </c>
      <c r="I662" s="376">
        <v>0.65716939790195539</v>
      </c>
    </row>
    <row r="663" spans="1:9" x14ac:dyDescent="0.35">
      <c r="A663" s="376" t="s">
        <v>1615</v>
      </c>
      <c r="B663" s="376" t="s">
        <v>1609</v>
      </c>
      <c r="C663" s="376" t="s">
        <v>1051</v>
      </c>
      <c r="D663" s="376">
        <v>2020</v>
      </c>
      <c r="E663" s="376">
        <v>2022</v>
      </c>
      <c r="F663" s="376">
        <v>1</v>
      </c>
      <c r="G663" s="376">
        <v>19116.166827077381</v>
      </c>
      <c r="H663" s="376">
        <v>0</v>
      </c>
      <c r="I663" s="376">
        <v>0.65716939790195539</v>
      </c>
    </row>
    <row r="664" spans="1:9" x14ac:dyDescent="0.35">
      <c r="A664" s="376" t="s">
        <v>1615</v>
      </c>
      <c r="B664" s="376" t="s">
        <v>1609</v>
      </c>
      <c r="C664" s="376" t="s">
        <v>1051</v>
      </c>
      <c r="D664" s="376">
        <v>2020</v>
      </c>
      <c r="E664" s="376">
        <v>2023</v>
      </c>
      <c r="F664" s="376">
        <v>1</v>
      </c>
      <c r="G664" s="376">
        <v>19116.166827077381</v>
      </c>
      <c r="H664" s="376">
        <v>0</v>
      </c>
      <c r="I664" s="376">
        <v>0.65716939790195539</v>
      </c>
    </row>
    <row r="665" spans="1:9" x14ac:dyDescent="0.35">
      <c r="A665" s="376" t="s">
        <v>1615</v>
      </c>
      <c r="B665" s="376" t="s">
        <v>1609</v>
      </c>
      <c r="C665" s="376" t="s">
        <v>1051</v>
      </c>
      <c r="D665" s="376">
        <v>2020</v>
      </c>
      <c r="E665" s="376">
        <v>2024</v>
      </c>
      <c r="F665" s="376">
        <v>1</v>
      </c>
      <c r="G665" s="376">
        <v>19116.166827077381</v>
      </c>
      <c r="H665" s="376">
        <v>0</v>
      </c>
      <c r="I665" s="376">
        <v>0.65716939790195539</v>
      </c>
    </row>
    <row r="666" spans="1:9" x14ac:dyDescent="0.35">
      <c r="A666" s="376" t="s">
        <v>1615</v>
      </c>
      <c r="B666" s="376" t="s">
        <v>1609</v>
      </c>
      <c r="C666" s="376" t="s">
        <v>1051</v>
      </c>
      <c r="D666" s="376">
        <v>2020</v>
      </c>
      <c r="E666" s="376">
        <v>2025</v>
      </c>
      <c r="F666" s="376">
        <v>1</v>
      </c>
      <c r="G666" s="376">
        <v>19116.166827077381</v>
      </c>
      <c r="H666" s="376">
        <v>0</v>
      </c>
      <c r="I666" s="376">
        <v>0.65716939790195539</v>
      </c>
    </row>
    <row r="667" spans="1:9" x14ac:dyDescent="0.35">
      <c r="A667" s="376" t="s">
        <v>1615</v>
      </c>
      <c r="B667" s="376" t="s">
        <v>1609</v>
      </c>
      <c r="C667" s="376" t="s">
        <v>1051</v>
      </c>
      <c r="D667" s="376">
        <v>2020</v>
      </c>
      <c r="E667" s="376">
        <v>2026</v>
      </c>
      <c r="F667" s="376">
        <v>1</v>
      </c>
      <c r="G667" s="376">
        <v>19116.166827077381</v>
      </c>
      <c r="H667" s="376">
        <v>0</v>
      </c>
      <c r="I667" s="376">
        <v>0.65716939790195539</v>
      </c>
    </row>
    <row r="668" spans="1:9" x14ac:dyDescent="0.35">
      <c r="A668" s="376" t="s">
        <v>1615</v>
      </c>
      <c r="B668" s="376" t="s">
        <v>1609</v>
      </c>
      <c r="C668" s="376" t="s">
        <v>1051</v>
      </c>
      <c r="D668" s="376">
        <v>2020</v>
      </c>
      <c r="E668" s="376">
        <v>2027</v>
      </c>
      <c r="F668" s="376">
        <v>1</v>
      </c>
      <c r="G668" s="376">
        <v>19116.166827077381</v>
      </c>
      <c r="H668" s="376">
        <v>0</v>
      </c>
      <c r="I668" s="376">
        <v>0.65716939790195539</v>
      </c>
    </row>
    <row r="669" spans="1:9" x14ac:dyDescent="0.35">
      <c r="A669" s="376" t="s">
        <v>1615</v>
      </c>
      <c r="B669" s="376" t="s">
        <v>1609</v>
      </c>
      <c r="C669" s="376" t="s">
        <v>1051</v>
      </c>
      <c r="D669" s="376">
        <v>2020</v>
      </c>
      <c r="E669" s="376">
        <v>2028</v>
      </c>
      <c r="F669" s="376">
        <v>1</v>
      </c>
      <c r="G669" s="376">
        <v>19116.166827077381</v>
      </c>
      <c r="H669" s="376">
        <v>0</v>
      </c>
      <c r="I669" s="376">
        <v>0.65716939790195539</v>
      </c>
    </row>
    <row r="670" spans="1:9" x14ac:dyDescent="0.35">
      <c r="A670" s="376" t="s">
        <v>1615</v>
      </c>
      <c r="B670" s="376" t="s">
        <v>1609</v>
      </c>
      <c r="C670" s="376" t="s">
        <v>1051</v>
      </c>
      <c r="D670" s="376">
        <v>2020</v>
      </c>
      <c r="E670" s="376">
        <v>2029</v>
      </c>
      <c r="F670" s="376">
        <v>1</v>
      </c>
      <c r="G670" s="376">
        <v>19116.166827077381</v>
      </c>
      <c r="H670" s="376">
        <v>0</v>
      </c>
      <c r="I670" s="376">
        <v>0.65716939790195539</v>
      </c>
    </row>
    <row r="671" spans="1:9" x14ac:dyDescent="0.35">
      <c r="A671" s="376" t="s">
        <v>1615</v>
      </c>
      <c r="B671" s="376" t="s">
        <v>1609</v>
      </c>
      <c r="C671" s="376" t="s">
        <v>1051</v>
      </c>
      <c r="D671" s="376">
        <v>2020</v>
      </c>
      <c r="E671" s="376">
        <v>2030</v>
      </c>
      <c r="F671" s="376">
        <v>1</v>
      </c>
      <c r="G671" s="376">
        <v>19116.166827077381</v>
      </c>
      <c r="H671" s="376">
        <v>0</v>
      </c>
      <c r="I671" s="376">
        <v>0.65716939790195539</v>
      </c>
    </row>
    <row r="672" spans="1:9" x14ac:dyDescent="0.35">
      <c r="A672" s="376" t="s">
        <v>1615</v>
      </c>
      <c r="B672" s="376" t="s">
        <v>1609</v>
      </c>
      <c r="C672" s="376" t="s">
        <v>1051</v>
      </c>
      <c r="D672" s="376">
        <v>2020</v>
      </c>
      <c r="E672" s="376">
        <v>2031</v>
      </c>
      <c r="F672" s="376">
        <v>1</v>
      </c>
      <c r="G672" s="376">
        <v>19116.166827077381</v>
      </c>
      <c r="H672" s="376">
        <v>0</v>
      </c>
      <c r="I672" s="376">
        <v>0.65716939790195539</v>
      </c>
    </row>
    <row r="673" spans="1:9" x14ac:dyDescent="0.35">
      <c r="A673" s="376" t="s">
        <v>1603</v>
      </c>
      <c r="B673" s="376" t="s">
        <v>1609</v>
      </c>
      <c r="C673" s="376" t="s">
        <v>1051</v>
      </c>
      <c r="D673" s="376">
        <v>2020</v>
      </c>
      <c r="E673" s="376">
        <v>2021</v>
      </c>
      <c r="F673" s="376">
        <v>1</v>
      </c>
      <c r="G673" s="376">
        <v>2977.1068963922471</v>
      </c>
      <c r="H673" s="376">
        <v>0</v>
      </c>
      <c r="I673" s="376">
        <v>1</v>
      </c>
    </row>
    <row r="674" spans="1:9" x14ac:dyDescent="0.35">
      <c r="A674" s="376" t="s">
        <v>1603</v>
      </c>
      <c r="B674" s="376" t="s">
        <v>1609</v>
      </c>
      <c r="C674" s="376" t="s">
        <v>1051</v>
      </c>
      <c r="D674" s="376">
        <v>2020</v>
      </c>
      <c r="E674" s="376">
        <v>2022</v>
      </c>
      <c r="F674" s="376">
        <v>1</v>
      </c>
      <c r="G674" s="376">
        <v>2977.1068963922471</v>
      </c>
      <c r="H674" s="376">
        <v>0</v>
      </c>
      <c r="I674" s="376">
        <v>1</v>
      </c>
    </row>
    <row r="675" spans="1:9" x14ac:dyDescent="0.35">
      <c r="A675" s="376" t="s">
        <v>1603</v>
      </c>
      <c r="B675" s="376" t="s">
        <v>1609</v>
      </c>
      <c r="C675" s="376" t="s">
        <v>1051</v>
      </c>
      <c r="D675" s="376">
        <v>2020</v>
      </c>
      <c r="E675" s="376">
        <v>2023</v>
      </c>
      <c r="F675" s="376">
        <v>1</v>
      </c>
      <c r="G675" s="376">
        <v>2977.1068963922471</v>
      </c>
      <c r="H675" s="376">
        <v>0</v>
      </c>
      <c r="I675" s="376">
        <v>1</v>
      </c>
    </row>
    <row r="676" spans="1:9" x14ac:dyDescent="0.35">
      <c r="A676" s="376" t="s">
        <v>1603</v>
      </c>
      <c r="B676" s="376" t="s">
        <v>1609</v>
      </c>
      <c r="C676" s="376" t="s">
        <v>1051</v>
      </c>
      <c r="D676" s="376">
        <v>2020</v>
      </c>
      <c r="E676" s="376">
        <v>2024</v>
      </c>
      <c r="F676" s="376">
        <v>1</v>
      </c>
      <c r="G676" s="376">
        <v>2977.1068963922471</v>
      </c>
      <c r="H676" s="376">
        <v>0</v>
      </c>
      <c r="I676" s="376">
        <v>1</v>
      </c>
    </row>
    <row r="677" spans="1:9" x14ac:dyDescent="0.35">
      <c r="A677" s="376" t="s">
        <v>1603</v>
      </c>
      <c r="B677" s="376" t="s">
        <v>1609</v>
      </c>
      <c r="C677" s="376" t="s">
        <v>1051</v>
      </c>
      <c r="D677" s="376">
        <v>2020</v>
      </c>
      <c r="E677" s="376">
        <v>2025</v>
      </c>
      <c r="F677" s="376">
        <v>1</v>
      </c>
      <c r="G677" s="376">
        <v>2977.1068963922471</v>
      </c>
      <c r="H677" s="376">
        <v>0</v>
      </c>
      <c r="I677" s="376">
        <v>1</v>
      </c>
    </row>
    <row r="678" spans="1:9" x14ac:dyDescent="0.35">
      <c r="A678" s="376" t="s">
        <v>1603</v>
      </c>
      <c r="B678" s="376" t="s">
        <v>1609</v>
      </c>
      <c r="C678" s="376" t="s">
        <v>1051</v>
      </c>
      <c r="D678" s="376">
        <v>2020</v>
      </c>
      <c r="E678" s="376">
        <v>2026</v>
      </c>
      <c r="F678" s="376">
        <v>1</v>
      </c>
      <c r="G678" s="376">
        <v>2977.1068963922471</v>
      </c>
      <c r="H678" s="376">
        <v>0</v>
      </c>
      <c r="I678" s="376">
        <v>1</v>
      </c>
    </row>
    <row r="679" spans="1:9" x14ac:dyDescent="0.35">
      <c r="A679" s="376" t="s">
        <v>1603</v>
      </c>
      <c r="B679" s="376" t="s">
        <v>1609</v>
      </c>
      <c r="C679" s="376" t="s">
        <v>1051</v>
      </c>
      <c r="D679" s="376">
        <v>2020</v>
      </c>
      <c r="E679" s="376">
        <v>2027</v>
      </c>
      <c r="F679" s="376">
        <v>1</v>
      </c>
      <c r="G679" s="376">
        <v>2977.1068963922471</v>
      </c>
      <c r="H679" s="376">
        <v>0</v>
      </c>
      <c r="I679" s="376">
        <v>1</v>
      </c>
    </row>
    <row r="680" spans="1:9" x14ac:dyDescent="0.35">
      <c r="A680" s="376" t="s">
        <v>1603</v>
      </c>
      <c r="B680" s="376" t="s">
        <v>1609</v>
      </c>
      <c r="C680" s="376" t="s">
        <v>1051</v>
      </c>
      <c r="D680" s="376">
        <v>2020</v>
      </c>
      <c r="E680" s="376">
        <v>2028</v>
      </c>
      <c r="F680" s="376">
        <v>1</v>
      </c>
      <c r="G680" s="376">
        <v>2977.1068963922471</v>
      </c>
      <c r="H680" s="376">
        <v>0</v>
      </c>
      <c r="I680" s="376">
        <v>1</v>
      </c>
    </row>
    <row r="681" spans="1:9" x14ac:dyDescent="0.35">
      <c r="A681" s="376" t="s">
        <v>1603</v>
      </c>
      <c r="B681" s="376" t="s">
        <v>1609</v>
      </c>
      <c r="C681" s="376" t="s">
        <v>1051</v>
      </c>
      <c r="D681" s="376">
        <v>2020</v>
      </c>
      <c r="E681" s="376">
        <v>2029</v>
      </c>
      <c r="F681" s="376">
        <v>1</v>
      </c>
      <c r="G681" s="376">
        <v>2977.1068963922471</v>
      </c>
      <c r="H681" s="376">
        <v>0</v>
      </c>
      <c r="I681" s="376">
        <v>1</v>
      </c>
    </row>
    <row r="682" spans="1:9" x14ac:dyDescent="0.35">
      <c r="A682" s="376" t="s">
        <v>1603</v>
      </c>
      <c r="B682" s="376" t="s">
        <v>1609</v>
      </c>
      <c r="C682" s="376" t="s">
        <v>1051</v>
      </c>
      <c r="D682" s="376">
        <v>2020</v>
      </c>
      <c r="E682" s="376">
        <v>2030</v>
      </c>
      <c r="F682" s="376">
        <v>1</v>
      </c>
      <c r="G682" s="376">
        <v>2977.1068963922471</v>
      </c>
      <c r="H682" s="376">
        <v>0</v>
      </c>
      <c r="I682" s="376">
        <v>1</v>
      </c>
    </row>
    <row r="683" spans="1:9" x14ac:dyDescent="0.35">
      <c r="A683" s="376" t="s">
        <v>1603</v>
      </c>
      <c r="B683" s="376" t="s">
        <v>1609</v>
      </c>
      <c r="C683" s="376" t="s">
        <v>1051</v>
      </c>
      <c r="D683" s="376">
        <v>2020</v>
      </c>
      <c r="E683" s="376">
        <v>2031</v>
      </c>
      <c r="F683" s="376">
        <v>1</v>
      </c>
      <c r="G683" s="376">
        <v>2977.1068963922471</v>
      </c>
      <c r="H683" s="376">
        <v>0</v>
      </c>
      <c r="I683" s="376">
        <v>1</v>
      </c>
    </row>
    <row r="684" spans="1:9" x14ac:dyDescent="0.35">
      <c r="A684" s="376" t="s">
        <v>1605</v>
      </c>
      <c r="B684" s="376" t="s">
        <v>1609</v>
      </c>
      <c r="C684" s="376" t="s">
        <v>1051</v>
      </c>
      <c r="D684" s="376">
        <v>2020</v>
      </c>
      <c r="E684" s="376">
        <v>2021</v>
      </c>
      <c r="F684" s="376">
        <v>0.23884589662749595</v>
      </c>
      <c r="G684" s="376">
        <v>9522.7857316091431</v>
      </c>
      <c r="H684" s="376">
        <v>0</v>
      </c>
      <c r="I684" s="376">
        <v>1</v>
      </c>
    </row>
    <row r="685" spans="1:9" x14ac:dyDescent="0.35">
      <c r="A685" s="376" t="s">
        <v>1605</v>
      </c>
      <c r="B685" s="376" t="s">
        <v>1609</v>
      </c>
      <c r="C685" s="376" t="s">
        <v>1051</v>
      </c>
      <c r="D685" s="376">
        <v>2020</v>
      </c>
      <c r="E685" s="376">
        <v>2022</v>
      </c>
      <c r="F685" s="376">
        <v>0.23884589662749595</v>
      </c>
      <c r="G685" s="376">
        <v>9522.7857316091431</v>
      </c>
      <c r="H685" s="376">
        <v>0</v>
      </c>
      <c r="I685" s="376">
        <v>1</v>
      </c>
    </row>
    <row r="686" spans="1:9" x14ac:dyDescent="0.35">
      <c r="A686" s="376" t="s">
        <v>1605</v>
      </c>
      <c r="B686" s="376" t="s">
        <v>1609</v>
      </c>
      <c r="C686" s="376" t="s">
        <v>1051</v>
      </c>
      <c r="D686" s="376">
        <v>2020</v>
      </c>
      <c r="E686" s="376">
        <v>2023</v>
      </c>
      <c r="F686" s="376">
        <v>0.23884589662749595</v>
      </c>
      <c r="G686" s="376">
        <v>9522.7857316091431</v>
      </c>
      <c r="H686" s="376">
        <v>0</v>
      </c>
      <c r="I686" s="376">
        <v>1</v>
      </c>
    </row>
    <row r="687" spans="1:9" x14ac:dyDescent="0.35">
      <c r="A687" s="376" t="s">
        <v>1605</v>
      </c>
      <c r="B687" s="376" t="s">
        <v>1609</v>
      </c>
      <c r="C687" s="376" t="s">
        <v>1051</v>
      </c>
      <c r="D687" s="376">
        <v>2020</v>
      </c>
      <c r="E687" s="376">
        <v>2024</v>
      </c>
      <c r="F687" s="376">
        <v>0.23884589662749595</v>
      </c>
      <c r="G687" s="376">
        <v>9522.7857316091431</v>
      </c>
      <c r="H687" s="376">
        <v>0</v>
      </c>
      <c r="I687" s="376">
        <v>1</v>
      </c>
    </row>
    <row r="688" spans="1:9" x14ac:dyDescent="0.35">
      <c r="A688" s="376" t="s">
        <v>1605</v>
      </c>
      <c r="B688" s="376" t="s">
        <v>1609</v>
      </c>
      <c r="C688" s="376" t="s">
        <v>1051</v>
      </c>
      <c r="D688" s="376">
        <v>2020</v>
      </c>
      <c r="E688" s="376">
        <v>2025</v>
      </c>
      <c r="F688" s="376">
        <v>0.23884589662749595</v>
      </c>
      <c r="G688" s="376">
        <v>9522.7857316091431</v>
      </c>
      <c r="H688" s="376">
        <v>0</v>
      </c>
      <c r="I688" s="376">
        <v>1</v>
      </c>
    </row>
    <row r="689" spans="1:9" x14ac:dyDescent="0.35">
      <c r="A689" s="376" t="s">
        <v>1605</v>
      </c>
      <c r="B689" s="376" t="s">
        <v>1609</v>
      </c>
      <c r="C689" s="376" t="s">
        <v>1051</v>
      </c>
      <c r="D689" s="376">
        <v>2020</v>
      </c>
      <c r="E689" s="376">
        <v>2026</v>
      </c>
      <c r="F689" s="376">
        <v>0.23884589662749595</v>
      </c>
      <c r="G689" s="376">
        <v>9522.7857316091431</v>
      </c>
      <c r="H689" s="376">
        <v>0</v>
      </c>
      <c r="I689" s="376">
        <v>1</v>
      </c>
    </row>
    <row r="690" spans="1:9" x14ac:dyDescent="0.35">
      <c r="A690" s="376" t="s">
        <v>1605</v>
      </c>
      <c r="B690" s="376" t="s">
        <v>1609</v>
      </c>
      <c r="C690" s="376" t="s">
        <v>1051</v>
      </c>
      <c r="D690" s="376">
        <v>2020</v>
      </c>
      <c r="E690" s="376">
        <v>2027</v>
      </c>
      <c r="F690" s="376">
        <v>0.23884589662749595</v>
      </c>
      <c r="G690" s="376">
        <v>9522.7857316091431</v>
      </c>
      <c r="H690" s="376">
        <v>0</v>
      </c>
      <c r="I690" s="376">
        <v>1</v>
      </c>
    </row>
    <row r="691" spans="1:9" x14ac:dyDescent="0.35">
      <c r="A691" s="376" t="s">
        <v>1605</v>
      </c>
      <c r="B691" s="376" t="s">
        <v>1609</v>
      </c>
      <c r="C691" s="376" t="s">
        <v>1051</v>
      </c>
      <c r="D691" s="376">
        <v>2020</v>
      </c>
      <c r="E691" s="376">
        <v>2028</v>
      </c>
      <c r="F691" s="376">
        <v>0.23884589662749595</v>
      </c>
      <c r="G691" s="376">
        <v>9522.7857316091431</v>
      </c>
      <c r="H691" s="376">
        <v>0</v>
      </c>
      <c r="I691" s="376">
        <v>1</v>
      </c>
    </row>
    <row r="692" spans="1:9" x14ac:dyDescent="0.35">
      <c r="A692" s="376" t="s">
        <v>1605</v>
      </c>
      <c r="B692" s="376" t="s">
        <v>1609</v>
      </c>
      <c r="C692" s="376" t="s">
        <v>1051</v>
      </c>
      <c r="D692" s="376">
        <v>2020</v>
      </c>
      <c r="E692" s="376">
        <v>2029</v>
      </c>
      <c r="F692" s="376">
        <v>0.23884589662749595</v>
      </c>
      <c r="G692" s="376">
        <v>9522.7857316091431</v>
      </c>
      <c r="H692" s="376">
        <v>0</v>
      </c>
      <c r="I692" s="376">
        <v>1</v>
      </c>
    </row>
    <row r="693" spans="1:9" x14ac:dyDescent="0.35">
      <c r="A693" s="376" t="s">
        <v>1605</v>
      </c>
      <c r="B693" s="376" t="s">
        <v>1609</v>
      </c>
      <c r="C693" s="376" t="s">
        <v>1051</v>
      </c>
      <c r="D693" s="376">
        <v>2020</v>
      </c>
      <c r="E693" s="376">
        <v>2030</v>
      </c>
      <c r="F693" s="376">
        <v>0.23884589662749595</v>
      </c>
      <c r="G693" s="376">
        <v>9522.7857316091431</v>
      </c>
      <c r="H693" s="376">
        <v>0</v>
      </c>
      <c r="I693" s="376">
        <v>1</v>
      </c>
    </row>
    <row r="694" spans="1:9" x14ac:dyDescent="0.35">
      <c r="A694" s="376" t="s">
        <v>1605</v>
      </c>
      <c r="B694" s="376" t="s">
        <v>1609</v>
      </c>
      <c r="C694" s="376" t="s">
        <v>1051</v>
      </c>
      <c r="D694" s="376">
        <v>2020</v>
      </c>
      <c r="E694" s="376">
        <v>2031</v>
      </c>
      <c r="F694" s="376">
        <v>0.23884589662749595</v>
      </c>
      <c r="G694" s="376">
        <v>9522.7857316091431</v>
      </c>
      <c r="H694" s="376">
        <v>0</v>
      </c>
      <c r="I694" s="376">
        <v>1</v>
      </c>
    </row>
    <row r="695" spans="1:9" x14ac:dyDescent="0.35">
      <c r="A695" s="376" t="s">
        <v>1636</v>
      </c>
      <c r="B695" s="376" t="s">
        <v>1609</v>
      </c>
      <c r="C695" s="376" t="s">
        <v>1051</v>
      </c>
      <c r="D695" s="376">
        <v>2020</v>
      </c>
      <c r="E695" s="376">
        <v>2021</v>
      </c>
      <c r="F695" s="376">
        <v>1</v>
      </c>
      <c r="G695" s="376">
        <v>8691.5050276236143</v>
      </c>
      <c r="H695" s="376">
        <v>0</v>
      </c>
      <c r="I695" s="376">
        <v>1</v>
      </c>
    </row>
    <row r="696" spans="1:9" x14ac:dyDescent="0.35">
      <c r="A696" s="376" t="s">
        <v>1636</v>
      </c>
      <c r="B696" s="376" t="s">
        <v>1609</v>
      </c>
      <c r="C696" s="376" t="s">
        <v>1051</v>
      </c>
      <c r="D696" s="376">
        <v>2020</v>
      </c>
      <c r="E696" s="376">
        <v>2022</v>
      </c>
      <c r="F696" s="376">
        <v>1</v>
      </c>
      <c r="G696" s="376">
        <v>8343.8448265186689</v>
      </c>
      <c r="H696" s="376">
        <v>0</v>
      </c>
      <c r="I696" s="376">
        <v>1</v>
      </c>
    </row>
    <row r="697" spans="1:9" x14ac:dyDescent="0.35">
      <c r="A697" s="376" t="s">
        <v>1636</v>
      </c>
      <c r="B697" s="376" t="s">
        <v>1609</v>
      </c>
      <c r="C697" s="376" t="s">
        <v>1051</v>
      </c>
      <c r="D697" s="376">
        <v>2020</v>
      </c>
      <c r="E697" s="376">
        <v>2023</v>
      </c>
      <c r="F697" s="376">
        <v>1</v>
      </c>
      <c r="G697" s="376">
        <v>8010.0910334579221</v>
      </c>
      <c r="H697" s="376">
        <v>0</v>
      </c>
      <c r="I697" s="376">
        <v>1</v>
      </c>
    </row>
    <row r="698" spans="1:9" x14ac:dyDescent="0.35">
      <c r="A698" s="376" t="s">
        <v>1636</v>
      </c>
      <c r="B698" s="376" t="s">
        <v>1609</v>
      </c>
      <c r="C698" s="376" t="s">
        <v>1051</v>
      </c>
      <c r="D698" s="376">
        <v>2020</v>
      </c>
      <c r="E698" s="376">
        <v>2024</v>
      </c>
      <c r="F698" s="376">
        <v>1</v>
      </c>
      <c r="G698" s="376">
        <v>7689.6873921196047</v>
      </c>
      <c r="H698" s="376">
        <v>0</v>
      </c>
      <c r="I698" s="376">
        <v>1</v>
      </c>
    </row>
    <row r="699" spans="1:9" x14ac:dyDescent="0.35">
      <c r="A699" s="376" t="s">
        <v>1636</v>
      </c>
      <c r="B699" s="376" t="s">
        <v>1609</v>
      </c>
      <c r="C699" s="376" t="s">
        <v>1051</v>
      </c>
      <c r="D699" s="376">
        <v>2020</v>
      </c>
      <c r="E699" s="376">
        <v>2025</v>
      </c>
      <c r="F699" s="376">
        <v>1</v>
      </c>
      <c r="G699" s="376">
        <v>7382.09989643482</v>
      </c>
      <c r="H699" s="376">
        <v>0</v>
      </c>
      <c r="I699" s="376">
        <v>1</v>
      </c>
    </row>
    <row r="700" spans="1:9" x14ac:dyDescent="0.35">
      <c r="A700" s="376" t="s">
        <v>1636</v>
      </c>
      <c r="B700" s="376" t="s">
        <v>1609</v>
      </c>
      <c r="C700" s="376" t="s">
        <v>1051</v>
      </c>
      <c r="D700" s="376">
        <v>2020</v>
      </c>
      <c r="E700" s="376">
        <v>2026</v>
      </c>
      <c r="F700" s="376">
        <v>1</v>
      </c>
      <c r="G700" s="376">
        <v>7086.8159005774269</v>
      </c>
      <c r="H700" s="376">
        <v>0</v>
      </c>
      <c r="I700" s="376">
        <v>1</v>
      </c>
    </row>
    <row r="701" spans="1:9" x14ac:dyDescent="0.35">
      <c r="A701" s="376" t="s">
        <v>1636</v>
      </c>
      <c r="B701" s="376" t="s">
        <v>1609</v>
      </c>
      <c r="C701" s="376" t="s">
        <v>1051</v>
      </c>
      <c r="D701" s="376">
        <v>2020</v>
      </c>
      <c r="E701" s="376">
        <v>2027</v>
      </c>
      <c r="F701" s="376">
        <v>1</v>
      </c>
      <c r="G701" s="376">
        <v>6803.3432645543298</v>
      </c>
      <c r="H701" s="376">
        <v>0</v>
      </c>
      <c r="I701" s="376">
        <v>1</v>
      </c>
    </row>
    <row r="702" spans="1:9" x14ac:dyDescent="0.35">
      <c r="A702" s="376" t="s">
        <v>1636</v>
      </c>
      <c r="B702" s="376" t="s">
        <v>1609</v>
      </c>
      <c r="C702" s="376" t="s">
        <v>1051</v>
      </c>
      <c r="D702" s="376">
        <v>2020</v>
      </c>
      <c r="E702" s="376">
        <v>2028</v>
      </c>
      <c r="F702" s="376">
        <v>1</v>
      </c>
      <c r="G702" s="376">
        <v>6531.2095339721564</v>
      </c>
      <c r="H702" s="376">
        <v>0</v>
      </c>
      <c r="I702" s="376">
        <v>1</v>
      </c>
    </row>
    <row r="703" spans="1:9" x14ac:dyDescent="0.35">
      <c r="A703" s="376" t="s">
        <v>1636</v>
      </c>
      <c r="B703" s="376" t="s">
        <v>1609</v>
      </c>
      <c r="C703" s="376" t="s">
        <v>1051</v>
      </c>
      <c r="D703" s="376">
        <v>2020</v>
      </c>
      <c r="E703" s="376">
        <v>2029</v>
      </c>
      <c r="F703" s="376">
        <v>1</v>
      </c>
      <c r="G703" s="376">
        <v>6269.9611526132703</v>
      </c>
      <c r="H703" s="376">
        <v>0</v>
      </c>
      <c r="I703" s="376">
        <v>1</v>
      </c>
    </row>
    <row r="704" spans="1:9" x14ac:dyDescent="0.35">
      <c r="A704" s="376" t="s">
        <v>1636</v>
      </c>
      <c r="B704" s="376" t="s">
        <v>1609</v>
      </c>
      <c r="C704" s="376" t="s">
        <v>1051</v>
      </c>
      <c r="D704" s="376">
        <v>2020</v>
      </c>
      <c r="E704" s="376">
        <v>2030</v>
      </c>
      <c r="F704" s="376">
        <v>1</v>
      </c>
      <c r="G704" s="376">
        <v>6019.1627065087396</v>
      </c>
      <c r="H704" s="376">
        <v>0</v>
      </c>
      <c r="I704" s="376">
        <v>1</v>
      </c>
    </row>
    <row r="705" spans="1:9" x14ac:dyDescent="0.35">
      <c r="A705" s="376" t="s">
        <v>1636</v>
      </c>
      <c r="B705" s="376" t="s">
        <v>1609</v>
      </c>
      <c r="C705" s="376" t="s">
        <v>1051</v>
      </c>
      <c r="D705" s="376">
        <v>2020</v>
      </c>
      <c r="E705" s="376">
        <v>2031</v>
      </c>
      <c r="F705" s="376">
        <v>1</v>
      </c>
      <c r="G705" s="376">
        <v>5778.3961982483897</v>
      </c>
      <c r="H705" s="376">
        <v>0</v>
      </c>
      <c r="I705" s="376">
        <v>1</v>
      </c>
    </row>
    <row r="706" spans="1:9" x14ac:dyDescent="0.35">
      <c r="A706" s="376" t="s">
        <v>1606</v>
      </c>
      <c r="B706" s="376" t="s">
        <v>1609</v>
      </c>
      <c r="C706" s="376" t="s">
        <v>1051</v>
      </c>
      <c r="D706" s="376">
        <v>2020</v>
      </c>
      <c r="E706" s="376">
        <v>2021</v>
      </c>
      <c r="F706" s="376">
        <v>1</v>
      </c>
      <c r="G706" s="376">
        <v>5886.0846098324755</v>
      </c>
      <c r="H706" s="376">
        <v>0</v>
      </c>
      <c r="I706" s="376">
        <v>1</v>
      </c>
    </row>
    <row r="707" spans="1:9" x14ac:dyDescent="0.35">
      <c r="A707" s="376" t="s">
        <v>1606</v>
      </c>
      <c r="B707" s="376" t="s">
        <v>1609</v>
      </c>
      <c r="C707" s="376" t="s">
        <v>1051</v>
      </c>
      <c r="D707" s="376">
        <v>2020</v>
      </c>
      <c r="E707" s="376">
        <v>2022</v>
      </c>
      <c r="F707" s="376">
        <v>1</v>
      </c>
      <c r="G707" s="376">
        <v>5650.6412254391762</v>
      </c>
      <c r="H707" s="376">
        <v>0</v>
      </c>
      <c r="I707" s="376">
        <v>1</v>
      </c>
    </row>
    <row r="708" spans="1:9" x14ac:dyDescent="0.35">
      <c r="A708" s="376" t="s">
        <v>1606</v>
      </c>
      <c r="B708" s="376" t="s">
        <v>1609</v>
      </c>
      <c r="C708" s="376" t="s">
        <v>1051</v>
      </c>
      <c r="D708" s="376">
        <v>2020</v>
      </c>
      <c r="E708" s="376">
        <v>2023</v>
      </c>
      <c r="F708" s="376">
        <v>1</v>
      </c>
      <c r="G708" s="376">
        <v>5424.6155764216091</v>
      </c>
      <c r="H708" s="376">
        <v>0</v>
      </c>
      <c r="I708" s="376">
        <v>1</v>
      </c>
    </row>
    <row r="709" spans="1:9" x14ac:dyDescent="0.35">
      <c r="A709" s="376" t="s">
        <v>1606</v>
      </c>
      <c r="B709" s="376" t="s">
        <v>1609</v>
      </c>
      <c r="C709" s="376" t="s">
        <v>1051</v>
      </c>
      <c r="D709" s="376">
        <v>2020</v>
      </c>
      <c r="E709" s="376">
        <v>2024</v>
      </c>
      <c r="F709" s="376">
        <v>1</v>
      </c>
      <c r="G709" s="376">
        <v>5207.6309533647445</v>
      </c>
      <c r="H709" s="376">
        <v>0</v>
      </c>
      <c r="I709" s="376">
        <v>1</v>
      </c>
    </row>
    <row r="710" spans="1:9" x14ac:dyDescent="0.35">
      <c r="A710" s="376" t="s">
        <v>1606</v>
      </c>
      <c r="B710" s="376" t="s">
        <v>1609</v>
      </c>
      <c r="C710" s="376" t="s">
        <v>1051</v>
      </c>
      <c r="D710" s="376">
        <v>2020</v>
      </c>
      <c r="E710" s="376">
        <v>2025</v>
      </c>
      <c r="F710" s="376">
        <v>1</v>
      </c>
      <c r="G710" s="376">
        <v>4999.3257152301549</v>
      </c>
      <c r="H710" s="376">
        <v>0</v>
      </c>
      <c r="I710" s="376">
        <v>1</v>
      </c>
    </row>
    <row r="711" spans="1:9" x14ac:dyDescent="0.35">
      <c r="A711" s="376" t="s">
        <v>1606</v>
      </c>
      <c r="B711" s="376" t="s">
        <v>1609</v>
      </c>
      <c r="C711" s="376" t="s">
        <v>1051</v>
      </c>
      <c r="D711" s="376">
        <v>2020</v>
      </c>
      <c r="E711" s="376">
        <v>2026</v>
      </c>
      <c r="F711" s="376">
        <v>1</v>
      </c>
      <c r="G711" s="376">
        <v>4799.3526866209486</v>
      </c>
      <c r="H711" s="376">
        <v>0</v>
      </c>
      <c r="I711" s="376">
        <v>1</v>
      </c>
    </row>
    <row r="712" spans="1:9" x14ac:dyDescent="0.35">
      <c r="A712" s="376" t="s">
        <v>1606</v>
      </c>
      <c r="B712" s="376" t="s">
        <v>1609</v>
      </c>
      <c r="C712" s="376" t="s">
        <v>1051</v>
      </c>
      <c r="D712" s="376">
        <v>2020</v>
      </c>
      <c r="E712" s="376">
        <v>2027</v>
      </c>
      <c r="F712" s="376">
        <v>1</v>
      </c>
      <c r="G712" s="376">
        <v>4607.3785791561104</v>
      </c>
      <c r="H712" s="376">
        <v>0</v>
      </c>
      <c r="I712" s="376">
        <v>1</v>
      </c>
    </row>
    <row r="713" spans="1:9" x14ac:dyDescent="0.35">
      <c r="A713" s="376" t="s">
        <v>1606</v>
      </c>
      <c r="B713" s="376" t="s">
        <v>1609</v>
      </c>
      <c r="C713" s="376" t="s">
        <v>1051</v>
      </c>
      <c r="D713" s="376">
        <v>2020</v>
      </c>
      <c r="E713" s="376">
        <v>2028</v>
      </c>
      <c r="F713" s="376">
        <v>1</v>
      </c>
      <c r="G713" s="376">
        <v>4423.0834359898654</v>
      </c>
      <c r="H713" s="376">
        <v>0</v>
      </c>
      <c r="I713" s="376">
        <v>1</v>
      </c>
    </row>
    <row r="714" spans="1:9" x14ac:dyDescent="0.35">
      <c r="A714" s="376" t="s">
        <v>1606</v>
      </c>
      <c r="B714" s="376" t="s">
        <v>1609</v>
      </c>
      <c r="C714" s="376" t="s">
        <v>1051</v>
      </c>
      <c r="D714" s="376">
        <v>2020</v>
      </c>
      <c r="E714" s="376">
        <v>2029</v>
      </c>
      <c r="F714" s="376">
        <v>1</v>
      </c>
      <c r="G714" s="376">
        <v>4246.160098550271</v>
      </c>
      <c r="H714" s="376">
        <v>0</v>
      </c>
      <c r="I714" s="376">
        <v>1</v>
      </c>
    </row>
    <row r="715" spans="1:9" x14ac:dyDescent="0.35">
      <c r="A715" s="376" t="s">
        <v>1606</v>
      </c>
      <c r="B715" s="376" t="s">
        <v>1609</v>
      </c>
      <c r="C715" s="376" t="s">
        <v>1051</v>
      </c>
      <c r="D715" s="376">
        <v>2020</v>
      </c>
      <c r="E715" s="376">
        <v>2030</v>
      </c>
      <c r="F715" s="376">
        <v>1</v>
      </c>
      <c r="G715" s="376">
        <v>4076.31369460826</v>
      </c>
      <c r="H715" s="376">
        <v>0</v>
      </c>
      <c r="I715" s="376">
        <v>1</v>
      </c>
    </row>
    <row r="716" spans="1:9" x14ac:dyDescent="0.35">
      <c r="A716" s="376" t="s">
        <v>1606</v>
      </c>
      <c r="B716" s="376" t="s">
        <v>1609</v>
      </c>
      <c r="C716" s="376" t="s">
        <v>1051</v>
      </c>
      <c r="D716" s="376">
        <v>2020</v>
      </c>
      <c r="E716" s="376">
        <v>2031</v>
      </c>
      <c r="F716" s="376">
        <v>1</v>
      </c>
      <c r="G716" s="376">
        <v>3913.2611468239293</v>
      </c>
      <c r="H716" s="376">
        <v>0</v>
      </c>
      <c r="I716" s="376">
        <v>1</v>
      </c>
    </row>
    <row r="717" spans="1:9" x14ac:dyDescent="0.35">
      <c r="A717" s="376" t="s">
        <v>1612</v>
      </c>
      <c r="B717" s="376" t="s">
        <v>1609</v>
      </c>
      <c r="C717" s="376" t="s">
        <v>1054</v>
      </c>
      <c r="D717" s="376">
        <v>2020</v>
      </c>
      <c r="E717" s="376">
        <v>2021</v>
      </c>
      <c r="F717" s="376">
        <v>0.35737526128209052</v>
      </c>
      <c r="G717" s="376">
        <v>6800.9876604058645</v>
      </c>
      <c r="H717" s="376">
        <v>0.25</v>
      </c>
      <c r="I717" s="376">
        <v>0.85</v>
      </c>
    </row>
    <row r="718" spans="1:9" x14ac:dyDescent="0.35">
      <c r="A718" s="376" t="s">
        <v>1612</v>
      </c>
      <c r="B718" s="376" t="s">
        <v>1609</v>
      </c>
      <c r="C718" s="376" t="s">
        <v>1054</v>
      </c>
      <c r="D718" s="376">
        <v>2020</v>
      </c>
      <c r="E718" s="376">
        <v>2022</v>
      </c>
      <c r="F718" s="376">
        <v>0.35737526128209052</v>
      </c>
      <c r="G718" s="376">
        <v>6812.7097120346525</v>
      </c>
      <c r="H718" s="376">
        <v>0.25</v>
      </c>
      <c r="I718" s="376">
        <v>0.85</v>
      </c>
    </row>
    <row r="719" spans="1:9" x14ac:dyDescent="0.35">
      <c r="A719" s="376" t="s">
        <v>1612</v>
      </c>
      <c r="B719" s="376" t="s">
        <v>1609</v>
      </c>
      <c r="C719" s="376" t="s">
        <v>1054</v>
      </c>
      <c r="D719" s="376">
        <v>2020</v>
      </c>
      <c r="E719" s="376">
        <v>2023</v>
      </c>
      <c r="F719" s="376">
        <v>0.35737526128209052</v>
      </c>
      <c r="G719" s="376">
        <v>6824.4519675663514</v>
      </c>
      <c r="H719" s="376">
        <v>0.25</v>
      </c>
      <c r="I719" s="376">
        <v>0.85</v>
      </c>
    </row>
    <row r="720" spans="1:9" x14ac:dyDescent="0.35">
      <c r="A720" s="376" t="s">
        <v>1612</v>
      </c>
      <c r="B720" s="376" t="s">
        <v>1609</v>
      </c>
      <c r="C720" s="376" t="s">
        <v>1054</v>
      </c>
      <c r="D720" s="376">
        <v>2020</v>
      </c>
      <c r="E720" s="376">
        <v>2024</v>
      </c>
      <c r="F720" s="376">
        <v>0.35737526128209052</v>
      </c>
      <c r="G720" s="376">
        <v>6836.21446182402</v>
      </c>
      <c r="H720" s="376">
        <v>0.25</v>
      </c>
      <c r="I720" s="376">
        <v>0.85</v>
      </c>
    </row>
    <row r="721" spans="1:9" x14ac:dyDescent="0.35">
      <c r="A721" s="376" t="s">
        <v>1612</v>
      </c>
      <c r="B721" s="376" t="s">
        <v>1609</v>
      </c>
      <c r="C721" s="376" t="s">
        <v>1054</v>
      </c>
      <c r="D721" s="376">
        <v>2020</v>
      </c>
      <c r="E721" s="376">
        <v>2025</v>
      </c>
      <c r="F721" s="376">
        <v>0.35737526128209052</v>
      </c>
      <c r="G721" s="376">
        <v>6847.9972296907372</v>
      </c>
      <c r="H721" s="376">
        <v>0.25</v>
      </c>
      <c r="I721" s="376">
        <v>0.85</v>
      </c>
    </row>
    <row r="722" spans="1:9" x14ac:dyDescent="0.35">
      <c r="A722" s="376" t="s">
        <v>1612</v>
      </c>
      <c r="B722" s="376" t="s">
        <v>1609</v>
      </c>
      <c r="C722" s="376" t="s">
        <v>1054</v>
      </c>
      <c r="D722" s="376">
        <v>2020</v>
      </c>
      <c r="E722" s="376">
        <v>2026</v>
      </c>
      <c r="F722" s="376">
        <v>0.35737526128209052</v>
      </c>
      <c r="G722" s="376">
        <v>6859.8003061097061</v>
      </c>
      <c r="H722" s="376">
        <v>0.25</v>
      </c>
      <c r="I722" s="376">
        <v>0.85</v>
      </c>
    </row>
    <row r="723" spans="1:9" x14ac:dyDescent="0.35">
      <c r="A723" s="376" t="s">
        <v>1612</v>
      </c>
      <c r="B723" s="376" t="s">
        <v>1609</v>
      </c>
      <c r="C723" s="376" t="s">
        <v>1054</v>
      </c>
      <c r="D723" s="376">
        <v>2020</v>
      </c>
      <c r="E723" s="376">
        <v>2027</v>
      </c>
      <c r="F723" s="376">
        <v>0.35737526128209052</v>
      </c>
      <c r="G723" s="376">
        <v>6871.6237260843563</v>
      </c>
      <c r="H723" s="376">
        <v>0.25</v>
      </c>
      <c r="I723" s="376">
        <v>0.85</v>
      </c>
    </row>
    <row r="724" spans="1:9" x14ac:dyDescent="0.35">
      <c r="A724" s="376" t="s">
        <v>1612</v>
      </c>
      <c r="B724" s="376" t="s">
        <v>1609</v>
      </c>
      <c r="C724" s="376" t="s">
        <v>1054</v>
      </c>
      <c r="D724" s="376">
        <v>2020</v>
      </c>
      <c r="E724" s="376">
        <v>2028</v>
      </c>
      <c r="F724" s="376">
        <v>0.35737526128209052</v>
      </c>
      <c r="G724" s="376">
        <v>6883.4675246784509</v>
      </c>
      <c r="H724" s="376">
        <v>0.25</v>
      </c>
      <c r="I724" s="376">
        <v>0.85</v>
      </c>
    </row>
    <row r="725" spans="1:9" x14ac:dyDescent="0.35">
      <c r="A725" s="376" t="s">
        <v>1612</v>
      </c>
      <c r="B725" s="376" t="s">
        <v>1609</v>
      </c>
      <c r="C725" s="376" t="s">
        <v>1054</v>
      </c>
      <c r="D725" s="376">
        <v>2020</v>
      </c>
      <c r="E725" s="376">
        <v>2029</v>
      </c>
      <c r="F725" s="376">
        <v>0.35737526128209052</v>
      </c>
      <c r="G725" s="376">
        <v>6895.3317370161858</v>
      </c>
      <c r="H725" s="376">
        <v>0.25</v>
      </c>
      <c r="I725" s="376">
        <v>0.85</v>
      </c>
    </row>
    <row r="726" spans="1:9" x14ac:dyDescent="0.35">
      <c r="A726" s="376" t="s">
        <v>1612</v>
      </c>
      <c r="B726" s="376" t="s">
        <v>1609</v>
      </c>
      <c r="C726" s="376" t="s">
        <v>1054</v>
      </c>
      <c r="D726" s="376">
        <v>2020</v>
      </c>
      <c r="E726" s="376">
        <v>2030</v>
      </c>
      <c r="F726" s="376">
        <v>0.35737526128209052</v>
      </c>
      <c r="G726" s="376">
        <v>6907.2163982822967</v>
      </c>
      <c r="H726" s="376">
        <v>0.25</v>
      </c>
      <c r="I726" s="376">
        <v>0.85</v>
      </c>
    </row>
    <row r="727" spans="1:9" x14ac:dyDescent="0.35">
      <c r="A727" s="376" t="s">
        <v>1612</v>
      </c>
      <c r="B727" s="376" t="s">
        <v>1609</v>
      </c>
      <c r="C727" s="376" t="s">
        <v>1054</v>
      </c>
      <c r="D727" s="376">
        <v>2020</v>
      </c>
      <c r="E727" s="376">
        <v>2031</v>
      </c>
      <c r="F727" s="376">
        <v>0.35737526128209052</v>
      </c>
      <c r="G727" s="376">
        <v>6919.1215437221645</v>
      </c>
      <c r="H727" s="376">
        <v>0.25</v>
      </c>
      <c r="I727" s="376">
        <v>0.85</v>
      </c>
    </row>
    <row r="728" spans="1:9" x14ac:dyDescent="0.35">
      <c r="A728" s="376" t="s">
        <v>1613</v>
      </c>
      <c r="B728" s="376" t="s">
        <v>1609</v>
      </c>
      <c r="C728" s="376" t="s">
        <v>1054</v>
      </c>
      <c r="D728" s="376">
        <v>2020</v>
      </c>
      <c r="E728" s="376">
        <v>2021</v>
      </c>
      <c r="F728" s="376">
        <v>0.40444272241720852</v>
      </c>
      <c r="G728" s="376">
        <v>2377.9140900012894</v>
      </c>
      <c r="H728" s="376">
        <v>0.25</v>
      </c>
      <c r="I728" s="376">
        <v>0.85</v>
      </c>
    </row>
    <row r="729" spans="1:9" x14ac:dyDescent="0.35">
      <c r="A729" s="376" t="s">
        <v>1613</v>
      </c>
      <c r="B729" s="376" t="s">
        <v>1609</v>
      </c>
      <c r="C729" s="376" t="s">
        <v>1054</v>
      </c>
      <c r="D729" s="376">
        <v>2020</v>
      </c>
      <c r="E729" s="376">
        <v>2022</v>
      </c>
      <c r="F729" s="376">
        <v>0.40444272241720852</v>
      </c>
      <c r="G729" s="376">
        <v>2382.0126170276058</v>
      </c>
      <c r="H729" s="376">
        <v>0.25</v>
      </c>
      <c r="I729" s="376">
        <v>0.85</v>
      </c>
    </row>
    <row r="730" spans="1:9" x14ac:dyDescent="0.35">
      <c r="A730" s="376" t="s">
        <v>1613</v>
      </c>
      <c r="B730" s="376" t="s">
        <v>1609</v>
      </c>
      <c r="C730" s="376" t="s">
        <v>1054</v>
      </c>
      <c r="D730" s="376">
        <v>2020</v>
      </c>
      <c r="E730" s="376">
        <v>2023</v>
      </c>
      <c r="F730" s="376">
        <v>0.40444272241720852</v>
      </c>
      <c r="G730" s="376">
        <v>2386.1182081963384</v>
      </c>
      <c r="H730" s="376">
        <v>0.25</v>
      </c>
      <c r="I730" s="376">
        <v>0.85</v>
      </c>
    </row>
    <row r="731" spans="1:9" x14ac:dyDescent="0.35">
      <c r="A731" s="376" t="s">
        <v>1613</v>
      </c>
      <c r="B731" s="376" t="s">
        <v>1609</v>
      </c>
      <c r="C731" s="376" t="s">
        <v>1054</v>
      </c>
      <c r="D731" s="376">
        <v>2020</v>
      </c>
      <c r="E731" s="376">
        <v>2024</v>
      </c>
      <c r="F731" s="376">
        <v>0.40444272241720852</v>
      </c>
      <c r="G731" s="376">
        <v>2390.2308756831076</v>
      </c>
      <c r="H731" s="376">
        <v>0.25</v>
      </c>
      <c r="I731" s="376">
        <v>0.85</v>
      </c>
    </row>
    <row r="732" spans="1:9" x14ac:dyDescent="0.35">
      <c r="A732" s="376" t="s">
        <v>1613</v>
      </c>
      <c r="B732" s="376" t="s">
        <v>1609</v>
      </c>
      <c r="C732" s="376" t="s">
        <v>1054</v>
      </c>
      <c r="D732" s="376">
        <v>2020</v>
      </c>
      <c r="E732" s="376">
        <v>2025</v>
      </c>
      <c r="F732" s="376">
        <v>0.40444272241720852</v>
      </c>
      <c r="G732" s="376">
        <v>2394.3506316845187</v>
      </c>
      <c r="H732" s="376">
        <v>0.25</v>
      </c>
      <c r="I732" s="376">
        <v>0.85</v>
      </c>
    </row>
    <row r="733" spans="1:9" x14ac:dyDescent="0.35">
      <c r="A733" s="376" t="s">
        <v>1613</v>
      </c>
      <c r="B733" s="376" t="s">
        <v>1609</v>
      </c>
      <c r="C733" s="376" t="s">
        <v>1054</v>
      </c>
      <c r="D733" s="376">
        <v>2020</v>
      </c>
      <c r="E733" s="376">
        <v>2026</v>
      </c>
      <c r="F733" s="376">
        <v>0.40444272241720852</v>
      </c>
      <c r="G733" s="376">
        <v>2398.4774884181998</v>
      </c>
      <c r="H733" s="376">
        <v>0.25</v>
      </c>
      <c r="I733" s="376">
        <v>0.85</v>
      </c>
    </row>
    <row r="734" spans="1:9" x14ac:dyDescent="0.35">
      <c r="A734" s="376" t="s">
        <v>1613</v>
      </c>
      <c r="B734" s="376" t="s">
        <v>1609</v>
      </c>
      <c r="C734" s="376" t="s">
        <v>1054</v>
      </c>
      <c r="D734" s="376">
        <v>2020</v>
      </c>
      <c r="E734" s="376">
        <v>2027</v>
      </c>
      <c r="F734" s="376">
        <v>0.40444272241720852</v>
      </c>
      <c r="G734" s="376">
        <v>2402.6114581228362</v>
      </c>
      <c r="H734" s="376">
        <v>0.25</v>
      </c>
      <c r="I734" s="376">
        <v>0.85</v>
      </c>
    </row>
    <row r="735" spans="1:9" x14ac:dyDescent="0.35">
      <c r="A735" s="376" t="s">
        <v>1613</v>
      </c>
      <c r="B735" s="376" t="s">
        <v>1609</v>
      </c>
      <c r="C735" s="376" t="s">
        <v>1054</v>
      </c>
      <c r="D735" s="376">
        <v>2020</v>
      </c>
      <c r="E735" s="376">
        <v>2028</v>
      </c>
      <c r="F735" s="376">
        <v>0.40444272241720852</v>
      </c>
      <c r="G735" s="376">
        <v>2406.7525530582084</v>
      </c>
      <c r="H735" s="376">
        <v>0.25</v>
      </c>
      <c r="I735" s="376">
        <v>0.85</v>
      </c>
    </row>
    <row r="736" spans="1:9" x14ac:dyDescent="0.35">
      <c r="A736" s="376" t="s">
        <v>1613</v>
      </c>
      <c r="B736" s="376" t="s">
        <v>1609</v>
      </c>
      <c r="C736" s="376" t="s">
        <v>1054</v>
      </c>
      <c r="D736" s="376">
        <v>2020</v>
      </c>
      <c r="E736" s="376">
        <v>2029</v>
      </c>
      <c r="F736" s="376">
        <v>0.40444272241720852</v>
      </c>
      <c r="G736" s="376">
        <v>2410.9007855052264</v>
      </c>
      <c r="H736" s="376">
        <v>0.25</v>
      </c>
      <c r="I736" s="376">
        <v>0.85</v>
      </c>
    </row>
    <row r="737" spans="1:9" x14ac:dyDescent="0.35">
      <c r="A737" s="376" t="s">
        <v>1613</v>
      </c>
      <c r="B737" s="376" t="s">
        <v>1609</v>
      </c>
      <c r="C737" s="376" t="s">
        <v>1054</v>
      </c>
      <c r="D737" s="376">
        <v>2020</v>
      </c>
      <c r="E737" s="376">
        <v>2030</v>
      </c>
      <c r="F737" s="376">
        <v>0.40444272241720852</v>
      </c>
      <c r="G737" s="376">
        <v>2415.0561677659689</v>
      </c>
      <c r="H737" s="376">
        <v>0.25</v>
      </c>
      <c r="I737" s="376">
        <v>0.85</v>
      </c>
    </row>
    <row r="738" spans="1:9" x14ac:dyDescent="0.35">
      <c r="A738" s="376" t="s">
        <v>1613</v>
      </c>
      <c r="B738" s="376" t="s">
        <v>1609</v>
      </c>
      <c r="C738" s="376" t="s">
        <v>1054</v>
      </c>
      <c r="D738" s="376">
        <v>2020</v>
      </c>
      <c r="E738" s="376">
        <v>2031</v>
      </c>
      <c r="F738" s="376">
        <v>0.40444272241720852</v>
      </c>
      <c r="G738" s="376">
        <v>2419.2187121637171</v>
      </c>
      <c r="H738" s="376">
        <v>0.25</v>
      </c>
      <c r="I738" s="376">
        <v>0.85</v>
      </c>
    </row>
    <row r="739" spans="1:9" x14ac:dyDescent="0.35">
      <c r="A739" s="376" t="s">
        <v>1604</v>
      </c>
      <c r="B739" s="376" t="s">
        <v>1609</v>
      </c>
      <c r="C739" s="376" t="s">
        <v>1054</v>
      </c>
      <c r="D739" s="376">
        <v>2020</v>
      </c>
      <c r="E739" s="376">
        <v>2021</v>
      </c>
      <c r="F739" s="376">
        <v>1</v>
      </c>
      <c r="G739" s="376">
        <v>9489.1171240127242</v>
      </c>
      <c r="H739" s="376">
        <v>0</v>
      </c>
      <c r="I739" s="376">
        <v>1</v>
      </c>
    </row>
    <row r="740" spans="1:9" x14ac:dyDescent="0.35">
      <c r="A740" s="376" t="s">
        <v>1604</v>
      </c>
      <c r="B740" s="376" t="s">
        <v>1609</v>
      </c>
      <c r="C740" s="376" t="s">
        <v>1054</v>
      </c>
      <c r="D740" s="376">
        <v>2020</v>
      </c>
      <c r="E740" s="376">
        <v>2022</v>
      </c>
      <c r="F740" s="376">
        <v>1</v>
      </c>
      <c r="G740" s="376">
        <v>9489.1171240127242</v>
      </c>
      <c r="H740" s="376">
        <v>0</v>
      </c>
      <c r="I740" s="376">
        <v>1</v>
      </c>
    </row>
    <row r="741" spans="1:9" x14ac:dyDescent="0.35">
      <c r="A741" s="376" t="s">
        <v>1604</v>
      </c>
      <c r="B741" s="376" t="s">
        <v>1609</v>
      </c>
      <c r="C741" s="376" t="s">
        <v>1054</v>
      </c>
      <c r="D741" s="376">
        <v>2020</v>
      </c>
      <c r="E741" s="376">
        <v>2023</v>
      </c>
      <c r="F741" s="376">
        <v>1</v>
      </c>
      <c r="G741" s="376">
        <v>9489.1171240127242</v>
      </c>
      <c r="H741" s="376">
        <v>0</v>
      </c>
      <c r="I741" s="376">
        <v>1</v>
      </c>
    </row>
    <row r="742" spans="1:9" x14ac:dyDescent="0.35">
      <c r="A742" s="376" t="s">
        <v>1604</v>
      </c>
      <c r="B742" s="376" t="s">
        <v>1609</v>
      </c>
      <c r="C742" s="376" t="s">
        <v>1054</v>
      </c>
      <c r="D742" s="376">
        <v>2020</v>
      </c>
      <c r="E742" s="376">
        <v>2024</v>
      </c>
      <c r="F742" s="376">
        <v>1</v>
      </c>
      <c r="G742" s="376">
        <v>9489.1171240127242</v>
      </c>
      <c r="H742" s="376">
        <v>0</v>
      </c>
      <c r="I742" s="376">
        <v>1</v>
      </c>
    </row>
    <row r="743" spans="1:9" x14ac:dyDescent="0.35">
      <c r="A743" s="376" t="s">
        <v>1604</v>
      </c>
      <c r="B743" s="376" t="s">
        <v>1609</v>
      </c>
      <c r="C743" s="376" t="s">
        <v>1054</v>
      </c>
      <c r="D743" s="376">
        <v>2020</v>
      </c>
      <c r="E743" s="376">
        <v>2025</v>
      </c>
      <c r="F743" s="376">
        <v>1</v>
      </c>
      <c r="G743" s="376">
        <v>9489.1171240127242</v>
      </c>
      <c r="H743" s="376">
        <v>0</v>
      </c>
      <c r="I743" s="376">
        <v>1</v>
      </c>
    </row>
    <row r="744" spans="1:9" x14ac:dyDescent="0.35">
      <c r="A744" s="376" t="s">
        <v>1604</v>
      </c>
      <c r="B744" s="376" t="s">
        <v>1609</v>
      </c>
      <c r="C744" s="376" t="s">
        <v>1054</v>
      </c>
      <c r="D744" s="376">
        <v>2020</v>
      </c>
      <c r="E744" s="376">
        <v>2026</v>
      </c>
      <c r="F744" s="376">
        <v>1</v>
      </c>
      <c r="G744" s="376">
        <v>9489.1171240127242</v>
      </c>
      <c r="H744" s="376">
        <v>0</v>
      </c>
      <c r="I744" s="376">
        <v>1</v>
      </c>
    </row>
    <row r="745" spans="1:9" x14ac:dyDescent="0.35">
      <c r="A745" s="376" t="s">
        <v>1604</v>
      </c>
      <c r="B745" s="376" t="s">
        <v>1609</v>
      </c>
      <c r="C745" s="376" t="s">
        <v>1054</v>
      </c>
      <c r="D745" s="376">
        <v>2020</v>
      </c>
      <c r="E745" s="376">
        <v>2027</v>
      </c>
      <c r="F745" s="376">
        <v>1</v>
      </c>
      <c r="G745" s="376">
        <v>9489.1171240127242</v>
      </c>
      <c r="H745" s="376">
        <v>0</v>
      </c>
      <c r="I745" s="376">
        <v>1</v>
      </c>
    </row>
    <row r="746" spans="1:9" x14ac:dyDescent="0.35">
      <c r="A746" s="376" t="s">
        <v>1604</v>
      </c>
      <c r="B746" s="376" t="s">
        <v>1609</v>
      </c>
      <c r="C746" s="376" t="s">
        <v>1054</v>
      </c>
      <c r="D746" s="376">
        <v>2020</v>
      </c>
      <c r="E746" s="376">
        <v>2028</v>
      </c>
      <c r="F746" s="376">
        <v>1</v>
      </c>
      <c r="G746" s="376">
        <v>9489.1171240127242</v>
      </c>
      <c r="H746" s="376">
        <v>0</v>
      </c>
      <c r="I746" s="376">
        <v>1</v>
      </c>
    </row>
    <row r="747" spans="1:9" x14ac:dyDescent="0.35">
      <c r="A747" s="376" t="s">
        <v>1604</v>
      </c>
      <c r="B747" s="376" t="s">
        <v>1609</v>
      </c>
      <c r="C747" s="376" t="s">
        <v>1054</v>
      </c>
      <c r="D747" s="376">
        <v>2020</v>
      </c>
      <c r="E747" s="376">
        <v>2029</v>
      </c>
      <c r="F747" s="376">
        <v>1</v>
      </c>
      <c r="G747" s="376">
        <v>9489.1171240127242</v>
      </c>
      <c r="H747" s="376">
        <v>0</v>
      </c>
      <c r="I747" s="376">
        <v>1</v>
      </c>
    </row>
    <row r="748" spans="1:9" x14ac:dyDescent="0.35">
      <c r="A748" s="376" t="s">
        <v>1604</v>
      </c>
      <c r="B748" s="376" t="s">
        <v>1609</v>
      </c>
      <c r="C748" s="376" t="s">
        <v>1054</v>
      </c>
      <c r="D748" s="376">
        <v>2020</v>
      </c>
      <c r="E748" s="376">
        <v>2030</v>
      </c>
      <c r="F748" s="376">
        <v>1</v>
      </c>
      <c r="G748" s="376">
        <v>9489.1171240127242</v>
      </c>
      <c r="H748" s="376">
        <v>0</v>
      </c>
      <c r="I748" s="376">
        <v>1</v>
      </c>
    </row>
    <row r="749" spans="1:9" x14ac:dyDescent="0.35">
      <c r="A749" s="376" t="s">
        <v>1604</v>
      </c>
      <c r="B749" s="376" t="s">
        <v>1609</v>
      </c>
      <c r="C749" s="376" t="s">
        <v>1054</v>
      </c>
      <c r="D749" s="376">
        <v>2020</v>
      </c>
      <c r="E749" s="376">
        <v>2031</v>
      </c>
      <c r="F749" s="376">
        <v>1</v>
      </c>
      <c r="G749" s="376">
        <v>9489.1171240127242</v>
      </c>
      <c r="H749" s="376">
        <v>0</v>
      </c>
      <c r="I749" s="376">
        <v>1</v>
      </c>
    </row>
    <row r="750" spans="1:9" x14ac:dyDescent="0.35">
      <c r="A750" s="376" t="s">
        <v>1603</v>
      </c>
      <c r="B750" s="376" t="s">
        <v>1609</v>
      </c>
      <c r="C750" s="376" t="s">
        <v>1054</v>
      </c>
      <c r="D750" s="376">
        <v>2020</v>
      </c>
      <c r="E750" s="376">
        <v>2021</v>
      </c>
      <c r="F750" s="376">
        <v>1</v>
      </c>
      <c r="G750" s="376">
        <v>7111.1111111111113</v>
      </c>
      <c r="H750" s="376">
        <v>0</v>
      </c>
      <c r="I750" s="376">
        <v>1</v>
      </c>
    </row>
    <row r="751" spans="1:9" x14ac:dyDescent="0.35">
      <c r="A751" s="376" t="s">
        <v>1603</v>
      </c>
      <c r="B751" s="376" t="s">
        <v>1609</v>
      </c>
      <c r="C751" s="376" t="s">
        <v>1054</v>
      </c>
      <c r="D751" s="376">
        <v>2020</v>
      </c>
      <c r="E751" s="376">
        <v>2022</v>
      </c>
      <c r="F751" s="376">
        <v>1</v>
      </c>
      <c r="G751" s="376">
        <v>7111.1111111111113</v>
      </c>
      <c r="H751" s="376">
        <v>0</v>
      </c>
      <c r="I751" s="376">
        <v>1</v>
      </c>
    </row>
    <row r="752" spans="1:9" x14ac:dyDescent="0.35">
      <c r="A752" s="376" t="s">
        <v>1603</v>
      </c>
      <c r="B752" s="376" t="s">
        <v>1609</v>
      </c>
      <c r="C752" s="376" t="s">
        <v>1054</v>
      </c>
      <c r="D752" s="376">
        <v>2020</v>
      </c>
      <c r="E752" s="376">
        <v>2023</v>
      </c>
      <c r="F752" s="376">
        <v>1</v>
      </c>
      <c r="G752" s="376">
        <v>7111.1111111111113</v>
      </c>
      <c r="H752" s="376">
        <v>0</v>
      </c>
      <c r="I752" s="376">
        <v>1</v>
      </c>
    </row>
    <row r="753" spans="1:9" x14ac:dyDescent="0.35">
      <c r="A753" s="376" t="s">
        <v>1603</v>
      </c>
      <c r="B753" s="376" t="s">
        <v>1609</v>
      </c>
      <c r="C753" s="376" t="s">
        <v>1054</v>
      </c>
      <c r="D753" s="376">
        <v>2020</v>
      </c>
      <c r="E753" s="376">
        <v>2024</v>
      </c>
      <c r="F753" s="376">
        <v>1</v>
      </c>
      <c r="G753" s="376">
        <v>7111.1111111111113</v>
      </c>
      <c r="H753" s="376">
        <v>0</v>
      </c>
      <c r="I753" s="376">
        <v>1</v>
      </c>
    </row>
    <row r="754" spans="1:9" x14ac:dyDescent="0.35">
      <c r="A754" s="376" t="s">
        <v>1603</v>
      </c>
      <c r="B754" s="376" t="s">
        <v>1609</v>
      </c>
      <c r="C754" s="376" t="s">
        <v>1054</v>
      </c>
      <c r="D754" s="376">
        <v>2020</v>
      </c>
      <c r="E754" s="376">
        <v>2025</v>
      </c>
      <c r="F754" s="376">
        <v>1</v>
      </c>
      <c r="G754" s="376">
        <v>7111.1111111111113</v>
      </c>
      <c r="H754" s="376">
        <v>0</v>
      </c>
      <c r="I754" s="376">
        <v>1</v>
      </c>
    </row>
    <row r="755" spans="1:9" x14ac:dyDescent="0.35">
      <c r="A755" s="376" t="s">
        <v>1603</v>
      </c>
      <c r="B755" s="376" t="s">
        <v>1609</v>
      </c>
      <c r="C755" s="376" t="s">
        <v>1054</v>
      </c>
      <c r="D755" s="376">
        <v>2020</v>
      </c>
      <c r="E755" s="376">
        <v>2026</v>
      </c>
      <c r="F755" s="376">
        <v>1</v>
      </c>
      <c r="G755" s="376">
        <v>7111.1111111111113</v>
      </c>
      <c r="H755" s="376">
        <v>0</v>
      </c>
      <c r="I755" s="376">
        <v>1</v>
      </c>
    </row>
    <row r="756" spans="1:9" x14ac:dyDescent="0.35">
      <c r="A756" s="376" t="s">
        <v>1603</v>
      </c>
      <c r="B756" s="376" t="s">
        <v>1609</v>
      </c>
      <c r="C756" s="376" t="s">
        <v>1054</v>
      </c>
      <c r="D756" s="376">
        <v>2020</v>
      </c>
      <c r="E756" s="376">
        <v>2027</v>
      </c>
      <c r="F756" s="376">
        <v>1</v>
      </c>
      <c r="G756" s="376">
        <v>7111.1111111111113</v>
      </c>
      <c r="H756" s="376">
        <v>0</v>
      </c>
      <c r="I756" s="376">
        <v>1</v>
      </c>
    </row>
    <row r="757" spans="1:9" x14ac:dyDescent="0.35">
      <c r="A757" s="376" t="s">
        <v>1603</v>
      </c>
      <c r="B757" s="376" t="s">
        <v>1609</v>
      </c>
      <c r="C757" s="376" t="s">
        <v>1054</v>
      </c>
      <c r="D757" s="376">
        <v>2020</v>
      </c>
      <c r="E757" s="376">
        <v>2028</v>
      </c>
      <c r="F757" s="376">
        <v>1</v>
      </c>
      <c r="G757" s="376">
        <v>7111.1111111111113</v>
      </c>
      <c r="H757" s="376">
        <v>0</v>
      </c>
      <c r="I757" s="376">
        <v>1</v>
      </c>
    </row>
    <row r="758" spans="1:9" x14ac:dyDescent="0.35">
      <c r="A758" s="376" t="s">
        <v>1603</v>
      </c>
      <c r="B758" s="376" t="s">
        <v>1609</v>
      </c>
      <c r="C758" s="376" t="s">
        <v>1054</v>
      </c>
      <c r="D758" s="376">
        <v>2020</v>
      </c>
      <c r="E758" s="376">
        <v>2029</v>
      </c>
      <c r="F758" s="376">
        <v>1</v>
      </c>
      <c r="G758" s="376">
        <v>7111.1111111111113</v>
      </c>
      <c r="H758" s="376">
        <v>0</v>
      </c>
      <c r="I758" s="376">
        <v>1</v>
      </c>
    </row>
    <row r="759" spans="1:9" x14ac:dyDescent="0.35">
      <c r="A759" s="376" t="s">
        <v>1603</v>
      </c>
      <c r="B759" s="376" t="s">
        <v>1609</v>
      </c>
      <c r="C759" s="376" t="s">
        <v>1054</v>
      </c>
      <c r="D759" s="376">
        <v>2020</v>
      </c>
      <c r="E759" s="376">
        <v>2030</v>
      </c>
      <c r="F759" s="376">
        <v>1</v>
      </c>
      <c r="G759" s="376">
        <v>7111.1111111111113</v>
      </c>
      <c r="H759" s="376">
        <v>0</v>
      </c>
      <c r="I759" s="376">
        <v>1</v>
      </c>
    </row>
    <row r="760" spans="1:9" x14ac:dyDescent="0.35">
      <c r="A760" s="376" t="s">
        <v>1603</v>
      </c>
      <c r="B760" s="376" t="s">
        <v>1609</v>
      </c>
      <c r="C760" s="376" t="s">
        <v>1054</v>
      </c>
      <c r="D760" s="376">
        <v>2020</v>
      </c>
      <c r="E760" s="376">
        <v>2031</v>
      </c>
      <c r="F760" s="376">
        <v>1</v>
      </c>
      <c r="G760" s="376">
        <v>7111.1111111111113</v>
      </c>
      <c r="H760" s="376">
        <v>0</v>
      </c>
      <c r="I760" s="376">
        <v>1</v>
      </c>
    </row>
    <row r="761" spans="1:9" x14ac:dyDescent="0.35">
      <c r="A761" s="376" t="s">
        <v>1605</v>
      </c>
      <c r="B761" s="376" t="s">
        <v>1609</v>
      </c>
      <c r="C761" s="376" t="s">
        <v>1054</v>
      </c>
      <c r="D761" s="376">
        <v>2020</v>
      </c>
      <c r="E761" s="376">
        <v>2021</v>
      </c>
      <c r="F761" s="376">
        <v>0.23884589662749595</v>
      </c>
      <c r="G761" s="376">
        <v>13398.066756076199</v>
      </c>
      <c r="H761" s="376">
        <v>0</v>
      </c>
      <c r="I761" s="376">
        <v>1</v>
      </c>
    </row>
    <row r="762" spans="1:9" x14ac:dyDescent="0.35">
      <c r="A762" s="376" t="s">
        <v>1605</v>
      </c>
      <c r="B762" s="376" t="s">
        <v>1609</v>
      </c>
      <c r="C762" s="376" t="s">
        <v>1054</v>
      </c>
      <c r="D762" s="376">
        <v>2020</v>
      </c>
      <c r="E762" s="376">
        <v>2022</v>
      </c>
      <c r="F762" s="376">
        <v>0.23884589662749595</v>
      </c>
      <c r="G762" s="376">
        <v>13398.066756076199</v>
      </c>
      <c r="H762" s="376">
        <v>0</v>
      </c>
      <c r="I762" s="376">
        <v>1</v>
      </c>
    </row>
    <row r="763" spans="1:9" x14ac:dyDescent="0.35">
      <c r="A763" s="376" t="s">
        <v>1605</v>
      </c>
      <c r="B763" s="376" t="s">
        <v>1609</v>
      </c>
      <c r="C763" s="376" t="s">
        <v>1054</v>
      </c>
      <c r="D763" s="376">
        <v>2020</v>
      </c>
      <c r="E763" s="376">
        <v>2023</v>
      </c>
      <c r="F763" s="376">
        <v>0.23884589662749595</v>
      </c>
      <c r="G763" s="376">
        <v>13398.066756076199</v>
      </c>
      <c r="H763" s="376">
        <v>0</v>
      </c>
      <c r="I763" s="376">
        <v>1</v>
      </c>
    </row>
    <row r="764" spans="1:9" x14ac:dyDescent="0.35">
      <c r="A764" s="376" t="s">
        <v>1605</v>
      </c>
      <c r="B764" s="376" t="s">
        <v>1609</v>
      </c>
      <c r="C764" s="376" t="s">
        <v>1054</v>
      </c>
      <c r="D764" s="376">
        <v>2020</v>
      </c>
      <c r="E764" s="376">
        <v>2024</v>
      </c>
      <c r="F764" s="376">
        <v>0.23884589662749595</v>
      </c>
      <c r="G764" s="376">
        <v>13398.066756076199</v>
      </c>
      <c r="H764" s="376">
        <v>0</v>
      </c>
      <c r="I764" s="376">
        <v>1</v>
      </c>
    </row>
    <row r="765" spans="1:9" x14ac:dyDescent="0.35">
      <c r="A765" s="376" t="s">
        <v>1605</v>
      </c>
      <c r="B765" s="376" t="s">
        <v>1609</v>
      </c>
      <c r="C765" s="376" t="s">
        <v>1054</v>
      </c>
      <c r="D765" s="376">
        <v>2020</v>
      </c>
      <c r="E765" s="376">
        <v>2025</v>
      </c>
      <c r="F765" s="376">
        <v>0.23884589662749595</v>
      </c>
      <c r="G765" s="376">
        <v>13398.066756076199</v>
      </c>
      <c r="H765" s="376">
        <v>0</v>
      </c>
      <c r="I765" s="376">
        <v>1</v>
      </c>
    </row>
    <row r="766" spans="1:9" x14ac:dyDescent="0.35">
      <c r="A766" s="376" t="s">
        <v>1605</v>
      </c>
      <c r="B766" s="376" t="s">
        <v>1609</v>
      </c>
      <c r="C766" s="376" t="s">
        <v>1054</v>
      </c>
      <c r="D766" s="376">
        <v>2020</v>
      </c>
      <c r="E766" s="376">
        <v>2026</v>
      </c>
      <c r="F766" s="376">
        <v>0.23884589662749595</v>
      </c>
      <c r="G766" s="376">
        <v>13398.066756076199</v>
      </c>
      <c r="H766" s="376">
        <v>0</v>
      </c>
      <c r="I766" s="376">
        <v>1</v>
      </c>
    </row>
    <row r="767" spans="1:9" x14ac:dyDescent="0.35">
      <c r="A767" s="376" t="s">
        <v>1605</v>
      </c>
      <c r="B767" s="376" t="s">
        <v>1609</v>
      </c>
      <c r="C767" s="376" t="s">
        <v>1054</v>
      </c>
      <c r="D767" s="376">
        <v>2020</v>
      </c>
      <c r="E767" s="376">
        <v>2027</v>
      </c>
      <c r="F767" s="376">
        <v>0.23884589662749595</v>
      </c>
      <c r="G767" s="376">
        <v>13398.066756076199</v>
      </c>
      <c r="H767" s="376">
        <v>0</v>
      </c>
      <c r="I767" s="376">
        <v>1</v>
      </c>
    </row>
    <row r="768" spans="1:9" x14ac:dyDescent="0.35">
      <c r="A768" s="376" t="s">
        <v>1605</v>
      </c>
      <c r="B768" s="376" t="s">
        <v>1609</v>
      </c>
      <c r="C768" s="376" t="s">
        <v>1054</v>
      </c>
      <c r="D768" s="376">
        <v>2020</v>
      </c>
      <c r="E768" s="376">
        <v>2028</v>
      </c>
      <c r="F768" s="376">
        <v>0.23884589662749595</v>
      </c>
      <c r="G768" s="376">
        <v>13398.066756076199</v>
      </c>
      <c r="H768" s="376">
        <v>0</v>
      </c>
      <c r="I768" s="376">
        <v>1</v>
      </c>
    </row>
    <row r="769" spans="1:9" x14ac:dyDescent="0.35">
      <c r="A769" s="376" t="s">
        <v>1605</v>
      </c>
      <c r="B769" s="376" t="s">
        <v>1609</v>
      </c>
      <c r="C769" s="376" t="s">
        <v>1054</v>
      </c>
      <c r="D769" s="376">
        <v>2020</v>
      </c>
      <c r="E769" s="376">
        <v>2029</v>
      </c>
      <c r="F769" s="376">
        <v>0.23884589662749595</v>
      </c>
      <c r="G769" s="376">
        <v>13398.066756076199</v>
      </c>
      <c r="H769" s="376">
        <v>0</v>
      </c>
      <c r="I769" s="376">
        <v>1</v>
      </c>
    </row>
    <row r="770" spans="1:9" x14ac:dyDescent="0.35">
      <c r="A770" s="376" t="s">
        <v>1605</v>
      </c>
      <c r="B770" s="376" t="s">
        <v>1609</v>
      </c>
      <c r="C770" s="376" t="s">
        <v>1054</v>
      </c>
      <c r="D770" s="376">
        <v>2020</v>
      </c>
      <c r="E770" s="376">
        <v>2030</v>
      </c>
      <c r="F770" s="376">
        <v>0.23884589662749595</v>
      </c>
      <c r="G770" s="376">
        <v>13398.066756076199</v>
      </c>
      <c r="H770" s="376">
        <v>0</v>
      </c>
      <c r="I770" s="376">
        <v>1</v>
      </c>
    </row>
    <row r="771" spans="1:9" x14ac:dyDescent="0.35">
      <c r="A771" s="376" t="s">
        <v>1605</v>
      </c>
      <c r="B771" s="376" t="s">
        <v>1609</v>
      </c>
      <c r="C771" s="376" t="s">
        <v>1054</v>
      </c>
      <c r="D771" s="376">
        <v>2020</v>
      </c>
      <c r="E771" s="376">
        <v>2031</v>
      </c>
      <c r="F771" s="376">
        <v>0.23884589662749595</v>
      </c>
      <c r="G771" s="376">
        <v>13398.066756076199</v>
      </c>
      <c r="H771" s="376">
        <v>0</v>
      </c>
      <c r="I771" s="376">
        <v>1</v>
      </c>
    </row>
    <row r="772" spans="1:9" x14ac:dyDescent="0.35">
      <c r="A772" s="376" t="s">
        <v>1636</v>
      </c>
      <c r="B772" s="376" t="s">
        <v>1609</v>
      </c>
      <c r="C772" s="376" t="s">
        <v>1054</v>
      </c>
      <c r="D772" s="376">
        <v>2020</v>
      </c>
      <c r="E772" s="376">
        <v>2021</v>
      </c>
      <c r="F772" s="376">
        <v>1</v>
      </c>
      <c r="G772" s="376">
        <v>12207.727097566041</v>
      </c>
      <c r="H772" s="376">
        <v>0</v>
      </c>
      <c r="I772" s="376">
        <v>1</v>
      </c>
    </row>
    <row r="773" spans="1:9" x14ac:dyDescent="0.35">
      <c r="A773" s="376" t="s">
        <v>1636</v>
      </c>
      <c r="B773" s="376" t="s">
        <v>1609</v>
      </c>
      <c r="C773" s="376" t="s">
        <v>1054</v>
      </c>
      <c r="D773" s="376">
        <v>2020</v>
      </c>
      <c r="E773" s="376">
        <v>2022</v>
      </c>
      <c r="F773" s="376">
        <v>1</v>
      </c>
      <c r="G773" s="376">
        <v>11719.418013663399</v>
      </c>
      <c r="H773" s="376">
        <v>0</v>
      </c>
      <c r="I773" s="376">
        <v>1</v>
      </c>
    </row>
    <row r="774" spans="1:9" x14ac:dyDescent="0.35">
      <c r="A774" s="376" t="s">
        <v>1636</v>
      </c>
      <c r="B774" s="376" t="s">
        <v>1609</v>
      </c>
      <c r="C774" s="376" t="s">
        <v>1054</v>
      </c>
      <c r="D774" s="376">
        <v>2020</v>
      </c>
      <c r="E774" s="376">
        <v>2023</v>
      </c>
      <c r="F774" s="376">
        <v>1</v>
      </c>
      <c r="G774" s="376">
        <v>11250.641293116862</v>
      </c>
      <c r="H774" s="376">
        <v>0</v>
      </c>
      <c r="I774" s="376">
        <v>1</v>
      </c>
    </row>
    <row r="775" spans="1:9" x14ac:dyDescent="0.35">
      <c r="A775" s="376" t="s">
        <v>1636</v>
      </c>
      <c r="B775" s="376" t="s">
        <v>1609</v>
      </c>
      <c r="C775" s="376" t="s">
        <v>1054</v>
      </c>
      <c r="D775" s="376">
        <v>2020</v>
      </c>
      <c r="E775" s="376">
        <v>2024</v>
      </c>
      <c r="F775" s="376">
        <v>1</v>
      </c>
      <c r="G775" s="376">
        <v>10800.615641392187</v>
      </c>
      <c r="H775" s="376">
        <v>0</v>
      </c>
      <c r="I775" s="376">
        <v>1</v>
      </c>
    </row>
    <row r="776" spans="1:9" x14ac:dyDescent="0.35">
      <c r="A776" s="376" t="s">
        <v>1636</v>
      </c>
      <c r="B776" s="376" t="s">
        <v>1609</v>
      </c>
      <c r="C776" s="376" t="s">
        <v>1054</v>
      </c>
      <c r="D776" s="376">
        <v>2020</v>
      </c>
      <c r="E776" s="376">
        <v>2025</v>
      </c>
      <c r="F776" s="376">
        <v>1</v>
      </c>
      <c r="G776" s="376">
        <v>10368.5910157365</v>
      </c>
      <c r="H776" s="376">
        <v>0</v>
      </c>
      <c r="I776" s="376">
        <v>1</v>
      </c>
    </row>
    <row r="777" spans="1:9" x14ac:dyDescent="0.35">
      <c r="A777" s="376" t="s">
        <v>1636</v>
      </c>
      <c r="B777" s="376" t="s">
        <v>1609</v>
      </c>
      <c r="C777" s="376" t="s">
        <v>1054</v>
      </c>
      <c r="D777" s="376">
        <v>2020</v>
      </c>
      <c r="E777" s="376">
        <v>2026</v>
      </c>
      <c r="F777" s="376">
        <v>1</v>
      </c>
      <c r="G777" s="376">
        <v>9953.8473751070396</v>
      </c>
      <c r="H777" s="376">
        <v>0</v>
      </c>
      <c r="I777" s="376">
        <v>1</v>
      </c>
    </row>
    <row r="778" spans="1:9" x14ac:dyDescent="0.35">
      <c r="A778" s="376" t="s">
        <v>1636</v>
      </c>
      <c r="B778" s="376" t="s">
        <v>1609</v>
      </c>
      <c r="C778" s="376" t="s">
        <v>1054</v>
      </c>
      <c r="D778" s="376">
        <v>2020</v>
      </c>
      <c r="E778" s="376">
        <v>2027</v>
      </c>
      <c r="F778" s="376">
        <v>1</v>
      </c>
      <c r="G778" s="376">
        <v>9555.6934801027583</v>
      </c>
      <c r="H778" s="376">
        <v>0</v>
      </c>
      <c r="I778" s="376">
        <v>1</v>
      </c>
    </row>
    <row r="779" spans="1:9" x14ac:dyDescent="0.35">
      <c r="A779" s="376" t="s">
        <v>1636</v>
      </c>
      <c r="B779" s="376" t="s">
        <v>1609</v>
      </c>
      <c r="C779" s="376" t="s">
        <v>1054</v>
      </c>
      <c r="D779" s="376">
        <v>2020</v>
      </c>
      <c r="E779" s="376">
        <v>2028</v>
      </c>
      <c r="F779" s="376">
        <v>1</v>
      </c>
      <c r="G779" s="376">
        <v>9173.4657408986477</v>
      </c>
      <c r="H779" s="376">
        <v>0</v>
      </c>
      <c r="I779" s="376">
        <v>1</v>
      </c>
    </row>
    <row r="780" spans="1:9" x14ac:dyDescent="0.35">
      <c r="A780" s="376" t="s">
        <v>1636</v>
      </c>
      <c r="B780" s="376" t="s">
        <v>1609</v>
      </c>
      <c r="C780" s="376" t="s">
        <v>1054</v>
      </c>
      <c r="D780" s="376">
        <v>2020</v>
      </c>
      <c r="E780" s="376">
        <v>2029</v>
      </c>
      <c r="F780" s="376">
        <v>1</v>
      </c>
      <c r="G780" s="376">
        <v>8806.5271112627015</v>
      </c>
      <c r="H780" s="376">
        <v>0</v>
      </c>
      <c r="I780" s="376">
        <v>1</v>
      </c>
    </row>
    <row r="781" spans="1:9" x14ac:dyDescent="0.35">
      <c r="A781" s="376" t="s">
        <v>1636</v>
      </c>
      <c r="B781" s="376" t="s">
        <v>1609</v>
      </c>
      <c r="C781" s="376" t="s">
        <v>1054</v>
      </c>
      <c r="D781" s="376">
        <v>2020</v>
      </c>
      <c r="E781" s="376">
        <v>2030</v>
      </c>
      <c r="F781" s="376">
        <v>1</v>
      </c>
      <c r="G781" s="376">
        <v>8454.2660268121926</v>
      </c>
      <c r="H781" s="376">
        <v>0</v>
      </c>
      <c r="I781" s="376">
        <v>1</v>
      </c>
    </row>
    <row r="782" spans="1:9" x14ac:dyDescent="0.35">
      <c r="A782" s="376" t="s">
        <v>1636</v>
      </c>
      <c r="B782" s="376" t="s">
        <v>1609</v>
      </c>
      <c r="C782" s="376" t="s">
        <v>1054</v>
      </c>
      <c r="D782" s="376">
        <v>2020</v>
      </c>
      <c r="E782" s="376">
        <v>2031</v>
      </c>
      <c r="F782" s="376">
        <v>1</v>
      </c>
      <c r="G782" s="376">
        <v>8116.0953857397044</v>
      </c>
      <c r="H782" s="376">
        <v>0</v>
      </c>
      <c r="I782" s="376">
        <v>1</v>
      </c>
    </row>
    <row r="783" spans="1:9" x14ac:dyDescent="0.35">
      <c r="A783" s="376" t="s">
        <v>1612</v>
      </c>
      <c r="B783" s="376" t="s">
        <v>1609</v>
      </c>
      <c r="C783" s="376" t="s">
        <v>1046</v>
      </c>
      <c r="D783" s="376">
        <v>2021</v>
      </c>
      <c r="E783" s="376">
        <v>2021</v>
      </c>
      <c r="F783" s="376">
        <v>0.37384575124303709</v>
      </c>
      <c r="G783" s="376">
        <v>9928.6887826901675</v>
      </c>
      <c r="H783" s="376">
        <v>0.25416153763803245</v>
      </c>
      <c r="I783" s="376">
        <v>0.85</v>
      </c>
    </row>
    <row r="784" spans="1:9" x14ac:dyDescent="0.35">
      <c r="A784" s="376" t="s">
        <v>1612</v>
      </c>
      <c r="B784" s="376" t="s">
        <v>1609</v>
      </c>
      <c r="C784" s="376" t="s">
        <v>644</v>
      </c>
      <c r="D784" s="376">
        <v>2021</v>
      </c>
      <c r="E784" s="376">
        <v>2021</v>
      </c>
      <c r="F784" s="376">
        <v>0.37384575124303709</v>
      </c>
      <c r="G784" s="376">
        <v>9928.6887826901675</v>
      </c>
      <c r="H784" s="376">
        <v>0.25416153763803245</v>
      </c>
      <c r="I784" s="376">
        <v>0.85</v>
      </c>
    </row>
    <row r="785" spans="1:9" x14ac:dyDescent="0.35">
      <c r="A785" s="376" t="s">
        <v>1612</v>
      </c>
      <c r="B785" s="376" t="s">
        <v>1609</v>
      </c>
      <c r="C785" s="376" t="s">
        <v>628</v>
      </c>
      <c r="D785" s="376">
        <v>2021</v>
      </c>
      <c r="E785" s="376">
        <v>2021</v>
      </c>
      <c r="F785" s="376">
        <v>0.37384575124303709</v>
      </c>
      <c r="G785" s="376">
        <v>9928.6887826901675</v>
      </c>
      <c r="H785" s="376">
        <v>0.25416153763803245</v>
      </c>
      <c r="I785" s="376">
        <v>0.85</v>
      </c>
    </row>
    <row r="786" spans="1:9" x14ac:dyDescent="0.35">
      <c r="A786" s="376" t="s">
        <v>1612</v>
      </c>
      <c r="B786" s="376" t="s">
        <v>1609</v>
      </c>
      <c r="C786" s="376" t="s">
        <v>1051</v>
      </c>
      <c r="D786" s="376">
        <v>2021</v>
      </c>
      <c r="E786" s="376">
        <v>2021</v>
      </c>
      <c r="F786" s="376">
        <v>0.37384575124303709</v>
      </c>
      <c r="G786" s="376">
        <v>9928.6887826901675</v>
      </c>
      <c r="H786" s="376">
        <v>0.25416153763803245</v>
      </c>
      <c r="I786" s="376">
        <v>0.85</v>
      </c>
    </row>
    <row r="787" spans="1:9" x14ac:dyDescent="0.35">
      <c r="A787" s="376" t="s">
        <v>1612</v>
      </c>
      <c r="B787" s="376" t="s">
        <v>1609</v>
      </c>
      <c r="C787" s="376" t="s">
        <v>1054</v>
      </c>
      <c r="D787" s="376">
        <v>2021</v>
      </c>
      <c r="E787" s="376">
        <v>2021</v>
      </c>
      <c r="F787" s="376">
        <v>0.37384575124303709</v>
      </c>
      <c r="G787" s="376">
        <v>9928.6887826901675</v>
      </c>
      <c r="H787" s="376">
        <v>0.25416153763803245</v>
      </c>
      <c r="I787" s="376">
        <v>0.85</v>
      </c>
    </row>
    <row r="788" spans="1:9" x14ac:dyDescent="0.35">
      <c r="A788" s="376" t="s">
        <v>1612</v>
      </c>
      <c r="B788" s="376" t="s">
        <v>1609</v>
      </c>
      <c r="C788" s="376" t="s">
        <v>1046</v>
      </c>
      <c r="D788" s="376">
        <v>2021</v>
      </c>
      <c r="E788" s="376">
        <v>2022</v>
      </c>
      <c r="F788" s="376">
        <v>0.37384575124303709</v>
      </c>
      <c r="G788" s="376">
        <v>9928.6887826901675</v>
      </c>
      <c r="H788" s="376">
        <v>0.25416153763803245</v>
      </c>
      <c r="I788" s="376">
        <v>0.85</v>
      </c>
    </row>
    <row r="789" spans="1:9" x14ac:dyDescent="0.35">
      <c r="A789" s="376" t="s">
        <v>1612</v>
      </c>
      <c r="B789" s="376" t="s">
        <v>1609</v>
      </c>
      <c r="C789" s="376" t="s">
        <v>644</v>
      </c>
      <c r="D789" s="376">
        <v>2021</v>
      </c>
      <c r="E789" s="376">
        <v>2022</v>
      </c>
      <c r="F789" s="376">
        <v>0.37384575124303709</v>
      </c>
      <c r="G789" s="376">
        <v>9928.6887826901675</v>
      </c>
      <c r="H789" s="376">
        <v>0.25416153763803245</v>
      </c>
      <c r="I789" s="376">
        <v>0.85</v>
      </c>
    </row>
    <row r="790" spans="1:9" x14ac:dyDescent="0.35">
      <c r="A790" s="376" t="s">
        <v>1612</v>
      </c>
      <c r="B790" s="376" t="s">
        <v>1609</v>
      </c>
      <c r="C790" s="376" t="s">
        <v>628</v>
      </c>
      <c r="D790" s="376">
        <v>2021</v>
      </c>
      <c r="E790" s="376">
        <v>2022</v>
      </c>
      <c r="F790" s="376">
        <v>0.37384575124303709</v>
      </c>
      <c r="G790" s="376">
        <v>9928.6887826901675</v>
      </c>
      <c r="H790" s="376">
        <v>0.25416153763803245</v>
      </c>
      <c r="I790" s="376">
        <v>0.85</v>
      </c>
    </row>
    <row r="791" spans="1:9" x14ac:dyDescent="0.35">
      <c r="A791" s="376" t="s">
        <v>1612</v>
      </c>
      <c r="B791" s="376" t="s">
        <v>1609</v>
      </c>
      <c r="C791" s="376" t="s">
        <v>1051</v>
      </c>
      <c r="D791" s="376">
        <v>2021</v>
      </c>
      <c r="E791" s="376">
        <v>2022</v>
      </c>
      <c r="F791" s="376">
        <v>0.37384575124303709</v>
      </c>
      <c r="G791" s="376">
        <v>9928.6887826901675</v>
      </c>
      <c r="H791" s="376">
        <v>0.25416153763803245</v>
      </c>
      <c r="I791" s="376">
        <v>0.85</v>
      </c>
    </row>
    <row r="792" spans="1:9" x14ac:dyDescent="0.35">
      <c r="A792" s="376" t="s">
        <v>1612</v>
      </c>
      <c r="B792" s="376" t="s">
        <v>1609</v>
      </c>
      <c r="C792" s="376" t="s">
        <v>1054</v>
      </c>
      <c r="D792" s="376">
        <v>2021</v>
      </c>
      <c r="E792" s="376">
        <v>2022</v>
      </c>
      <c r="F792" s="376">
        <v>0.37384575124303709</v>
      </c>
      <c r="G792" s="376">
        <v>9928.6887826901675</v>
      </c>
      <c r="H792" s="376">
        <v>0.25416153763803245</v>
      </c>
      <c r="I792" s="376">
        <v>0.85</v>
      </c>
    </row>
    <row r="793" spans="1:9" x14ac:dyDescent="0.35">
      <c r="A793" s="376" t="s">
        <v>1612</v>
      </c>
      <c r="B793" s="376" t="s">
        <v>1609</v>
      </c>
      <c r="C793" s="376" t="s">
        <v>1046</v>
      </c>
      <c r="D793" s="376">
        <v>2021</v>
      </c>
      <c r="E793" s="376">
        <v>2023</v>
      </c>
      <c r="F793" s="376">
        <v>0.37384575124303709</v>
      </c>
      <c r="G793" s="376">
        <v>9928.6887826901675</v>
      </c>
      <c r="H793" s="376">
        <v>0.25416153763803245</v>
      </c>
      <c r="I793" s="376">
        <v>0.85</v>
      </c>
    </row>
    <row r="794" spans="1:9" x14ac:dyDescent="0.35">
      <c r="A794" s="376" t="s">
        <v>1612</v>
      </c>
      <c r="B794" s="376" t="s">
        <v>1609</v>
      </c>
      <c r="C794" s="376" t="s">
        <v>644</v>
      </c>
      <c r="D794" s="376">
        <v>2021</v>
      </c>
      <c r="E794" s="376">
        <v>2023</v>
      </c>
      <c r="F794" s="376">
        <v>0.37384575124303709</v>
      </c>
      <c r="G794" s="376">
        <v>9928.6887826901675</v>
      </c>
      <c r="H794" s="376">
        <v>0.25416153763803245</v>
      </c>
      <c r="I794" s="376">
        <v>0.85</v>
      </c>
    </row>
    <row r="795" spans="1:9" x14ac:dyDescent="0.35">
      <c r="A795" s="376" t="s">
        <v>1612</v>
      </c>
      <c r="B795" s="376" t="s">
        <v>1609</v>
      </c>
      <c r="C795" s="376" t="s">
        <v>628</v>
      </c>
      <c r="D795" s="376">
        <v>2021</v>
      </c>
      <c r="E795" s="376">
        <v>2023</v>
      </c>
      <c r="F795" s="376">
        <v>0.37384575124303709</v>
      </c>
      <c r="G795" s="376">
        <v>9928.6887826901675</v>
      </c>
      <c r="H795" s="376">
        <v>0.25416153763803245</v>
      </c>
      <c r="I795" s="376">
        <v>0.85</v>
      </c>
    </row>
    <row r="796" spans="1:9" x14ac:dyDescent="0.35">
      <c r="A796" s="376" t="s">
        <v>1612</v>
      </c>
      <c r="B796" s="376" t="s">
        <v>1609</v>
      </c>
      <c r="C796" s="376" t="s">
        <v>1051</v>
      </c>
      <c r="D796" s="376">
        <v>2021</v>
      </c>
      <c r="E796" s="376">
        <v>2023</v>
      </c>
      <c r="F796" s="376">
        <v>0.37384575124303709</v>
      </c>
      <c r="G796" s="376">
        <v>9928.6887826901675</v>
      </c>
      <c r="H796" s="376">
        <v>0.25416153763803245</v>
      </c>
      <c r="I796" s="376">
        <v>0.85</v>
      </c>
    </row>
    <row r="797" spans="1:9" x14ac:dyDescent="0.35">
      <c r="A797" s="376" t="s">
        <v>1612</v>
      </c>
      <c r="B797" s="376" t="s">
        <v>1609</v>
      </c>
      <c r="C797" s="376" t="s">
        <v>1054</v>
      </c>
      <c r="D797" s="376">
        <v>2021</v>
      </c>
      <c r="E797" s="376">
        <v>2023</v>
      </c>
      <c r="F797" s="376">
        <v>0.37384575124303709</v>
      </c>
      <c r="G797" s="376">
        <v>9928.6887826901675</v>
      </c>
      <c r="H797" s="376">
        <v>0.25416153763803245</v>
      </c>
      <c r="I797" s="376">
        <v>0.85</v>
      </c>
    </row>
    <row r="798" spans="1:9" x14ac:dyDescent="0.35">
      <c r="A798" s="376" t="s">
        <v>1612</v>
      </c>
      <c r="B798" s="376" t="s">
        <v>1609</v>
      </c>
      <c r="C798" s="376" t="s">
        <v>1046</v>
      </c>
      <c r="D798" s="376">
        <v>2021</v>
      </c>
      <c r="E798" s="376">
        <v>2024</v>
      </c>
      <c r="F798" s="376">
        <v>0.37384575124303709</v>
      </c>
      <c r="G798" s="376">
        <v>9928.6887826901675</v>
      </c>
      <c r="H798" s="376">
        <v>0.25416153763803245</v>
      </c>
      <c r="I798" s="376">
        <v>0.85</v>
      </c>
    </row>
    <row r="799" spans="1:9" x14ac:dyDescent="0.35">
      <c r="A799" s="376" t="s">
        <v>1612</v>
      </c>
      <c r="B799" s="376" t="s">
        <v>1609</v>
      </c>
      <c r="C799" s="376" t="s">
        <v>644</v>
      </c>
      <c r="D799" s="376">
        <v>2021</v>
      </c>
      <c r="E799" s="376">
        <v>2024</v>
      </c>
      <c r="F799" s="376">
        <v>0.37384575124303709</v>
      </c>
      <c r="G799" s="376">
        <v>9928.6887826901675</v>
      </c>
      <c r="H799" s="376">
        <v>0.25416153763803245</v>
      </c>
      <c r="I799" s="376">
        <v>0.85</v>
      </c>
    </row>
    <row r="800" spans="1:9" x14ac:dyDescent="0.35">
      <c r="A800" s="376" t="s">
        <v>1612</v>
      </c>
      <c r="B800" s="376" t="s">
        <v>1609</v>
      </c>
      <c r="C800" s="376" t="s">
        <v>628</v>
      </c>
      <c r="D800" s="376">
        <v>2021</v>
      </c>
      <c r="E800" s="376">
        <v>2024</v>
      </c>
      <c r="F800" s="376">
        <v>0.37384575124303709</v>
      </c>
      <c r="G800" s="376">
        <v>9928.6887826901675</v>
      </c>
      <c r="H800" s="376">
        <v>0.25416153763803245</v>
      </c>
      <c r="I800" s="376">
        <v>0.85</v>
      </c>
    </row>
    <row r="801" spans="1:9" x14ac:dyDescent="0.35">
      <c r="A801" s="376" t="s">
        <v>1612</v>
      </c>
      <c r="B801" s="376" t="s">
        <v>1609</v>
      </c>
      <c r="C801" s="376" t="s">
        <v>1051</v>
      </c>
      <c r="D801" s="376">
        <v>2021</v>
      </c>
      <c r="E801" s="376">
        <v>2024</v>
      </c>
      <c r="F801" s="376">
        <v>0.37384575124303709</v>
      </c>
      <c r="G801" s="376">
        <v>9928.6887826901675</v>
      </c>
      <c r="H801" s="376">
        <v>0.25416153763803245</v>
      </c>
      <c r="I801" s="376">
        <v>0.85</v>
      </c>
    </row>
    <row r="802" spans="1:9" x14ac:dyDescent="0.35">
      <c r="A802" s="376" t="s">
        <v>1612</v>
      </c>
      <c r="B802" s="376" t="s">
        <v>1609</v>
      </c>
      <c r="C802" s="376" t="s">
        <v>1054</v>
      </c>
      <c r="D802" s="376">
        <v>2021</v>
      </c>
      <c r="E802" s="376">
        <v>2024</v>
      </c>
      <c r="F802" s="376">
        <v>0.37384575124303709</v>
      </c>
      <c r="G802" s="376">
        <v>9928.6887826901675</v>
      </c>
      <c r="H802" s="376">
        <v>0.25416153763803245</v>
      </c>
      <c r="I802" s="376">
        <v>0.85</v>
      </c>
    </row>
    <row r="803" spans="1:9" x14ac:dyDescent="0.35">
      <c r="A803" s="376" t="s">
        <v>1612</v>
      </c>
      <c r="B803" s="376" t="s">
        <v>1609</v>
      </c>
      <c r="C803" s="376" t="s">
        <v>1046</v>
      </c>
      <c r="D803" s="376">
        <v>2021</v>
      </c>
      <c r="E803" s="376">
        <v>2025</v>
      </c>
      <c r="F803" s="376">
        <v>0.37384575124303709</v>
      </c>
      <c r="G803" s="376">
        <v>9928.6887826901675</v>
      </c>
      <c r="H803" s="376">
        <v>0.25416153763803245</v>
      </c>
      <c r="I803" s="376">
        <v>0.85</v>
      </c>
    </row>
    <row r="804" spans="1:9" x14ac:dyDescent="0.35">
      <c r="A804" s="376" t="s">
        <v>1612</v>
      </c>
      <c r="B804" s="376" t="s">
        <v>1609</v>
      </c>
      <c r="C804" s="376" t="s">
        <v>644</v>
      </c>
      <c r="D804" s="376">
        <v>2021</v>
      </c>
      <c r="E804" s="376">
        <v>2025</v>
      </c>
      <c r="F804" s="376">
        <v>0.37384575124303709</v>
      </c>
      <c r="G804" s="376">
        <v>9928.6887826901675</v>
      </c>
      <c r="H804" s="376">
        <v>0.25416153763803245</v>
      </c>
      <c r="I804" s="376">
        <v>0.85</v>
      </c>
    </row>
    <row r="805" spans="1:9" x14ac:dyDescent="0.35">
      <c r="A805" s="376" t="s">
        <v>1612</v>
      </c>
      <c r="B805" s="376" t="s">
        <v>1609</v>
      </c>
      <c r="C805" s="376" t="s">
        <v>628</v>
      </c>
      <c r="D805" s="376">
        <v>2021</v>
      </c>
      <c r="E805" s="376">
        <v>2025</v>
      </c>
      <c r="F805" s="376">
        <v>0.37384575124303709</v>
      </c>
      <c r="G805" s="376">
        <v>9928.6887826901675</v>
      </c>
      <c r="H805" s="376">
        <v>0.25416153763803245</v>
      </c>
      <c r="I805" s="376">
        <v>0.85</v>
      </c>
    </row>
    <row r="806" spans="1:9" x14ac:dyDescent="0.35">
      <c r="A806" s="376" t="s">
        <v>1612</v>
      </c>
      <c r="B806" s="376" t="s">
        <v>1609</v>
      </c>
      <c r="C806" s="376" t="s">
        <v>1051</v>
      </c>
      <c r="D806" s="376">
        <v>2021</v>
      </c>
      <c r="E806" s="376">
        <v>2025</v>
      </c>
      <c r="F806" s="376">
        <v>0.37384575124303709</v>
      </c>
      <c r="G806" s="376">
        <v>9928.6887826901675</v>
      </c>
      <c r="H806" s="376">
        <v>0.25416153763803245</v>
      </c>
      <c r="I806" s="376">
        <v>0.85</v>
      </c>
    </row>
    <row r="807" spans="1:9" x14ac:dyDescent="0.35">
      <c r="A807" s="376" t="s">
        <v>1612</v>
      </c>
      <c r="B807" s="376" t="s">
        <v>1609</v>
      </c>
      <c r="C807" s="376" t="s">
        <v>1054</v>
      </c>
      <c r="D807" s="376">
        <v>2021</v>
      </c>
      <c r="E807" s="376">
        <v>2025</v>
      </c>
      <c r="F807" s="376">
        <v>0.37384575124303709</v>
      </c>
      <c r="G807" s="376">
        <v>9928.6887826901675</v>
      </c>
      <c r="H807" s="376">
        <v>0.25416153763803245</v>
      </c>
      <c r="I807" s="376">
        <v>0.85</v>
      </c>
    </row>
    <row r="808" spans="1:9" x14ac:dyDescent="0.35">
      <c r="A808" s="376" t="s">
        <v>1612</v>
      </c>
      <c r="B808" s="376" t="s">
        <v>1609</v>
      </c>
      <c r="C808" s="376" t="s">
        <v>1046</v>
      </c>
      <c r="D808" s="376">
        <v>2021</v>
      </c>
      <c r="E808" s="376">
        <v>2026</v>
      </c>
      <c r="F808" s="376">
        <v>0.37384575124303709</v>
      </c>
      <c r="G808" s="376">
        <v>9928.6887826901675</v>
      </c>
      <c r="H808" s="376">
        <v>0.25416153763803245</v>
      </c>
      <c r="I808" s="376">
        <v>0.85</v>
      </c>
    </row>
    <row r="809" spans="1:9" x14ac:dyDescent="0.35">
      <c r="A809" s="376" t="s">
        <v>1612</v>
      </c>
      <c r="B809" s="376" t="s">
        <v>1609</v>
      </c>
      <c r="C809" s="376" t="s">
        <v>644</v>
      </c>
      <c r="D809" s="376">
        <v>2021</v>
      </c>
      <c r="E809" s="376">
        <v>2026</v>
      </c>
      <c r="F809" s="376">
        <v>0.37384575124303709</v>
      </c>
      <c r="G809" s="376">
        <v>9928.6887826901675</v>
      </c>
      <c r="H809" s="376">
        <v>0.25416153763803245</v>
      </c>
      <c r="I809" s="376">
        <v>0.85</v>
      </c>
    </row>
    <row r="810" spans="1:9" x14ac:dyDescent="0.35">
      <c r="A810" s="376" t="s">
        <v>1612</v>
      </c>
      <c r="B810" s="376" t="s">
        <v>1609</v>
      </c>
      <c r="C810" s="376" t="s">
        <v>628</v>
      </c>
      <c r="D810" s="376">
        <v>2021</v>
      </c>
      <c r="E810" s="376">
        <v>2026</v>
      </c>
      <c r="F810" s="376">
        <v>0.37384575124303709</v>
      </c>
      <c r="G810" s="376">
        <v>9928.6887826901675</v>
      </c>
      <c r="H810" s="376">
        <v>0.25416153763803245</v>
      </c>
      <c r="I810" s="376">
        <v>0.85</v>
      </c>
    </row>
    <row r="811" spans="1:9" x14ac:dyDescent="0.35">
      <c r="A811" s="376" t="s">
        <v>1612</v>
      </c>
      <c r="B811" s="376" t="s">
        <v>1609</v>
      </c>
      <c r="C811" s="376" t="s">
        <v>1051</v>
      </c>
      <c r="D811" s="376">
        <v>2021</v>
      </c>
      <c r="E811" s="376">
        <v>2026</v>
      </c>
      <c r="F811" s="376">
        <v>0.37384575124303709</v>
      </c>
      <c r="G811" s="376">
        <v>9928.6887826901675</v>
      </c>
      <c r="H811" s="376">
        <v>0.25416153763803245</v>
      </c>
      <c r="I811" s="376">
        <v>0.85</v>
      </c>
    </row>
    <row r="812" spans="1:9" x14ac:dyDescent="0.35">
      <c r="A812" s="376" t="s">
        <v>1612</v>
      </c>
      <c r="B812" s="376" t="s">
        <v>1609</v>
      </c>
      <c r="C812" s="376" t="s">
        <v>1054</v>
      </c>
      <c r="D812" s="376">
        <v>2021</v>
      </c>
      <c r="E812" s="376">
        <v>2026</v>
      </c>
      <c r="F812" s="376">
        <v>0.37384575124303709</v>
      </c>
      <c r="G812" s="376">
        <v>9928.6887826901675</v>
      </c>
      <c r="H812" s="376">
        <v>0.25416153763803245</v>
      </c>
      <c r="I812" s="376">
        <v>0.85</v>
      </c>
    </row>
    <row r="813" spans="1:9" x14ac:dyDescent="0.35">
      <c r="A813" s="376" t="s">
        <v>1612</v>
      </c>
      <c r="B813" s="376" t="s">
        <v>1609</v>
      </c>
      <c r="C813" s="376" t="s">
        <v>1046</v>
      </c>
      <c r="D813" s="376">
        <v>2021</v>
      </c>
      <c r="E813" s="376">
        <v>2027</v>
      </c>
      <c r="F813" s="376">
        <v>0.37384575124303709</v>
      </c>
      <c r="G813" s="376">
        <v>9928.6887826901675</v>
      </c>
      <c r="H813" s="376">
        <v>0.25416153763803245</v>
      </c>
      <c r="I813" s="376">
        <v>0.85</v>
      </c>
    </row>
    <row r="814" spans="1:9" x14ac:dyDescent="0.35">
      <c r="A814" s="376" t="s">
        <v>1612</v>
      </c>
      <c r="B814" s="376" t="s">
        <v>1609</v>
      </c>
      <c r="C814" s="376" t="s">
        <v>644</v>
      </c>
      <c r="D814" s="376">
        <v>2021</v>
      </c>
      <c r="E814" s="376">
        <v>2027</v>
      </c>
      <c r="F814" s="376">
        <v>0.37384575124303709</v>
      </c>
      <c r="G814" s="376">
        <v>9928.6887826901675</v>
      </c>
      <c r="H814" s="376">
        <v>0.25416153763803245</v>
      </c>
      <c r="I814" s="376">
        <v>0.85</v>
      </c>
    </row>
    <row r="815" spans="1:9" x14ac:dyDescent="0.35">
      <c r="A815" s="376" t="s">
        <v>1612</v>
      </c>
      <c r="B815" s="376" t="s">
        <v>1609</v>
      </c>
      <c r="C815" s="376" t="s">
        <v>628</v>
      </c>
      <c r="D815" s="376">
        <v>2021</v>
      </c>
      <c r="E815" s="376">
        <v>2027</v>
      </c>
      <c r="F815" s="376">
        <v>0.37384575124303709</v>
      </c>
      <c r="G815" s="376">
        <v>9928.6887826901675</v>
      </c>
      <c r="H815" s="376">
        <v>0.25416153763803245</v>
      </c>
      <c r="I815" s="376">
        <v>0.85</v>
      </c>
    </row>
    <row r="816" spans="1:9" x14ac:dyDescent="0.35">
      <c r="A816" s="376" t="s">
        <v>1612</v>
      </c>
      <c r="B816" s="376" t="s">
        <v>1609</v>
      </c>
      <c r="C816" s="376" t="s">
        <v>1051</v>
      </c>
      <c r="D816" s="376">
        <v>2021</v>
      </c>
      <c r="E816" s="376">
        <v>2027</v>
      </c>
      <c r="F816" s="376">
        <v>0.37384575124303709</v>
      </c>
      <c r="G816" s="376">
        <v>9928.6887826901675</v>
      </c>
      <c r="H816" s="376">
        <v>0.25416153763803245</v>
      </c>
      <c r="I816" s="376">
        <v>0.85</v>
      </c>
    </row>
    <row r="817" spans="1:9" x14ac:dyDescent="0.35">
      <c r="A817" s="376" t="s">
        <v>1612</v>
      </c>
      <c r="B817" s="376" t="s">
        <v>1609</v>
      </c>
      <c r="C817" s="376" t="s">
        <v>1054</v>
      </c>
      <c r="D817" s="376">
        <v>2021</v>
      </c>
      <c r="E817" s="376">
        <v>2027</v>
      </c>
      <c r="F817" s="376">
        <v>0.37384575124303709</v>
      </c>
      <c r="G817" s="376">
        <v>9928.6887826901675</v>
      </c>
      <c r="H817" s="376">
        <v>0.25416153763803245</v>
      </c>
      <c r="I817" s="376">
        <v>0.85</v>
      </c>
    </row>
    <row r="818" spans="1:9" x14ac:dyDescent="0.35">
      <c r="A818" s="376" t="s">
        <v>1612</v>
      </c>
      <c r="B818" s="376" t="s">
        <v>1609</v>
      </c>
      <c r="C818" s="376" t="s">
        <v>1046</v>
      </c>
      <c r="D818" s="376">
        <v>2021</v>
      </c>
      <c r="E818" s="376">
        <v>2028</v>
      </c>
      <c r="F818" s="376">
        <v>0.37384575124303709</v>
      </c>
      <c r="G818" s="376">
        <v>9928.6887826901675</v>
      </c>
      <c r="H818" s="376">
        <v>0.25416153763803245</v>
      </c>
      <c r="I818" s="376">
        <v>0.85</v>
      </c>
    </row>
    <row r="819" spans="1:9" x14ac:dyDescent="0.35">
      <c r="A819" s="376" t="s">
        <v>1612</v>
      </c>
      <c r="B819" s="376" t="s">
        <v>1609</v>
      </c>
      <c r="C819" s="376" t="s">
        <v>644</v>
      </c>
      <c r="D819" s="376">
        <v>2021</v>
      </c>
      <c r="E819" s="376">
        <v>2028</v>
      </c>
      <c r="F819" s="376">
        <v>0.37384575124303709</v>
      </c>
      <c r="G819" s="376">
        <v>9928.6887826901675</v>
      </c>
      <c r="H819" s="376">
        <v>0.25416153763803245</v>
      </c>
      <c r="I819" s="376">
        <v>0.85</v>
      </c>
    </row>
    <row r="820" spans="1:9" x14ac:dyDescent="0.35">
      <c r="A820" s="376" t="s">
        <v>1612</v>
      </c>
      <c r="B820" s="376" t="s">
        <v>1609</v>
      </c>
      <c r="C820" s="376" t="s">
        <v>628</v>
      </c>
      <c r="D820" s="376">
        <v>2021</v>
      </c>
      <c r="E820" s="376">
        <v>2028</v>
      </c>
      <c r="F820" s="376">
        <v>0.37384575124303709</v>
      </c>
      <c r="G820" s="376">
        <v>9928.6887826901675</v>
      </c>
      <c r="H820" s="376">
        <v>0.25416153763803245</v>
      </c>
      <c r="I820" s="376">
        <v>0.85</v>
      </c>
    </row>
    <row r="821" spans="1:9" x14ac:dyDescent="0.35">
      <c r="A821" s="376" t="s">
        <v>1612</v>
      </c>
      <c r="B821" s="376" t="s">
        <v>1609</v>
      </c>
      <c r="C821" s="376" t="s">
        <v>1051</v>
      </c>
      <c r="D821" s="376">
        <v>2021</v>
      </c>
      <c r="E821" s="376">
        <v>2028</v>
      </c>
      <c r="F821" s="376">
        <v>0.37384575124303709</v>
      </c>
      <c r="G821" s="376">
        <v>9928.6887826901675</v>
      </c>
      <c r="H821" s="376">
        <v>0.25416153763803245</v>
      </c>
      <c r="I821" s="376">
        <v>0.85</v>
      </c>
    </row>
    <row r="822" spans="1:9" x14ac:dyDescent="0.35">
      <c r="A822" s="376" t="s">
        <v>1612</v>
      </c>
      <c r="B822" s="376" t="s">
        <v>1609</v>
      </c>
      <c r="C822" s="376" t="s">
        <v>1054</v>
      </c>
      <c r="D822" s="376">
        <v>2021</v>
      </c>
      <c r="E822" s="376">
        <v>2028</v>
      </c>
      <c r="F822" s="376">
        <v>0.37384575124303709</v>
      </c>
      <c r="G822" s="376">
        <v>9928.6887826901675</v>
      </c>
      <c r="H822" s="376">
        <v>0.25416153763803245</v>
      </c>
      <c r="I822" s="376">
        <v>0.85</v>
      </c>
    </row>
    <row r="823" spans="1:9" x14ac:dyDescent="0.35">
      <c r="A823" s="376" t="s">
        <v>1612</v>
      </c>
      <c r="B823" s="376" t="s">
        <v>1609</v>
      </c>
      <c r="C823" s="376" t="s">
        <v>1046</v>
      </c>
      <c r="D823" s="376">
        <v>2021</v>
      </c>
      <c r="E823" s="376">
        <v>2029</v>
      </c>
      <c r="F823" s="376">
        <v>0.37384575124303709</v>
      </c>
      <c r="G823" s="376">
        <v>9928.6887826901675</v>
      </c>
      <c r="H823" s="376">
        <v>0.25416153763803245</v>
      </c>
      <c r="I823" s="376">
        <v>0.85</v>
      </c>
    </row>
    <row r="824" spans="1:9" x14ac:dyDescent="0.35">
      <c r="A824" s="376" t="s">
        <v>1612</v>
      </c>
      <c r="B824" s="376" t="s">
        <v>1609</v>
      </c>
      <c r="C824" s="376" t="s">
        <v>644</v>
      </c>
      <c r="D824" s="376">
        <v>2021</v>
      </c>
      <c r="E824" s="376">
        <v>2029</v>
      </c>
      <c r="F824" s="376">
        <v>0.37384575124303709</v>
      </c>
      <c r="G824" s="376">
        <v>9928.6887826901675</v>
      </c>
      <c r="H824" s="376">
        <v>0.25416153763803245</v>
      </c>
      <c r="I824" s="376">
        <v>0.85</v>
      </c>
    </row>
    <row r="825" spans="1:9" x14ac:dyDescent="0.35">
      <c r="A825" s="376" t="s">
        <v>1612</v>
      </c>
      <c r="B825" s="376" t="s">
        <v>1609</v>
      </c>
      <c r="C825" s="376" t="s">
        <v>628</v>
      </c>
      <c r="D825" s="376">
        <v>2021</v>
      </c>
      <c r="E825" s="376">
        <v>2029</v>
      </c>
      <c r="F825" s="376">
        <v>0.37384575124303709</v>
      </c>
      <c r="G825" s="376">
        <v>9928.6887826901675</v>
      </c>
      <c r="H825" s="376">
        <v>0.25416153763803245</v>
      </c>
      <c r="I825" s="376">
        <v>0.85</v>
      </c>
    </row>
    <row r="826" spans="1:9" x14ac:dyDescent="0.35">
      <c r="A826" s="376" t="s">
        <v>1612</v>
      </c>
      <c r="B826" s="376" t="s">
        <v>1609</v>
      </c>
      <c r="C826" s="376" t="s">
        <v>1051</v>
      </c>
      <c r="D826" s="376">
        <v>2021</v>
      </c>
      <c r="E826" s="376">
        <v>2029</v>
      </c>
      <c r="F826" s="376">
        <v>0.37384575124303709</v>
      </c>
      <c r="G826" s="376">
        <v>9928.6887826901675</v>
      </c>
      <c r="H826" s="376">
        <v>0.25416153763803245</v>
      </c>
      <c r="I826" s="376">
        <v>0.85</v>
      </c>
    </row>
    <row r="827" spans="1:9" x14ac:dyDescent="0.35">
      <c r="A827" s="376" t="s">
        <v>1612</v>
      </c>
      <c r="B827" s="376" t="s">
        <v>1609</v>
      </c>
      <c r="C827" s="376" t="s">
        <v>1054</v>
      </c>
      <c r="D827" s="376">
        <v>2021</v>
      </c>
      <c r="E827" s="376">
        <v>2029</v>
      </c>
      <c r="F827" s="376">
        <v>0.37384575124303709</v>
      </c>
      <c r="G827" s="376">
        <v>9928.6887826901675</v>
      </c>
      <c r="H827" s="376">
        <v>0.25416153763803245</v>
      </c>
      <c r="I827" s="376">
        <v>0.85</v>
      </c>
    </row>
    <row r="828" spans="1:9" x14ac:dyDescent="0.35">
      <c r="A828" s="376" t="s">
        <v>1612</v>
      </c>
      <c r="B828" s="376" t="s">
        <v>1609</v>
      </c>
      <c r="C828" s="376" t="s">
        <v>1046</v>
      </c>
      <c r="D828" s="376">
        <v>2021</v>
      </c>
      <c r="E828" s="376">
        <v>2030</v>
      </c>
      <c r="F828" s="376">
        <v>0.37384575124303709</v>
      </c>
      <c r="G828" s="376">
        <v>9928.6887826901675</v>
      </c>
      <c r="H828" s="376">
        <v>0.25416153763803245</v>
      </c>
      <c r="I828" s="376">
        <v>0.85</v>
      </c>
    </row>
    <row r="829" spans="1:9" x14ac:dyDescent="0.35">
      <c r="A829" s="376" t="s">
        <v>1612</v>
      </c>
      <c r="B829" s="376" t="s">
        <v>1609</v>
      </c>
      <c r="C829" s="376" t="s">
        <v>644</v>
      </c>
      <c r="D829" s="376">
        <v>2021</v>
      </c>
      <c r="E829" s="376">
        <v>2030</v>
      </c>
      <c r="F829" s="376">
        <v>0.37384575124303709</v>
      </c>
      <c r="G829" s="376">
        <v>9928.6887826901675</v>
      </c>
      <c r="H829" s="376">
        <v>0.25416153763803245</v>
      </c>
      <c r="I829" s="376">
        <v>0.85</v>
      </c>
    </row>
    <row r="830" spans="1:9" x14ac:dyDescent="0.35">
      <c r="A830" s="376" t="s">
        <v>1612</v>
      </c>
      <c r="B830" s="376" t="s">
        <v>1609</v>
      </c>
      <c r="C830" s="376" t="s">
        <v>628</v>
      </c>
      <c r="D830" s="376">
        <v>2021</v>
      </c>
      <c r="E830" s="376">
        <v>2030</v>
      </c>
      <c r="F830" s="376">
        <v>0.37384575124303709</v>
      </c>
      <c r="G830" s="376">
        <v>9928.6887826901675</v>
      </c>
      <c r="H830" s="376">
        <v>0.25416153763803245</v>
      </c>
      <c r="I830" s="376">
        <v>0.85</v>
      </c>
    </row>
    <row r="831" spans="1:9" x14ac:dyDescent="0.35">
      <c r="A831" s="376" t="s">
        <v>1612</v>
      </c>
      <c r="B831" s="376" t="s">
        <v>1609</v>
      </c>
      <c r="C831" s="376" t="s">
        <v>1051</v>
      </c>
      <c r="D831" s="376">
        <v>2021</v>
      </c>
      <c r="E831" s="376">
        <v>2030</v>
      </c>
      <c r="F831" s="376">
        <v>0.37384575124303709</v>
      </c>
      <c r="G831" s="376">
        <v>9928.6887826901675</v>
      </c>
      <c r="H831" s="376">
        <v>0.25416153763803245</v>
      </c>
      <c r="I831" s="376">
        <v>0.85</v>
      </c>
    </row>
    <row r="832" spans="1:9" x14ac:dyDescent="0.35">
      <c r="A832" s="376" t="s">
        <v>1612</v>
      </c>
      <c r="B832" s="376" t="s">
        <v>1609</v>
      </c>
      <c r="C832" s="376" t="s">
        <v>1054</v>
      </c>
      <c r="D832" s="376">
        <v>2021</v>
      </c>
      <c r="E832" s="376">
        <v>2030</v>
      </c>
      <c r="F832" s="376">
        <v>0.37384575124303709</v>
      </c>
      <c r="G832" s="376">
        <v>9928.6887826901675</v>
      </c>
      <c r="H832" s="376">
        <v>0.25416153763803245</v>
      </c>
      <c r="I832" s="376">
        <v>0.85</v>
      </c>
    </row>
    <row r="833" spans="1:9" x14ac:dyDescent="0.35">
      <c r="A833" s="376" t="s">
        <v>1612</v>
      </c>
      <c r="B833" s="376" t="s">
        <v>1609</v>
      </c>
      <c r="C833" s="376" t="s">
        <v>1046</v>
      </c>
      <c r="D833" s="376">
        <v>2021</v>
      </c>
      <c r="E833" s="376">
        <v>2031</v>
      </c>
      <c r="F833" s="376">
        <v>0.37384575124303709</v>
      </c>
      <c r="G833" s="376">
        <v>9928.6887826901675</v>
      </c>
      <c r="H833" s="376">
        <v>0.25416153763803245</v>
      </c>
      <c r="I833" s="376">
        <v>0.85</v>
      </c>
    </row>
    <row r="834" spans="1:9" x14ac:dyDescent="0.35">
      <c r="A834" s="376" t="s">
        <v>1612</v>
      </c>
      <c r="B834" s="376" t="s">
        <v>1609</v>
      </c>
      <c r="C834" s="376" t="s">
        <v>644</v>
      </c>
      <c r="D834" s="376">
        <v>2021</v>
      </c>
      <c r="E834" s="376">
        <v>2031</v>
      </c>
      <c r="F834" s="376">
        <v>0.37384575124303709</v>
      </c>
      <c r="G834" s="376">
        <v>9928.6887826901675</v>
      </c>
      <c r="H834" s="376">
        <v>0.25416153763803245</v>
      </c>
      <c r="I834" s="376">
        <v>0.85</v>
      </c>
    </row>
    <row r="835" spans="1:9" x14ac:dyDescent="0.35">
      <c r="A835" s="376" t="s">
        <v>1612</v>
      </c>
      <c r="B835" s="376" t="s">
        <v>1609</v>
      </c>
      <c r="C835" s="376" t="s">
        <v>628</v>
      </c>
      <c r="D835" s="376">
        <v>2021</v>
      </c>
      <c r="E835" s="376">
        <v>2031</v>
      </c>
      <c r="F835" s="376">
        <v>0.37384575124303709</v>
      </c>
      <c r="G835" s="376">
        <v>9928.6887826901675</v>
      </c>
      <c r="H835" s="376">
        <v>0.25416153763803245</v>
      </c>
      <c r="I835" s="376">
        <v>0.85</v>
      </c>
    </row>
    <row r="836" spans="1:9" x14ac:dyDescent="0.35">
      <c r="A836" s="376" t="s">
        <v>1612</v>
      </c>
      <c r="B836" s="376" t="s">
        <v>1609</v>
      </c>
      <c r="C836" s="376" t="s">
        <v>1051</v>
      </c>
      <c r="D836" s="376">
        <v>2021</v>
      </c>
      <c r="E836" s="376">
        <v>2031</v>
      </c>
      <c r="F836" s="376">
        <v>0.37384575124303709</v>
      </c>
      <c r="G836" s="376">
        <v>9928.6887826901675</v>
      </c>
      <c r="H836" s="376">
        <v>0.25416153763803245</v>
      </c>
      <c r="I836" s="376">
        <v>0.85</v>
      </c>
    </row>
    <row r="837" spans="1:9" x14ac:dyDescent="0.35">
      <c r="A837" s="376" t="s">
        <v>1612</v>
      </c>
      <c r="B837" s="376" t="s">
        <v>1609</v>
      </c>
      <c r="C837" s="376" t="s">
        <v>1054</v>
      </c>
      <c r="D837" s="376">
        <v>2021</v>
      </c>
      <c r="E837" s="376">
        <v>2031</v>
      </c>
      <c r="F837" s="376">
        <v>0.37384575124303709</v>
      </c>
      <c r="G837" s="376">
        <v>9928.6887826901675</v>
      </c>
      <c r="H837" s="376">
        <v>0.25416153763803245</v>
      </c>
      <c r="I837" s="376">
        <v>0.85</v>
      </c>
    </row>
    <row r="838" spans="1:9" x14ac:dyDescent="0.35">
      <c r="A838" s="376" t="s">
        <v>1613</v>
      </c>
      <c r="B838" s="376" t="s">
        <v>1609</v>
      </c>
      <c r="C838" s="376" t="s">
        <v>1046</v>
      </c>
      <c r="D838" s="376">
        <v>2021</v>
      </c>
      <c r="E838" s="376">
        <v>2021</v>
      </c>
      <c r="F838" s="376">
        <v>0.40444272241720852</v>
      </c>
      <c r="G838" s="376">
        <v>8848.5269568257354</v>
      </c>
      <c r="H838" s="376">
        <v>0.25299087477082649</v>
      </c>
      <c r="I838" s="376">
        <v>0.85</v>
      </c>
    </row>
    <row r="839" spans="1:9" x14ac:dyDescent="0.35">
      <c r="A839" s="376" t="s">
        <v>1613</v>
      </c>
      <c r="B839" s="376" t="s">
        <v>1609</v>
      </c>
      <c r="C839" s="376" t="s">
        <v>644</v>
      </c>
      <c r="D839" s="376">
        <v>2021</v>
      </c>
      <c r="E839" s="376">
        <v>2021</v>
      </c>
      <c r="F839" s="376">
        <v>0.40444272241720852</v>
      </c>
      <c r="G839" s="376">
        <v>8848.5269568257354</v>
      </c>
      <c r="H839" s="376">
        <v>0.25299087477082649</v>
      </c>
      <c r="I839" s="376">
        <v>0.85</v>
      </c>
    </row>
    <row r="840" spans="1:9" x14ac:dyDescent="0.35">
      <c r="A840" s="376" t="s">
        <v>1613</v>
      </c>
      <c r="B840" s="376" t="s">
        <v>1609</v>
      </c>
      <c r="C840" s="376" t="s">
        <v>628</v>
      </c>
      <c r="D840" s="376">
        <v>2021</v>
      </c>
      <c r="E840" s="376">
        <v>2021</v>
      </c>
      <c r="F840" s="376">
        <v>0.40444272241720852</v>
      </c>
      <c r="G840" s="376">
        <v>8848.5269568257354</v>
      </c>
      <c r="H840" s="376">
        <v>0.25299087477082649</v>
      </c>
      <c r="I840" s="376">
        <v>0.85</v>
      </c>
    </row>
    <row r="841" spans="1:9" x14ac:dyDescent="0.35">
      <c r="A841" s="376" t="s">
        <v>1613</v>
      </c>
      <c r="B841" s="376" t="s">
        <v>1609</v>
      </c>
      <c r="C841" s="376" t="s">
        <v>1051</v>
      </c>
      <c r="D841" s="376">
        <v>2021</v>
      </c>
      <c r="E841" s="376">
        <v>2021</v>
      </c>
      <c r="F841" s="376">
        <v>0.40444272241720852</v>
      </c>
      <c r="G841" s="376">
        <v>8848.5269568257354</v>
      </c>
      <c r="H841" s="376">
        <v>0.25299087477082649</v>
      </c>
      <c r="I841" s="376">
        <v>0.85</v>
      </c>
    </row>
    <row r="842" spans="1:9" x14ac:dyDescent="0.35">
      <c r="A842" s="376" t="s">
        <v>1613</v>
      </c>
      <c r="B842" s="376" t="s">
        <v>1609</v>
      </c>
      <c r="C842" s="376" t="s">
        <v>1054</v>
      </c>
      <c r="D842" s="376">
        <v>2021</v>
      </c>
      <c r="E842" s="376">
        <v>2021</v>
      </c>
      <c r="F842" s="376">
        <v>0.40444272241720852</v>
      </c>
      <c r="G842" s="376">
        <v>8848.5269568257354</v>
      </c>
      <c r="H842" s="376">
        <v>0.25299087477082649</v>
      </c>
      <c r="I842" s="376">
        <v>0.85</v>
      </c>
    </row>
    <row r="843" spans="1:9" x14ac:dyDescent="0.35">
      <c r="A843" s="376" t="s">
        <v>1613</v>
      </c>
      <c r="B843" s="376" t="s">
        <v>1609</v>
      </c>
      <c r="C843" s="376" t="s">
        <v>1046</v>
      </c>
      <c r="D843" s="376">
        <v>2021</v>
      </c>
      <c r="E843" s="376">
        <v>2022</v>
      </c>
      <c r="F843" s="376">
        <v>0.40444272241720852</v>
      </c>
      <c r="G843" s="376">
        <v>8848.5269568257354</v>
      </c>
      <c r="H843" s="376">
        <v>0.25299087477082649</v>
      </c>
      <c r="I843" s="376">
        <v>0.85</v>
      </c>
    </row>
    <row r="844" spans="1:9" x14ac:dyDescent="0.35">
      <c r="A844" s="376" t="s">
        <v>1613</v>
      </c>
      <c r="B844" s="376" t="s">
        <v>1609</v>
      </c>
      <c r="C844" s="376" t="s">
        <v>644</v>
      </c>
      <c r="D844" s="376">
        <v>2021</v>
      </c>
      <c r="E844" s="376">
        <v>2022</v>
      </c>
      <c r="F844" s="376">
        <v>0.40444272241720852</v>
      </c>
      <c r="G844" s="376">
        <v>8848.5269568257354</v>
      </c>
      <c r="H844" s="376">
        <v>0.25299087477082649</v>
      </c>
      <c r="I844" s="376">
        <v>0.85</v>
      </c>
    </row>
    <row r="845" spans="1:9" x14ac:dyDescent="0.35">
      <c r="A845" s="376" t="s">
        <v>1613</v>
      </c>
      <c r="B845" s="376" t="s">
        <v>1609</v>
      </c>
      <c r="C845" s="376" t="s">
        <v>628</v>
      </c>
      <c r="D845" s="376">
        <v>2021</v>
      </c>
      <c r="E845" s="376">
        <v>2022</v>
      </c>
      <c r="F845" s="376">
        <v>0.40444272241720852</v>
      </c>
      <c r="G845" s="376">
        <v>8848.5269568257354</v>
      </c>
      <c r="H845" s="376">
        <v>0.25299087477082649</v>
      </c>
      <c r="I845" s="376">
        <v>0.85</v>
      </c>
    </row>
    <row r="846" spans="1:9" x14ac:dyDescent="0.35">
      <c r="A846" s="376" t="s">
        <v>1613</v>
      </c>
      <c r="B846" s="376" t="s">
        <v>1609</v>
      </c>
      <c r="C846" s="376" t="s">
        <v>1051</v>
      </c>
      <c r="D846" s="376">
        <v>2021</v>
      </c>
      <c r="E846" s="376">
        <v>2022</v>
      </c>
      <c r="F846" s="376">
        <v>0.40444272241720852</v>
      </c>
      <c r="G846" s="376">
        <v>8848.5269568257354</v>
      </c>
      <c r="H846" s="376">
        <v>0.25299087477082649</v>
      </c>
      <c r="I846" s="376">
        <v>0.85</v>
      </c>
    </row>
    <row r="847" spans="1:9" x14ac:dyDescent="0.35">
      <c r="A847" s="376" t="s">
        <v>1613</v>
      </c>
      <c r="B847" s="376" t="s">
        <v>1609</v>
      </c>
      <c r="C847" s="376" t="s">
        <v>1054</v>
      </c>
      <c r="D847" s="376">
        <v>2021</v>
      </c>
      <c r="E847" s="376">
        <v>2022</v>
      </c>
      <c r="F847" s="376">
        <v>0.40444272241720852</v>
      </c>
      <c r="G847" s="376">
        <v>8848.5269568257354</v>
      </c>
      <c r="H847" s="376">
        <v>0.25299087477082649</v>
      </c>
      <c r="I847" s="376">
        <v>0.85</v>
      </c>
    </row>
    <row r="848" spans="1:9" x14ac:dyDescent="0.35">
      <c r="A848" s="376" t="s">
        <v>1613</v>
      </c>
      <c r="B848" s="376" t="s">
        <v>1609</v>
      </c>
      <c r="C848" s="376" t="s">
        <v>1046</v>
      </c>
      <c r="D848" s="376">
        <v>2021</v>
      </c>
      <c r="E848" s="376">
        <v>2023</v>
      </c>
      <c r="F848" s="376">
        <v>0.40444272241720852</v>
      </c>
      <c r="G848" s="376">
        <v>8848.5269568257354</v>
      </c>
      <c r="H848" s="376">
        <v>0.25299087477082649</v>
      </c>
      <c r="I848" s="376">
        <v>0.85</v>
      </c>
    </row>
    <row r="849" spans="1:9" x14ac:dyDescent="0.35">
      <c r="A849" s="376" t="s">
        <v>1613</v>
      </c>
      <c r="B849" s="376" t="s">
        <v>1609</v>
      </c>
      <c r="C849" s="376" t="s">
        <v>644</v>
      </c>
      <c r="D849" s="376">
        <v>2021</v>
      </c>
      <c r="E849" s="376">
        <v>2023</v>
      </c>
      <c r="F849" s="376">
        <v>0.40444272241720852</v>
      </c>
      <c r="G849" s="376">
        <v>8848.5269568257354</v>
      </c>
      <c r="H849" s="376">
        <v>0.25299087477082649</v>
      </c>
      <c r="I849" s="376">
        <v>0.85</v>
      </c>
    </row>
    <row r="850" spans="1:9" x14ac:dyDescent="0.35">
      <c r="A850" s="376" t="s">
        <v>1613</v>
      </c>
      <c r="B850" s="376" t="s">
        <v>1609</v>
      </c>
      <c r="C850" s="376" t="s">
        <v>628</v>
      </c>
      <c r="D850" s="376">
        <v>2021</v>
      </c>
      <c r="E850" s="376">
        <v>2023</v>
      </c>
      <c r="F850" s="376">
        <v>0.40444272241720852</v>
      </c>
      <c r="G850" s="376">
        <v>8848.5269568257354</v>
      </c>
      <c r="H850" s="376">
        <v>0.25299087477082649</v>
      </c>
      <c r="I850" s="376">
        <v>0.85</v>
      </c>
    </row>
    <row r="851" spans="1:9" x14ac:dyDescent="0.35">
      <c r="A851" s="376" t="s">
        <v>1613</v>
      </c>
      <c r="B851" s="376" t="s">
        <v>1609</v>
      </c>
      <c r="C851" s="376" t="s">
        <v>1051</v>
      </c>
      <c r="D851" s="376">
        <v>2021</v>
      </c>
      <c r="E851" s="376">
        <v>2023</v>
      </c>
      <c r="F851" s="376">
        <v>0.40444272241720852</v>
      </c>
      <c r="G851" s="376">
        <v>8848.5269568257354</v>
      </c>
      <c r="H851" s="376">
        <v>0.25299087477082649</v>
      </c>
      <c r="I851" s="376">
        <v>0.85</v>
      </c>
    </row>
    <row r="852" spans="1:9" x14ac:dyDescent="0.35">
      <c r="A852" s="376" t="s">
        <v>1613</v>
      </c>
      <c r="B852" s="376" t="s">
        <v>1609</v>
      </c>
      <c r="C852" s="376" t="s">
        <v>1054</v>
      </c>
      <c r="D852" s="376">
        <v>2021</v>
      </c>
      <c r="E852" s="376">
        <v>2023</v>
      </c>
      <c r="F852" s="376">
        <v>0.40444272241720852</v>
      </c>
      <c r="G852" s="376">
        <v>8848.5269568257354</v>
      </c>
      <c r="H852" s="376">
        <v>0.25299087477082649</v>
      </c>
      <c r="I852" s="376">
        <v>0.85</v>
      </c>
    </row>
    <row r="853" spans="1:9" x14ac:dyDescent="0.35">
      <c r="A853" s="376" t="s">
        <v>1613</v>
      </c>
      <c r="B853" s="376" t="s">
        <v>1609</v>
      </c>
      <c r="C853" s="376" t="s">
        <v>1046</v>
      </c>
      <c r="D853" s="376">
        <v>2021</v>
      </c>
      <c r="E853" s="376">
        <v>2024</v>
      </c>
      <c r="F853" s="376">
        <v>0.40444272241720852</v>
      </c>
      <c r="G853" s="376">
        <v>8848.5269568257354</v>
      </c>
      <c r="H853" s="376">
        <v>0.25299087477082649</v>
      </c>
      <c r="I853" s="376">
        <v>0.85</v>
      </c>
    </row>
    <row r="854" spans="1:9" x14ac:dyDescent="0.35">
      <c r="A854" s="376" t="s">
        <v>1613</v>
      </c>
      <c r="B854" s="376" t="s">
        <v>1609</v>
      </c>
      <c r="C854" s="376" t="s">
        <v>644</v>
      </c>
      <c r="D854" s="376">
        <v>2021</v>
      </c>
      <c r="E854" s="376">
        <v>2024</v>
      </c>
      <c r="F854" s="376">
        <v>0.40444272241720852</v>
      </c>
      <c r="G854" s="376">
        <v>8848.5269568257354</v>
      </c>
      <c r="H854" s="376">
        <v>0.25299087477082649</v>
      </c>
      <c r="I854" s="376">
        <v>0.85</v>
      </c>
    </row>
    <row r="855" spans="1:9" x14ac:dyDescent="0.35">
      <c r="A855" s="376" t="s">
        <v>1613</v>
      </c>
      <c r="B855" s="376" t="s">
        <v>1609</v>
      </c>
      <c r="C855" s="376" t="s">
        <v>628</v>
      </c>
      <c r="D855" s="376">
        <v>2021</v>
      </c>
      <c r="E855" s="376">
        <v>2024</v>
      </c>
      <c r="F855" s="376">
        <v>0.40444272241720852</v>
      </c>
      <c r="G855" s="376">
        <v>8848.5269568257354</v>
      </c>
      <c r="H855" s="376">
        <v>0.25299087477082649</v>
      </c>
      <c r="I855" s="376">
        <v>0.85</v>
      </c>
    </row>
    <row r="856" spans="1:9" x14ac:dyDescent="0.35">
      <c r="A856" s="376" t="s">
        <v>1613</v>
      </c>
      <c r="B856" s="376" t="s">
        <v>1609</v>
      </c>
      <c r="C856" s="376" t="s">
        <v>1051</v>
      </c>
      <c r="D856" s="376">
        <v>2021</v>
      </c>
      <c r="E856" s="376">
        <v>2024</v>
      </c>
      <c r="F856" s="376">
        <v>0.40444272241720852</v>
      </c>
      <c r="G856" s="376">
        <v>8848.5269568257354</v>
      </c>
      <c r="H856" s="376">
        <v>0.25299087477082649</v>
      </c>
      <c r="I856" s="376">
        <v>0.85</v>
      </c>
    </row>
    <row r="857" spans="1:9" x14ac:dyDescent="0.35">
      <c r="A857" s="376" t="s">
        <v>1613</v>
      </c>
      <c r="B857" s="376" t="s">
        <v>1609</v>
      </c>
      <c r="C857" s="376" t="s">
        <v>1054</v>
      </c>
      <c r="D857" s="376">
        <v>2021</v>
      </c>
      <c r="E857" s="376">
        <v>2024</v>
      </c>
      <c r="F857" s="376">
        <v>0.40444272241720852</v>
      </c>
      <c r="G857" s="376">
        <v>8848.5269568257354</v>
      </c>
      <c r="H857" s="376">
        <v>0.25299087477082649</v>
      </c>
      <c r="I857" s="376">
        <v>0.85</v>
      </c>
    </row>
    <row r="858" spans="1:9" x14ac:dyDescent="0.35">
      <c r="A858" s="376" t="s">
        <v>1613</v>
      </c>
      <c r="B858" s="376" t="s">
        <v>1609</v>
      </c>
      <c r="C858" s="376" t="s">
        <v>1046</v>
      </c>
      <c r="D858" s="376">
        <v>2021</v>
      </c>
      <c r="E858" s="376">
        <v>2025</v>
      </c>
      <c r="F858" s="376">
        <v>0.40444272241720852</v>
      </c>
      <c r="G858" s="376">
        <v>8848.5269568257354</v>
      </c>
      <c r="H858" s="376">
        <v>0.25299087477082649</v>
      </c>
      <c r="I858" s="376">
        <v>0.85</v>
      </c>
    </row>
    <row r="859" spans="1:9" x14ac:dyDescent="0.35">
      <c r="A859" s="376" t="s">
        <v>1613</v>
      </c>
      <c r="B859" s="376" t="s">
        <v>1609</v>
      </c>
      <c r="C859" s="376" t="s">
        <v>644</v>
      </c>
      <c r="D859" s="376">
        <v>2021</v>
      </c>
      <c r="E859" s="376">
        <v>2025</v>
      </c>
      <c r="F859" s="376">
        <v>0.40444272241720852</v>
      </c>
      <c r="G859" s="376">
        <v>8848.5269568257354</v>
      </c>
      <c r="H859" s="376">
        <v>0.25299087477082649</v>
      </c>
      <c r="I859" s="376">
        <v>0.85</v>
      </c>
    </row>
    <row r="860" spans="1:9" x14ac:dyDescent="0.35">
      <c r="A860" s="376" t="s">
        <v>1613</v>
      </c>
      <c r="B860" s="376" t="s">
        <v>1609</v>
      </c>
      <c r="C860" s="376" t="s">
        <v>628</v>
      </c>
      <c r="D860" s="376">
        <v>2021</v>
      </c>
      <c r="E860" s="376">
        <v>2025</v>
      </c>
      <c r="F860" s="376">
        <v>0.40444272241720852</v>
      </c>
      <c r="G860" s="376">
        <v>8848.5269568257354</v>
      </c>
      <c r="H860" s="376">
        <v>0.25299087477082649</v>
      </c>
      <c r="I860" s="376">
        <v>0.85</v>
      </c>
    </row>
    <row r="861" spans="1:9" x14ac:dyDescent="0.35">
      <c r="A861" s="376" t="s">
        <v>1613</v>
      </c>
      <c r="B861" s="376" t="s">
        <v>1609</v>
      </c>
      <c r="C861" s="376" t="s">
        <v>1051</v>
      </c>
      <c r="D861" s="376">
        <v>2021</v>
      </c>
      <c r="E861" s="376">
        <v>2025</v>
      </c>
      <c r="F861" s="376">
        <v>0.40444272241720852</v>
      </c>
      <c r="G861" s="376">
        <v>8848.5269568257354</v>
      </c>
      <c r="H861" s="376">
        <v>0.25299087477082649</v>
      </c>
      <c r="I861" s="376">
        <v>0.85</v>
      </c>
    </row>
    <row r="862" spans="1:9" x14ac:dyDescent="0.35">
      <c r="A862" s="376" t="s">
        <v>1613</v>
      </c>
      <c r="B862" s="376" t="s">
        <v>1609</v>
      </c>
      <c r="C862" s="376" t="s">
        <v>1054</v>
      </c>
      <c r="D862" s="376">
        <v>2021</v>
      </c>
      <c r="E862" s="376">
        <v>2025</v>
      </c>
      <c r="F862" s="376">
        <v>0.40444272241720852</v>
      </c>
      <c r="G862" s="376">
        <v>8848.5269568257354</v>
      </c>
      <c r="H862" s="376">
        <v>0.25299087477082649</v>
      </c>
      <c r="I862" s="376">
        <v>0.85</v>
      </c>
    </row>
    <row r="863" spans="1:9" x14ac:dyDescent="0.35">
      <c r="A863" s="376" t="s">
        <v>1613</v>
      </c>
      <c r="B863" s="376" t="s">
        <v>1609</v>
      </c>
      <c r="C863" s="376" t="s">
        <v>1046</v>
      </c>
      <c r="D863" s="376">
        <v>2021</v>
      </c>
      <c r="E863" s="376">
        <v>2026</v>
      </c>
      <c r="F863" s="376">
        <v>0.40444272241720852</v>
      </c>
      <c r="G863" s="376">
        <v>8848.5269568257354</v>
      </c>
      <c r="H863" s="376">
        <v>0.25299087477082649</v>
      </c>
      <c r="I863" s="376">
        <v>0.85</v>
      </c>
    </row>
    <row r="864" spans="1:9" x14ac:dyDescent="0.35">
      <c r="A864" s="376" t="s">
        <v>1613</v>
      </c>
      <c r="B864" s="376" t="s">
        <v>1609</v>
      </c>
      <c r="C864" s="376" t="s">
        <v>644</v>
      </c>
      <c r="D864" s="376">
        <v>2021</v>
      </c>
      <c r="E864" s="376">
        <v>2026</v>
      </c>
      <c r="F864" s="376">
        <v>0.40444272241720852</v>
      </c>
      <c r="G864" s="376">
        <v>8848.5269568257354</v>
      </c>
      <c r="H864" s="376">
        <v>0.25299087477082649</v>
      </c>
      <c r="I864" s="376">
        <v>0.85</v>
      </c>
    </row>
    <row r="865" spans="1:9" x14ac:dyDescent="0.35">
      <c r="A865" s="376" t="s">
        <v>1613</v>
      </c>
      <c r="B865" s="376" t="s">
        <v>1609</v>
      </c>
      <c r="C865" s="376" t="s">
        <v>628</v>
      </c>
      <c r="D865" s="376">
        <v>2021</v>
      </c>
      <c r="E865" s="376">
        <v>2026</v>
      </c>
      <c r="F865" s="376">
        <v>0.40444272241720852</v>
      </c>
      <c r="G865" s="376">
        <v>8848.5269568257354</v>
      </c>
      <c r="H865" s="376">
        <v>0.25299087477082649</v>
      </c>
      <c r="I865" s="376">
        <v>0.85</v>
      </c>
    </row>
    <row r="866" spans="1:9" x14ac:dyDescent="0.35">
      <c r="A866" s="376" t="s">
        <v>1613</v>
      </c>
      <c r="B866" s="376" t="s">
        <v>1609</v>
      </c>
      <c r="C866" s="376" t="s">
        <v>1051</v>
      </c>
      <c r="D866" s="376">
        <v>2021</v>
      </c>
      <c r="E866" s="376">
        <v>2026</v>
      </c>
      <c r="F866" s="376">
        <v>0.40444272241720852</v>
      </c>
      <c r="G866" s="376">
        <v>8848.5269568257354</v>
      </c>
      <c r="H866" s="376">
        <v>0.25299087477082649</v>
      </c>
      <c r="I866" s="376">
        <v>0.85</v>
      </c>
    </row>
    <row r="867" spans="1:9" x14ac:dyDescent="0.35">
      <c r="A867" s="376" t="s">
        <v>1613</v>
      </c>
      <c r="B867" s="376" t="s">
        <v>1609</v>
      </c>
      <c r="C867" s="376" t="s">
        <v>1054</v>
      </c>
      <c r="D867" s="376">
        <v>2021</v>
      </c>
      <c r="E867" s="376">
        <v>2026</v>
      </c>
      <c r="F867" s="376">
        <v>0.40444272241720852</v>
      </c>
      <c r="G867" s="376">
        <v>8848.5269568257354</v>
      </c>
      <c r="H867" s="376">
        <v>0.25299087477082649</v>
      </c>
      <c r="I867" s="376">
        <v>0.85</v>
      </c>
    </row>
    <row r="868" spans="1:9" x14ac:dyDescent="0.35">
      <c r="A868" s="376" t="s">
        <v>1613</v>
      </c>
      <c r="B868" s="376" t="s">
        <v>1609</v>
      </c>
      <c r="C868" s="376" t="s">
        <v>1046</v>
      </c>
      <c r="D868" s="376">
        <v>2021</v>
      </c>
      <c r="E868" s="376">
        <v>2027</v>
      </c>
      <c r="F868" s="376">
        <v>0.40444272241720852</v>
      </c>
      <c r="G868" s="376">
        <v>8848.5269568257354</v>
      </c>
      <c r="H868" s="376">
        <v>0.25299087477082649</v>
      </c>
      <c r="I868" s="376">
        <v>0.85</v>
      </c>
    </row>
    <row r="869" spans="1:9" x14ac:dyDescent="0.35">
      <c r="A869" s="376" t="s">
        <v>1613</v>
      </c>
      <c r="B869" s="376" t="s">
        <v>1609</v>
      </c>
      <c r="C869" s="376" t="s">
        <v>644</v>
      </c>
      <c r="D869" s="376">
        <v>2021</v>
      </c>
      <c r="E869" s="376">
        <v>2027</v>
      </c>
      <c r="F869" s="376">
        <v>0.40444272241720852</v>
      </c>
      <c r="G869" s="376">
        <v>8848.5269568257354</v>
      </c>
      <c r="H869" s="376">
        <v>0.25299087477082649</v>
      </c>
      <c r="I869" s="376">
        <v>0.85</v>
      </c>
    </row>
    <row r="870" spans="1:9" x14ac:dyDescent="0.35">
      <c r="A870" s="376" t="s">
        <v>1613</v>
      </c>
      <c r="B870" s="376" t="s">
        <v>1609</v>
      </c>
      <c r="C870" s="376" t="s">
        <v>628</v>
      </c>
      <c r="D870" s="376">
        <v>2021</v>
      </c>
      <c r="E870" s="376">
        <v>2027</v>
      </c>
      <c r="F870" s="376">
        <v>0.40444272241720852</v>
      </c>
      <c r="G870" s="376">
        <v>8848.5269568257354</v>
      </c>
      <c r="H870" s="376">
        <v>0.25299087477082649</v>
      </c>
      <c r="I870" s="376">
        <v>0.85</v>
      </c>
    </row>
    <row r="871" spans="1:9" x14ac:dyDescent="0.35">
      <c r="A871" s="376" t="s">
        <v>1613</v>
      </c>
      <c r="B871" s="376" t="s">
        <v>1609</v>
      </c>
      <c r="C871" s="376" t="s">
        <v>1051</v>
      </c>
      <c r="D871" s="376">
        <v>2021</v>
      </c>
      <c r="E871" s="376">
        <v>2027</v>
      </c>
      <c r="F871" s="376">
        <v>0.40444272241720852</v>
      </c>
      <c r="G871" s="376">
        <v>8848.5269568257354</v>
      </c>
      <c r="H871" s="376">
        <v>0.25299087477082649</v>
      </c>
      <c r="I871" s="376">
        <v>0.85</v>
      </c>
    </row>
    <row r="872" spans="1:9" x14ac:dyDescent="0.35">
      <c r="A872" s="376" t="s">
        <v>1613</v>
      </c>
      <c r="B872" s="376" t="s">
        <v>1609</v>
      </c>
      <c r="C872" s="376" t="s">
        <v>1054</v>
      </c>
      <c r="D872" s="376">
        <v>2021</v>
      </c>
      <c r="E872" s="376">
        <v>2027</v>
      </c>
      <c r="F872" s="376">
        <v>0.40444272241720852</v>
      </c>
      <c r="G872" s="376">
        <v>8848.5269568257354</v>
      </c>
      <c r="H872" s="376">
        <v>0.25299087477082649</v>
      </c>
      <c r="I872" s="376">
        <v>0.85</v>
      </c>
    </row>
    <row r="873" spans="1:9" x14ac:dyDescent="0.35">
      <c r="A873" s="376" t="s">
        <v>1613</v>
      </c>
      <c r="B873" s="376" t="s">
        <v>1609</v>
      </c>
      <c r="C873" s="376" t="s">
        <v>1046</v>
      </c>
      <c r="D873" s="376">
        <v>2021</v>
      </c>
      <c r="E873" s="376">
        <v>2028</v>
      </c>
      <c r="F873" s="376">
        <v>0.40444272241720852</v>
      </c>
      <c r="G873" s="376">
        <v>8848.5269568257354</v>
      </c>
      <c r="H873" s="376">
        <v>0.25299087477082649</v>
      </c>
      <c r="I873" s="376">
        <v>0.85</v>
      </c>
    </row>
    <row r="874" spans="1:9" x14ac:dyDescent="0.35">
      <c r="A874" s="376" t="s">
        <v>1613</v>
      </c>
      <c r="B874" s="376" t="s">
        <v>1609</v>
      </c>
      <c r="C874" s="376" t="s">
        <v>644</v>
      </c>
      <c r="D874" s="376">
        <v>2021</v>
      </c>
      <c r="E874" s="376">
        <v>2028</v>
      </c>
      <c r="F874" s="376">
        <v>0.40444272241720852</v>
      </c>
      <c r="G874" s="376">
        <v>8848.5269568257354</v>
      </c>
      <c r="H874" s="376">
        <v>0.25299087477082649</v>
      </c>
      <c r="I874" s="376">
        <v>0.85</v>
      </c>
    </row>
    <row r="875" spans="1:9" x14ac:dyDescent="0.35">
      <c r="A875" s="376" t="s">
        <v>1613</v>
      </c>
      <c r="B875" s="376" t="s">
        <v>1609</v>
      </c>
      <c r="C875" s="376" t="s">
        <v>628</v>
      </c>
      <c r="D875" s="376">
        <v>2021</v>
      </c>
      <c r="E875" s="376">
        <v>2028</v>
      </c>
      <c r="F875" s="376">
        <v>0.40444272241720852</v>
      </c>
      <c r="G875" s="376">
        <v>8848.5269568257354</v>
      </c>
      <c r="H875" s="376">
        <v>0.25299087477082649</v>
      </c>
      <c r="I875" s="376">
        <v>0.85</v>
      </c>
    </row>
    <row r="876" spans="1:9" x14ac:dyDescent="0.35">
      <c r="A876" s="376" t="s">
        <v>1613</v>
      </c>
      <c r="B876" s="376" t="s">
        <v>1609</v>
      </c>
      <c r="C876" s="376" t="s">
        <v>1051</v>
      </c>
      <c r="D876" s="376">
        <v>2021</v>
      </c>
      <c r="E876" s="376">
        <v>2028</v>
      </c>
      <c r="F876" s="376">
        <v>0.40444272241720852</v>
      </c>
      <c r="G876" s="376">
        <v>8848.5269568257354</v>
      </c>
      <c r="H876" s="376">
        <v>0.25299087477082649</v>
      </c>
      <c r="I876" s="376">
        <v>0.85</v>
      </c>
    </row>
    <row r="877" spans="1:9" x14ac:dyDescent="0.35">
      <c r="A877" s="376" t="s">
        <v>1613</v>
      </c>
      <c r="B877" s="376" t="s">
        <v>1609</v>
      </c>
      <c r="C877" s="376" t="s">
        <v>1054</v>
      </c>
      <c r="D877" s="376">
        <v>2021</v>
      </c>
      <c r="E877" s="376">
        <v>2028</v>
      </c>
      <c r="F877" s="376">
        <v>0.40444272241720852</v>
      </c>
      <c r="G877" s="376">
        <v>8848.5269568257354</v>
      </c>
      <c r="H877" s="376">
        <v>0.25299087477082649</v>
      </c>
      <c r="I877" s="376">
        <v>0.85</v>
      </c>
    </row>
    <row r="878" spans="1:9" x14ac:dyDescent="0.35">
      <c r="A878" s="376" t="s">
        <v>1613</v>
      </c>
      <c r="B878" s="376" t="s">
        <v>1609</v>
      </c>
      <c r="C878" s="376" t="s">
        <v>1046</v>
      </c>
      <c r="D878" s="376">
        <v>2021</v>
      </c>
      <c r="E878" s="376">
        <v>2029</v>
      </c>
      <c r="F878" s="376">
        <v>0.40444272241720852</v>
      </c>
      <c r="G878" s="376">
        <v>8848.5269568257354</v>
      </c>
      <c r="H878" s="376">
        <v>0.25299087477082649</v>
      </c>
      <c r="I878" s="376">
        <v>0.85</v>
      </c>
    </row>
    <row r="879" spans="1:9" x14ac:dyDescent="0.35">
      <c r="A879" s="376" t="s">
        <v>1613</v>
      </c>
      <c r="B879" s="376" t="s">
        <v>1609</v>
      </c>
      <c r="C879" s="376" t="s">
        <v>644</v>
      </c>
      <c r="D879" s="376">
        <v>2021</v>
      </c>
      <c r="E879" s="376">
        <v>2029</v>
      </c>
      <c r="F879" s="376">
        <v>0.40444272241720852</v>
      </c>
      <c r="G879" s="376">
        <v>8848.5269568257354</v>
      </c>
      <c r="H879" s="376">
        <v>0.25299087477082649</v>
      </c>
      <c r="I879" s="376">
        <v>0.85</v>
      </c>
    </row>
    <row r="880" spans="1:9" x14ac:dyDescent="0.35">
      <c r="A880" s="376" t="s">
        <v>1613</v>
      </c>
      <c r="B880" s="376" t="s">
        <v>1609</v>
      </c>
      <c r="C880" s="376" t="s">
        <v>628</v>
      </c>
      <c r="D880" s="376">
        <v>2021</v>
      </c>
      <c r="E880" s="376">
        <v>2029</v>
      </c>
      <c r="F880" s="376">
        <v>0.40444272241720852</v>
      </c>
      <c r="G880" s="376">
        <v>8848.5269568257354</v>
      </c>
      <c r="H880" s="376">
        <v>0.25299087477082649</v>
      </c>
      <c r="I880" s="376">
        <v>0.85</v>
      </c>
    </row>
    <row r="881" spans="1:9" x14ac:dyDescent="0.35">
      <c r="A881" s="376" t="s">
        <v>1613</v>
      </c>
      <c r="B881" s="376" t="s">
        <v>1609</v>
      </c>
      <c r="C881" s="376" t="s">
        <v>1051</v>
      </c>
      <c r="D881" s="376">
        <v>2021</v>
      </c>
      <c r="E881" s="376">
        <v>2029</v>
      </c>
      <c r="F881" s="376">
        <v>0.40444272241720852</v>
      </c>
      <c r="G881" s="376">
        <v>8848.5269568257354</v>
      </c>
      <c r="H881" s="376">
        <v>0.25299087477082649</v>
      </c>
      <c r="I881" s="376">
        <v>0.85</v>
      </c>
    </row>
    <row r="882" spans="1:9" x14ac:dyDescent="0.35">
      <c r="A882" s="376" t="s">
        <v>1613</v>
      </c>
      <c r="B882" s="376" t="s">
        <v>1609</v>
      </c>
      <c r="C882" s="376" t="s">
        <v>1054</v>
      </c>
      <c r="D882" s="376">
        <v>2021</v>
      </c>
      <c r="E882" s="376">
        <v>2029</v>
      </c>
      <c r="F882" s="376">
        <v>0.40444272241720852</v>
      </c>
      <c r="G882" s="376">
        <v>8848.5269568257354</v>
      </c>
      <c r="H882" s="376">
        <v>0.25299087477082649</v>
      </c>
      <c r="I882" s="376">
        <v>0.85</v>
      </c>
    </row>
    <row r="883" spans="1:9" x14ac:dyDescent="0.35">
      <c r="A883" s="376" t="s">
        <v>1613</v>
      </c>
      <c r="B883" s="376" t="s">
        <v>1609</v>
      </c>
      <c r="C883" s="376" t="s">
        <v>1046</v>
      </c>
      <c r="D883" s="376">
        <v>2021</v>
      </c>
      <c r="E883" s="376">
        <v>2030</v>
      </c>
      <c r="F883" s="376">
        <v>0.40444272241720852</v>
      </c>
      <c r="G883" s="376">
        <v>8848.5269568257354</v>
      </c>
      <c r="H883" s="376">
        <v>0.25299087477082649</v>
      </c>
      <c r="I883" s="376">
        <v>0.85</v>
      </c>
    </row>
    <row r="884" spans="1:9" x14ac:dyDescent="0.35">
      <c r="A884" s="376" t="s">
        <v>1613</v>
      </c>
      <c r="B884" s="376" t="s">
        <v>1609</v>
      </c>
      <c r="C884" s="376" t="s">
        <v>644</v>
      </c>
      <c r="D884" s="376">
        <v>2021</v>
      </c>
      <c r="E884" s="376">
        <v>2030</v>
      </c>
      <c r="F884" s="376">
        <v>0.40444272241720852</v>
      </c>
      <c r="G884" s="376">
        <v>8848.5269568257354</v>
      </c>
      <c r="H884" s="376">
        <v>0.25299087477082649</v>
      </c>
      <c r="I884" s="376">
        <v>0.85</v>
      </c>
    </row>
    <row r="885" spans="1:9" x14ac:dyDescent="0.35">
      <c r="A885" s="376" t="s">
        <v>1613</v>
      </c>
      <c r="B885" s="376" t="s">
        <v>1609</v>
      </c>
      <c r="C885" s="376" t="s">
        <v>628</v>
      </c>
      <c r="D885" s="376">
        <v>2021</v>
      </c>
      <c r="E885" s="376">
        <v>2030</v>
      </c>
      <c r="F885" s="376">
        <v>0.40444272241720852</v>
      </c>
      <c r="G885" s="376">
        <v>8848.5269568257354</v>
      </c>
      <c r="H885" s="376">
        <v>0.25299087477082649</v>
      </c>
      <c r="I885" s="376">
        <v>0.85</v>
      </c>
    </row>
    <row r="886" spans="1:9" x14ac:dyDescent="0.35">
      <c r="A886" s="376" t="s">
        <v>1613</v>
      </c>
      <c r="B886" s="376" t="s">
        <v>1609</v>
      </c>
      <c r="C886" s="376" t="s">
        <v>1051</v>
      </c>
      <c r="D886" s="376">
        <v>2021</v>
      </c>
      <c r="E886" s="376">
        <v>2030</v>
      </c>
      <c r="F886" s="376">
        <v>0.40444272241720852</v>
      </c>
      <c r="G886" s="376">
        <v>8848.5269568257354</v>
      </c>
      <c r="H886" s="376">
        <v>0.25299087477082649</v>
      </c>
      <c r="I886" s="376">
        <v>0.85</v>
      </c>
    </row>
    <row r="887" spans="1:9" x14ac:dyDescent="0.35">
      <c r="A887" s="376" t="s">
        <v>1613</v>
      </c>
      <c r="B887" s="376" t="s">
        <v>1609</v>
      </c>
      <c r="C887" s="376" t="s">
        <v>1054</v>
      </c>
      <c r="D887" s="376">
        <v>2021</v>
      </c>
      <c r="E887" s="376">
        <v>2030</v>
      </c>
      <c r="F887" s="376">
        <v>0.40444272241720852</v>
      </c>
      <c r="G887" s="376">
        <v>8848.5269568257354</v>
      </c>
      <c r="H887" s="376">
        <v>0.25299087477082649</v>
      </c>
      <c r="I887" s="376">
        <v>0.85</v>
      </c>
    </row>
    <row r="888" spans="1:9" x14ac:dyDescent="0.35">
      <c r="A888" s="376" t="s">
        <v>1613</v>
      </c>
      <c r="B888" s="376" t="s">
        <v>1609</v>
      </c>
      <c r="C888" s="376" t="s">
        <v>1046</v>
      </c>
      <c r="D888" s="376">
        <v>2021</v>
      </c>
      <c r="E888" s="376">
        <v>2031</v>
      </c>
      <c r="F888" s="376">
        <v>0.40444272241720852</v>
      </c>
      <c r="G888" s="376">
        <v>8848.5269568257354</v>
      </c>
      <c r="H888" s="376">
        <v>0.25299087477082649</v>
      </c>
      <c r="I888" s="376">
        <v>0.85</v>
      </c>
    </row>
    <row r="889" spans="1:9" x14ac:dyDescent="0.35">
      <c r="A889" s="376" t="s">
        <v>1613</v>
      </c>
      <c r="B889" s="376" t="s">
        <v>1609</v>
      </c>
      <c r="C889" s="376" t="s">
        <v>644</v>
      </c>
      <c r="D889" s="376">
        <v>2021</v>
      </c>
      <c r="E889" s="376">
        <v>2031</v>
      </c>
      <c r="F889" s="376">
        <v>0.40444272241720852</v>
      </c>
      <c r="G889" s="376">
        <v>8848.5269568257354</v>
      </c>
      <c r="H889" s="376">
        <v>0.25299087477082649</v>
      </c>
      <c r="I889" s="376">
        <v>0.85</v>
      </c>
    </row>
    <row r="890" spans="1:9" x14ac:dyDescent="0.35">
      <c r="A890" s="376" t="s">
        <v>1613</v>
      </c>
      <c r="B890" s="376" t="s">
        <v>1609</v>
      </c>
      <c r="C890" s="376" t="s">
        <v>628</v>
      </c>
      <c r="D890" s="376">
        <v>2021</v>
      </c>
      <c r="E890" s="376">
        <v>2031</v>
      </c>
      <c r="F890" s="376">
        <v>0.40444272241720852</v>
      </c>
      <c r="G890" s="376">
        <v>8848.5269568257354</v>
      </c>
      <c r="H890" s="376">
        <v>0.25299087477082649</v>
      </c>
      <c r="I890" s="376">
        <v>0.85</v>
      </c>
    </row>
    <row r="891" spans="1:9" x14ac:dyDescent="0.35">
      <c r="A891" s="376" t="s">
        <v>1613</v>
      </c>
      <c r="B891" s="376" t="s">
        <v>1609</v>
      </c>
      <c r="C891" s="376" t="s">
        <v>1051</v>
      </c>
      <c r="D891" s="376">
        <v>2021</v>
      </c>
      <c r="E891" s="376">
        <v>2031</v>
      </c>
      <c r="F891" s="376">
        <v>0.40444272241720852</v>
      </c>
      <c r="G891" s="376">
        <v>8848.5269568257354</v>
      </c>
      <c r="H891" s="376">
        <v>0.25299087477082649</v>
      </c>
      <c r="I891" s="376">
        <v>0.85</v>
      </c>
    </row>
    <row r="892" spans="1:9" x14ac:dyDescent="0.35">
      <c r="A892" s="376" t="s">
        <v>1613</v>
      </c>
      <c r="B892" s="376" t="s">
        <v>1609</v>
      </c>
      <c r="C892" s="376" t="s">
        <v>1054</v>
      </c>
      <c r="D892" s="376">
        <v>2021</v>
      </c>
      <c r="E892" s="376">
        <v>2031</v>
      </c>
      <c r="F892" s="376">
        <v>0.40444272241720852</v>
      </c>
      <c r="G892" s="376">
        <v>8848.5269568257354</v>
      </c>
      <c r="H892" s="376">
        <v>0.25299087477082649</v>
      </c>
      <c r="I892" s="376">
        <v>0.85</v>
      </c>
    </row>
    <row r="893" spans="1:9" x14ac:dyDescent="0.35">
      <c r="A893" s="376" t="s">
        <v>1614</v>
      </c>
      <c r="B893" s="376" t="s">
        <v>1609</v>
      </c>
      <c r="C893" s="376" t="s">
        <v>1046</v>
      </c>
      <c r="D893" s="376">
        <v>2021</v>
      </c>
      <c r="E893" s="376">
        <v>2021</v>
      </c>
      <c r="F893" s="376">
        <v>0.28070162831646173</v>
      </c>
      <c r="G893" s="376">
        <v>6454.3984013550207</v>
      </c>
      <c r="H893" s="376">
        <v>0.25299087477082649</v>
      </c>
      <c r="I893" s="376">
        <v>0.85</v>
      </c>
    </row>
    <row r="894" spans="1:9" x14ac:dyDescent="0.35">
      <c r="A894" s="376" t="s">
        <v>1614</v>
      </c>
      <c r="B894" s="376" t="s">
        <v>1609</v>
      </c>
      <c r="C894" s="376" t="s">
        <v>644</v>
      </c>
      <c r="D894" s="376">
        <v>2021</v>
      </c>
      <c r="E894" s="376">
        <v>2021</v>
      </c>
      <c r="F894" s="376">
        <v>0.28070162831646173</v>
      </c>
      <c r="G894" s="376">
        <v>6454.3984013550207</v>
      </c>
      <c r="H894" s="376">
        <v>0.25299087477082649</v>
      </c>
      <c r="I894" s="376">
        <v>0.85</v>
      </c>
    </row>
    <row r="895" spans="1:9" x14ac:dyDescent="0.35">
      <c r="A895" s="376" t="s">
        <v>1614</v>
      </c>
      <c r="B895" s="376" t="s">
        <v>1609</v>
      </c>
      <c r="C895" s="376" t="s">
        <v>628</v>
      </c>
      <c r="D895" s="376">
        <v>2021</v>
      </c>
      <c r="E895" s="376">
        <v>2021</v>
      </c>
      <c r="F895" s="376">
        <v>0.28070162831646173</v>
      </c>
      <c r="G895" s="376">
        <v>6454.3984013550207</v>
      </c>
      <c r="H895" s="376">
        <v>0.25299087477082649</v>
      </c>
      <c r="I895" s="376">
        <v>0.85</v>
      </c>
    </row>
    <row r="896" spans="1:9" x14ac:dyDescent="0.35">
      <c r="A896" s="376" t="s">
        <v>1614</v>
      </c>
      <c r="B896" s="376" t="s">
        <v>1609</v>
      </c>
      <c r="C896" s="376" t="s">
        <v>1051</v>
      </c>
      <c r="D896" s="376">
        <v>2021</v>
      </c>
      <c r="E896" s="376">
        <v>2021</v>
      </c>
      <c r="F896" s="376">
        <v>0.28070162831646173</v>
      </c>
      <c r="G896" s="376">
        <v>6454.3984013550207</v>
      </c>
      <c r="H896" s="376">
        <v>0.25299087477082649</v>
      </c>
      <c r="I896" s="376">
        <v>0.85</v>
      </c>
    </row>
    <row r="897" spans="1:9" x14ac:dyDescent="0.35">
      <c r="A897" s="376" t="s">
        <v>1614</v>
      </c>
      <c r="B897" s="376" t="s">
        <v>1609</v>
      </c>
      <c r="C897" s="376" t="s">
        <v>1054</v>
      </c>
      <c r="D897" s="376">
        <v>2021</v>
      </c>
      <c r="E897" s="376">
        <v>2021</v>
      </c>
      <c r="F897" s="376">
        <v>0.28070162831646173</v>
      </c>
      <c r="G897" s="376">
        <v>6454.3984013550207</v>
      </c>
      <c r="H897" s="376">
        <v>0.25299087477082649</v>
      </c>
      <c r="I897" s="376">
        <v>0.85</v>
      </c>
    </row>
    <row r="898" spans="1:9" x14ac:dyDescent="0.35">
      <c r="A898" s="376" t="s">
        <v>1614</v>
      </c>
      <c r="B898" s="376" t="s">
        <v>1609</v>
      </c>
      <c r="C898" s="376" t="s">
        <v>1046</v>
      </c>
      <c r="D898" s="376">
        <v>2021</v>
      </c>
      <c r="E898" s="376">
        <v>2022</v>
      </c>
      <c r="F898" s="376">
        <v>0.28070162831646173</v>
      </c>
      <c r="G898" s="376">
        <v>6454.3984013550207</v>
      </c>
      <c r="H898" s="376">
        <v>0.25299087477082649</v>
      </c>
      <c r="I898" s="376">
        <v>0.85</v>
      </c>
    </row>
    <row r="899" spans="1:9" x14ac:dyDescent="0.35">
      <c r="A899" s="376" t="s">
        <v>1614</v>
      </c>
      <c r="B899" s="376" t="s">
        <v>1609</v>
      </c>
      <c r="C899" s="376" t="s">
        <v>644</v>
      </c>
      <c r="D899" s="376">
        <v>2021</v>
      </c>
      <c r="E899" s="376">
        <v>2022</v>
      </c>
      <c r="F899" s="376">
        <v>0.28070162831646173</v>
      </c>
      <c r="G899" s="376">
        <v>6454.3984013550207</v>
      </c>
      <c r="H899" s="376">
        <v>0.25299087477082649</v>
      </c>
      <c r="I899" s="376">
        <v>0.85</v>
      </c>
    </row>
    <row r="900" spans="1:9" x14ac:dyDescent="0.35">
      <c r="A900" s="376" t="s">
        <v>1614</v>
      </c>
      <c r="B900" s="376" t="s">
        <v>1609</v>
      </c>
      <c r="C900" s="376" t="s">
        <v>628</v>
      </c>
      <c r="D900" s="376">
        <v>2021</v>
      </c>
      <c r="E900" s="376">
        <v>2022</v>
      </c>
      <c r="F900" s="376">
        <v>0.28070162831646173</v>
      </c>
      <c r="G900" s="376">
        <v>6454.3984013550207</v>
      </c>
      <c r="H900" s="376">
        <v>0.25299087477082649</v>
      </c>
      <c r="I900" s="376">
        <v>0.85</v>
      </c>
    </row>
    <row r="901" spans="1:9" x14ac:dyDescent="0.35">
      <c r="A901" s="376" t="s">
        <v>1614</v>
      </c>
      <c r="B901" s="376" t="s">
        <v>1609</v>
      </c>
      <c r="C901" s="376" t="s">
        <v>1051</v>
      </c>
      <c r="D901" s="376">
        <v>2021</v>
      </c>
      <c r="E901" s="376">
        <v>2022</v>
      </c>
      <c r="F901" s="376">
        <v>0.28070162831646173</v>
      </c>
      <c r="G901" s="376">
        <v>6454.3984013550207</v>
      </c>
      <c r="H901" s="376">
        <v>0.25299087477082649</v>
      </c>
      <c r="I901" s="376">
        <v>0.85</v>
      </c>
    </row>
    <row r="902" spans="1:9" x14ac:dyDescent="0.35">
      <c r="A902" s="376" t="s">
        <v>1614</v>
      </c>
      <c r="B902" s="376" t="s">
        <v>1609</v>
      </c>
      <c r="C902" s="376" t="s">
        <v>1054</v>
      </c>
      <c r="D902" s="376">
        <v>2021</v>
      </c>
      <c r="E902" s="376">
        <v>2022</v>
      </c>
      <c r="F902" s="376">
        <v>0.28070162831646173</v>
      </c>
      <c r="G902" s="376">
        <v>6454.3984013550207</v>
      </c>
      <c r="H902" s="376">
        <v>0.25299087477082649</v>
      </c>
      <c r="I902" s="376">
        <v>0.85</v>
      </c>
    </row>
    <row r="903" spans="1:9" x14ac:dyDescent="0.35">
      <c r="A903" s="376" t="s">
        <v>1614</v>
      </c>
      <c r="B903" s="376" t="s">
        <v>1609</v>
      </c>
      <c r="C903" s="376" t="s">
        <v>1046</v>
      </c>
      <c r="D903" s="376">
        <v>2021</v>
      </c>
      <c r="E903" s="376">
        <v>2023</v>
      </c>
      <c r="F903" s="376">
        <v>0.28070162831646173</v>
      </c>
      <c r="G903" s="376">
        <v>6454.3984013550207</v>
      </c>
      <c r="H903" s="376">
        <v>0.25299087477082649</v>
      </c>
      <c r="I903" s="376">
        <v>0.85</v>
      </c>
    </row>
    <row r="904" spans="1:9" x14ac:dyDescent="0.35">
      <c r="A904" s="376" t="s">
        <v>1614</v>
      </c>
      <c r="B904" s="376" t="s">
        <v>1609</v>
      </c>
      <c r="C904" s="376" t="s">
        <v>644</v>
      </c>
      <c r="D904" s="376">
        <v>2021</v>
      </c>
      <c r="E904" s="376">
        <v>2023</v>
      </c>
      <c r="F904" s="376">
        <v>0.28070162831646173</v>
      </c>
      <c r="G904" s="376">
        <v>6454.3984013550207</v>
      </c>
      <c r="H904" s="376">
        <v>0.25299087477082649</v>
      </c>
      <c r="I904" s="376">
        <v>0.85</v>
      </c>
    </row>
    <row r="905" spans="1:9" x14ac:dyDescent="0.35">
      <c r="A905" s="376" t="s">
        <v>1614</v>
      </c>
      <c r="B905" s="376" t="s">
        <v>1609</v>
      </c>
      <c r="C905" s="376" t="s">
        <v>628</v>
      </c>
      <c r="D905" s="376">
        <v>2021</v>
      </c>
      <c r="E905" s="376">
        <v>2023</v>
      </c>
      <c r="F905" s="376">
        <v>0.28070162831646173</v>
      </c>
      <c r="G905" s="376">
        <v>6454.3984013550207</v>
      </c>
      <c r="H905" s="376">
        <v>0.25299087477082649</v>
      </c>
      <c r="I905" s="376">
        <v>0.85</v>
      </c>
    </row>
    <row r="906" spans="1:9" x14ac:dyDescent="0.35">
      <c r="A906" s="376" t="s">
        <v>1614</v>
      </c>
      <c r="B906" s="376" t="s">
        <v>1609</v>
      </c>
      <c r="C906" s="376" t="s">
        <v>1051</v>
      </c>
      <c r="D906" s="376">
        <v>2021</v>
      </c>
      <c r="E906" s="376">
        <v>2023</v>
      </c>
      <c r="F906" s="376">
        <v>0.28070162831646173</v>
      </c>
      <c r="G906" s="376">
        <v>6454.3984013550207</v>
      </c>
      <c r="H906" s="376">
        <v>0.25299087477082649</v>
      </c>
      <c r="I906" s="376">
        <v>0.85</v>
      </c>
    </row>
    <row r="907" spans="1:9" x14ac:dyDescent="0.35">
      <c r="A907" s="376" t="s">
        <v>1614</v>
      </c>
      <c r="B907" s="376" t="s">
        <v>1609</v>
      </c>
      <c r="C907" s="376" t="s">
        <v>1054</v>
      </c>
      <c r="D907" s="376">
        <v>2021</v>
      </c>
      <c r="E907" s="376">
        <v>2023</v>
      </c>
      <c r="F907" s="376">
        <v>0.28070162831646173</v>
      </c>
      <c r="G907" s="376">
        <v>6454.3984013550207</v>
      </c>
      <c r="H907" s="376">
        <v>0.25299087477082649</v>
      </c>
      <c r="I907" s="376">
        <v>0.85</v>
      </c>
    </row>
    <row r="908" spans="1:9" x14ac:dyDescent="0.35">
      <c r="A908" s="376" t="s">
        <v>1614</v>
      </c>
      <c r="B908" s="376" t="s">
        <v>1609</v>
      </c>
      <c r="C908" s="376" t="s">
        <v>1046</v>
      </c>
      <c r="D908" s="376">
        <v>2021</v>
      </c>
      <c r="E908" s="376">
        <v>2024</v>
      </c>
      <c r="F908" s="376">
        <v>0.28070162831646173</v>
      </c>
      <c r="G908" s="376">
        <v>6454.3984013550207</v>
      </c>
      <c r="H908" s="376">
        <v>0.25299087477082649</v>
      </c>
      <c r="I908" s="376">
        <v>0.85</v>
      </c>
    </row>
    <row r="909" spans="1:9" x14ac:dyDescent="0.35">
      <c r="A909" s="376" t="s">
        <v>1614</v>
      </c>
      <c r="B909" s="376" t="s">
        <v>1609</v>
      </c>
      <c r="C909" s="376" t="s">
        <v>644</v>
      </c>
      <c r="D909" s="376">
        <v>2021</v>
      </c>
      <c r="E909" s="376">
        <v>2024</v>
      </c>
      <c r="F909" s="376">
        <v>0.28070162831646173</v>
      </c>
      <c r="G909" s="376">
        <v>6454.3984013550207</v>
      </c>
      <c r="H909" s="376">
        <v>0.25299087477082649</v>
      </c>
      <c r="I909" s="376">
        <v>0.85</v>
      </c>
    </row>
    <row r="910" spans="1:9" x14ac:dyDescent="0.35">
      <c r="A910" s="376" t="s">
        <v>1614</v>
      </c>
      <c r="B910" s="376" t="s">
        <v>1609</v>
      </c>
      <c r="C910" s="376" t="s">
        <v>628</v>
      </c>
      <c r="D910" s="376">
        <v>2021</v>
      </c>
      <c r="E910" s="376">
        <v>2024</v>
      </c>
      <c r="F910" s="376">
        <v>0.28070162831646173</v>
      </c>
      <c r="G910" s="376">
        <v>6454.3984013550207</v>
      </c>
      <c r="H910" s="376">
        <v>0.25299087477082649</v>
      </c>
      <c r="I910" s="376">
        <v>0.85</v>
      </c>
    </row>
    <row r="911" spans="1:9" x14ac:dyDescent="0.35">
      <c r="A911" s="376" t="s">
        <v>1614</v>
      </c>
      <c r="B911" s="376" t="s">
        <v>1609</v>
      </c>
      <c r="C911" s="376" t="s">
        <v>1051</v>
      </c>
      <c r="D911" s="376">
        <v>2021</v>
      </c>
      <c r="E911" s="376">
        <v>2024</v>
      </c>
      <c r="F911" s="376">
        <v>0.28070162831646173</v>
      </c>
      <c r="G911" s="376">
        <v>6454.3984013550207</v>
      </c>
      <c r="H911" s="376">
        <v>0.25299087477082649</v>
      </c>
      <c r="I911" s="376">
        <v>0.85</v>
      </c>
    </row>
    <row r="912" spans="1:9" x14ac:dyDescent="0.35">
      <c r="A912" s="376" t="s">
        <v>1614</v>
      </c>
      <c r="B912" s="376" t="s">
        <v>1609</v>
      </c>
      <c r="C912" s="376" t="s">
        <v>1054</v>
      </c>
      <c r="D912" s="376">
        <v>2021</v>
      </c>
      <c r="E912" s="376">
        <v>2024</v>
      </c>
      <c r="F912" s="376">
        <v>0.28070162831646173</v>
      </c>
      <c r="G912" s="376">
        <v>6454.3984013550207</v>
      </c>
      <c r="H912" s="376">
        <v>0.25299087477082649</v>
      </c>
      <c r="I912" s="376">
        <v>0.85</v>
      </c>
    </row>
    <row r="913" spans="1:9" x14ac:dyDescent="0.35">
      <c r="A913" s="376" t="s">
        <v>1614</v>
      </c>
      <c r="B913" s="376" t="s">
        <v>1609</v>
      </c>
      <c r="C913" s="376" t="s">
        <v>1046</v>
      </c>
      <c r="D913" s="376">
        <v>2021</v>
      </c>
      <c r="E913" s="376">
        <v>2025</v>
      </c>
      <c r="F913" s="376">
        <v>0.28070162831646173</v>
      </c>
      <c r="G913" s="376">
        <v>6454.3984013550207</v>
      </c>
      <c r="H913" s="376">
        <v>0.25299087477082649</v>
      </c>
      <c r="I913" s="376">
        <v>0.85</v>
      </c>
    </row>
    <row r="914" spans="1:9" x14ac:dyDescent="0.35">
      <c r="A914" s="376" t="s">
        <v>1614</v>
      </c>
      <c r="B914" s="376" t="s">
        <v>1609</v>
      </c>
      <c r="C914" s="376" t="s">
        <v>644</v>
      </c>
      <c r="D914" s="376">
        <v>2021</v>
      </c>
      <c r="E914" s="376">
        <v>2025</v>
      </c>
      <c r="F914" s="376">
        <v>0.28070162831646173</v>
      </c>
      <c r="G914" s="376">
        <v>6454.3984013550207</v>
      </c>
      <c r="H914" s="376">
        <v>0.25299087477082649</v>
      </c>
      <c r="I914" s="376">
        <v>0.85</v>
      </c>
    </row>
    <row r="915" spans="1:9" x14ac:dyDescent="0.35">
      <c r="A915" s="376" t="s">
        <v>1614</v>
      </c>
      <c r="B915" s="376" t="s">
        <v>1609</v>
      </c>
      <c r="C915" s="376" t="s">
        <v>628</v>
      </c>
      <c r="D915" s="376">
        <v>2021</v>
      </c>
      <c r="E915" s="376">
        <v>2025</v>
      </c>
      <c r="F915" s="376">
        <v>0.28070162831646173</v>
      </c>
      <c r="G915" s="376">
        <v>6454.3984013550207</v>
      </c>
      <c r="H915" s="376">
        <v>0.25299087477082649</v>
      </c>
      <c r="I915" s="376">
        <v>0.85</v>
      </c>
    </row>
    <row r="916" spans="1:9" x14ac:dyDescent="0.35">
      <c r="A916" s="376" t="s">
        <v>1614</v>
      </c>
      <c r="B916" s="376" t="s">
        <v>1609</v>
      </c>
      <c r="C916" s="376" t="s">
        <v>1051</v>
      </c>
      <c r="D916" s="376">
        <v>2021</v>
      </c>
      <c r="E916" s="376">
        <v>2025</v>
      </c>
      <c r="F916" s="376">
        <v>0.28070162831646173</v>
      </c>
      <c r="G916" s="376">
        <v>6454.3984013550207</v>
      </c>
      <c r="H916" s="376">
        <v>0.25299087477082649</v>
      </c>
      <c r="I916" s="376">
        <v>0.85</v>
      </c>
    </row>
    <row r="917" spans="1:9" x14ac:dyDescent="0.35">
      <c r="A917" s="376" t="s">
        <v>1614</v>
      </c>
      <c r="B917" s="376" t="s">
        <v>1609</v>
      </c>
      <c r="C917" s="376" t="s">
        <v>1054</v>
      </c>
      <c r="D917" s="376">
        <v>2021</v>
      </c>
      <c r="E917" s="376">
        <v>2025</v>
      </c>
      <c r="F917" s="376">
        <v>0.28070162831646173</v>
      </c>
      <c r="G917" s="376">
        <v>6454.3984013550207</v>
      </c>
      <c r="H917" s="376">
        <v>0.25299087477082649</v>
      </c>
      <c r="I917" s="376">
        <v>0.85</v>
      </c>
    </row>
    <row r="918" spans="1:9" x14ac:dyDescent="0.35">
      <c r="A918" s="376" t="s">
        <v>1614</v>
      </c>
      <c r="B918" s="376" t="s">
        <v>1609</v>
      </c>
      <c r="C918" s="376" t="s">
        <v>1046</v>
      </c>
      <c r="D918" s="376">
        <v>2021</v>
      </c>
      <c r="E918" s="376">
        <v>2026</v>
      </c>
      <c r="F918" s="376">
        <v>0.28070162831646173</v>
      </c>
      <c r="G918" s="376">
        <v>6454.3984013550207</v>
      </c>
      <c r="H918" s="376">
        <v>0.25299087477082649</v>
      </c>
      <c r="I918" s="376">
        <v>0.85</v>
      </c>
    </row>
    <row r="919" spans="1:9" x14ac:dyDescent="0.35">
      <c r="A919" s="376" t="s">
        <v>1614</v>
      </c>
      <c r="B919" s="376" t="s">
        <v>1609</v>
      </c>
      <c r="C919" s="376" t="s">
        <v>644</v>
      </c>
      <c r="D919" s="376">
        <v>2021</v>
      </c>
      <c r="E919" s="376">
        <v>2026</v>
      </c>
      <c r="F919" s="376">
        <v>0.28070162831646173</v>
      </c>
      <c r="G919" s="376">
        <v>6454.3984013550207</v>
      </c>
      <c r="H919" s="376">
        <v>0.25299087477082649</v>
      </c>
      <c r="I919" s="376">
        <v>0.85</v>
      </c>
    </row>
    <row r="920" spans="1:9" x14ac:dyDescent="0.35">
      <c r="A920" s="376" t="s">
        <v>1614</v>
      </c>
      <c r="B920" s="376" t="s">
        <v>1609</v>
      </c>
      <c r="C920" s="376" t="s">
        <v>628</v>
      </c>
      <c r="D920" s="376">
        <v>2021</v>
      </c>
      <c r="E920" s="376">
        <v>2026</v>
      </c>
      <c r="F920" s="376">
        <v>0.28070162831646173</v>
      </c>
      <c r="G920" s="376">
        <v>6454.3984013550207</v>
      </c>
      <c r="H920" s="376">
        <v>0.25299087477082649</v>
      </c>
      <c r="I920" s="376">
        <v>0.85</v>
      </c>
    </row>
    <row r="921" spans="1:9" x14ac:dyDescent="0.35">
      <c r="A921" s="376" t="s">
        <v>1614</v>
      </c>
      <c r="B921" s="376" t="s">
        <v>1609</v>
      </c>
      <c r="C921" s="376" t="s">
        <v>1051</v>
      </c>
      <c r="D921" s="376">
        <v>2021</v>
      </c>
      <c r="E921" s="376">
        <v>2026</v>
      </c>
      <c r="F921" s="376">
        <v>0.28070162831646173</v>
      </c>
      <c r="G921" s="376">
        <v>6454.3984013550207</v>
      </c>
      <c r="H921" s="376">
        <v>0.25299087477082649</v>
      </c>
      <c r="I921" s="376">
        <v>0.85</v>
      </c>
    </row>
    <row r="922" spans="1:9" x14ac:dyDescent="0.35">
      <c r="A922" s="376" t="s">
        <v>1614</v>
      </c>
      <c r="B922" s="376" t="s">
        <v>1609</v>
      </c>
      <c r="C922" s="376" t="s">
        <v>1054</v>
      </c>
      <c r="D922" s="376">
        <v>2021</v>
      </c>
      <c r="E922" s="376">
        <v>2026</v>
      </c>
      <c r="F922" s="376">
        <v>0.28070162831646173</v>
      </c>
      <c r="G922" s="376">
        <v>6454.3984013550207</v>
      </c>
      <c r="H922" s="376">
        <v>0.25299087477082649</v>
      </c>
      <c r="I922" s="376">
        <v>0.85</v>
      </c>
    </row>
    <row r="923" spans="1:9" x14ac:dyDescent="0.35">
      <c r="A923" s="376" t="s">
        <v>1614</v>
      </c>
      <c r="B923" s="376" t="s">
        <v>1609</v>
      </c>
      <c r="C923" s="376" t="s">
        <v>1046</v>
      </c>
      <c r="D923" s="376">
        <v>2021</v>
      </c>
      <c r="E923" s="376">
        <v>2027</v>
      </c>
      <c r="F923" s="376">
        <v>0.28070162831646173</v>
      </c>
      <c r="G923" s="376">
        <v>6454.3984013550207</v>
      </c>
      <c r="H923" s="376">
        <v>0.25299087477082649</v>
      </c>
      <c r="I923" s="376">
        <v>0.85</v>
      </c>
    </row>
    <row r="924" spans="1:9" x14ac:dyDescent="0.35">
      <c r="A924" s="376" t="s">
        <v>1614</v>
      </c>
      <c r="B924" s="376" t="s">
        <v>1609</v>
      </c>
      <c r="C924" s="376" t="s">
        <v>644</v>
      </c>
      <c r="D924" s="376">
        <v>2021</v>
      </c>
      <c r="E924" s="376">
        <v>2027</v>
      </c>
      <c r="F924" s="376">
        <v>0.28070162831646173</v>
      </c>
      <c r="G924" s="376">
        <v>6454.3984013550207</v>
      </c>
      <c r="H924" s="376">
        <v>0.25299087477082649</v>
      </c>
      <c r="I924" s="376">
        <v>0.85</v>
      </c>
    </row>
    <row r="925" spans="1:9" x14ac:dyDescent="0.35">
      <c r="A925" s="376" t="s">
        <v>1614</v>
      </c>
      <c r="B925" s="376" t="s">
        <v>1609</v>
      </c>
      <c r="C925" s="376" t="s">
        <v>628</v>
      </c>
      <c r="D925" s="376">
        <v>2021</v>
      </c>
      <c r="E925" s="376">
        <v>2027</v>
      </c>
      <c r="F925" s="376">
        <v>0.28070162831646173</v>
      </c>
      <c r="G925" s="376">
        <v>6454.3984013550207</v>
      </c>
      <c r="H925" s="376">
        <v>0.25299087477082649</v>
      </c>
      <c r="I925" s="376">
        <v>0.85</v>
      </c>
    </row>
    <row r="926" spans="1:9" x14ac:dyDescent="0.35">
      <c r="A926" s="376" t="s">
        <v>1614</v>
      </c>
      <c r="B926" s="376" t="s">
        <v>1609</v>
      </c>
      <c r="C926" s="376" t="s">
        <v>1051</v>
      </c>
      <c r="D926" s="376">
        <v>2021</v>
      </c>
      <c r="E926" s="376">
        <v>2027</v>
      </c>
      <c r="F926" s="376">
        <v>0.28070162831646173</v>
      </c>
      <c r="G926" s="376">
        <v>6454.3984013550207</v>
      </c>
      <c r="H926" s="376">
        <v>0.25299087477082649</v>
      </c>
      <c r="I926" s="376">
        <v>0.85</v>
      </c>
    </row>
    <row r="927" spans="1:9" x14ac:dyDescent="0.35">
      <c r="A927" s="376" t="s">
        <v>1614</v>
      </c>
      <c r="B927" s="376" t="s">
        <v>1609</v>
      </c>
      <c r="C927" s="376" t="s">
        <v>1054</v>
      </c>
      <c r="D927" s="376">
        <v>2021</v>
      </c>
      <c r="E927" s="376">
        <v>2027</v>
      </c>
      <c r="F927" s="376">
        <v>0.28070162831646173</v>
      </c>
      <c r="G927" s="376">
        <v>6454.3984013550207</v>
      </c>
      <c r="H927" s="376">
        <v>0.25299087477082649</v>
      </c>
      <c r="I927" s="376">
        <v>0.85</v>
      </c>
    </row>
    <row r="928" spans="1:9" x14ac:dyDescent="0.35">
      <c r="A928" s="376" t="s">
        <v>1614</v>
      </c>
      <c r="B928" s="376" t="s">
        <v>1609</v>
      </c>
      <c r="C928" s="376" t="s">
        <v>1046</v>
      </c>
      <c r="D928" s="376">
        <v>2021</v>
      </c>
      <c r="E928" s="376">
        <v>2028</v>
      </c>
      <c r="F928" s="376">
        <v>0.28070162831646173</v>
      </c>
      <c r="G928" s="376">
        <v>6454.3984013550207</v>
      </c>
      <c r="H928" s="376">
        <v>0.25299087477082649</v>
      </c>
      <c r="I928" s="376">
        <v>0.85</v>
      </c>
    </row>
    <row r="929" spans="1:9" x14ac:dyDescent="0.35">
      <c r="A929" s="376" t="s">
        <v>1614</v>
      </c>
      <c r="B929" s="376" t="s">
        <v>1609</v>
      </c>
      <c r="C929" s="376" t="s">
        <v>644</v>
      </c>
      <c r="D929" s="376">
        <v>2021</v>
      </c>
      <c r="E929" s="376">
        <v>2028</v>
      </c>
      <c r="F929" s="376">
        <v>0.28070162831646173</v>
      </c>
      <c r="G929" s="376">
        <v>6454.3984013550207</v>
      </c>
      <c r="H929" s="376">
        <v>0.25299087477082649</v>
      </c>
      <c r="I929" s="376">
        <v>0.85</v>
      </c>
    </row>
    <row r="930" spans="1:9" x14ac:dyDescent="0.35">
      <c r="A930" s="376" t="s">
        <v>1614</v>
      </c>
      <c r="B930" s="376" t="s">
        <v>1609</v>
      </c>
      <c r="C930" s="376" t="s">
        <v>628</v>
      </c>
      <c r="D930" s="376">
        <v>2021</v>
      </c>
      <c r="E930" s="376">
        <v>2028</v>
      </c>
      <c r="F930" s="376">
        <v>0.28070162831646173</v>
      </c>
      <c r="G930" s="376">
        <v>6454.3984013550207</v>
      </c>
      <c r="H930" s="376">
        <v>0.25299087477082649</v>
      </c>
      <c r="I930" s="376">
        <v>0.85</v>
      </c>
    </row>
    <row r="931" spans="1:9" x14ac:dyDescent="0.35">
      <c r="A931" s="376" t="s">
        <v>1614</v>
      </c>
      <c r="B931" s="376" t="s">
        <v>1609</v>
      </c>
      <c r="C931" s="376" t="s">
        <v>1051</v>
      </c>
      <c r="D931" s="376">
        <v>2021</v>
      </c>
      <c r="E931" s="376">
        <v>2028</v>
      </c>
      <c r="F931" s="376">
        <v>0.28070162831646173</v>
      </c>
      <c r="G931" s="376">
        <v>6454.3984013550207</v>
      </c>
      <c r="H931" s="376">
        <v>0.25299087477082649</v>
      </c>
      <c r="I931" s="376">
        <v>0.85</v>
      </c>
    </row>
    <row r="932" spans="1:9" x14ac:dyDescent="0.35">
      <c r="A932" s="376" t="s">
        <v>1614</v>
      </c>
      <c r="B932" s="376" t="s">
        <v>1609</v>
      </c>
      <c r="C932" s="376" t="s">
        <v>1054</v>
      </c>
      <c r="D932" s="376">
        <v>2021</v>
      </c>
      <c r="E932" s="376">
        <v>2028</v>
      </c>
      <c r="F932" s="376">
        <v>0.28070162831646173</v>
      </c>
      <c r="G932" s="376">
        <v>6454.3984013550207</v>
      </c>
      <c r="H932" s="376">
        <v>0.25299087477082649</v>
      </c>
      <c r="I932" s="376">
        <v>0.85</v>
      </c>
    </row>
    <row r="933" spans="1:9" x14ac:dyDescent="0.35">
      <c r="A933" s="376" t="s">
        <v>1614</v>
      </c>
      <c r="B933" s="376" t="s">
        <v>1609</v>
      </c>
      <c r="C933" s="376" t="s">
        <v>1046</v>
      </c>
      <c r="D933" s="376">
        <v>2021</v>
      </c>
      <c r="E933" s="376">
        <v>2029</v>
      </c>
      <c r="F933" s="376">
        <v>0.28070162831646173</v>
      </c>
      <c r="G933" s="376">
        <v>6454.3984013550207</v>
      </c>
      <c r="H933" s="376">
        <v>0.25299087477082649</v>
      </c>
      <c r="I933" s="376">
        <v>0.85</v>
      </c>
    </row>
    <row r="934" spans="1:9" x14ac:dyDescent="0.35">
      <c r="A934" s="376" t="s">
        <v>1614</v>
      </c>
      <c r="B934" s="376" t="s">
        <v>1609</v>
      </c>
      <c r="C934" s="376" t="s">
        <v>644</v>
      </c>
      <c r="D934" s="376">
        <v>2021</v>
      </c>
      <c r="E934" s="376">
        <v>2029</v>
      </c>
      <c r="F934" s="376">
        <v>0.28070162831646173</v>
      </c>
      <c r="G934" s="376">
        <v>6454.3984013550207</v>
      </c>
      <c r="H934" s="376">
        <v>0.25299087477082649</v>
      </c>
      <c r="I934" s="376">
        <v>0.85</v>
      </c>
    </row>
    <row r="935" spans="1:9" x14ac:dyDescent="0.35">
      <c r="A935" s="376" t="s">
        <v>1614</v>
      </c>
      <c r="B935" s="376" t="s">
        <v>1609</v>
      </c>
      <c r="C935" s="376" t="s">
        <v>628</v>
      </c>
      <c r="D935" s="376">
        <v>2021</v>
      </c>
      <c r="E935" s="376">
        <v>2029</v>
      </c>
      <c r="F935" s="376">
        <v>0.28070162831646173</v>
      </c>
      <c r="G935" s="376">
        <v>6454.3984013550207</v>
      </c>
      <c r="H935" s="376">
        <v>0.25299087477082649</v>
      </c>
      <c r="I935" s="376">
        <v>0.85</v>
      </c>
    </row>
    <row r="936" spans="1:9" x14ac:dyDescent="0.35">
      <c r="A936" s="376" t="s">
        <v>1614</v>
      </c>
      <c r="B936" s="376" t="s">
        <v>1609</v>
      </c>
      <c r="C936" s="376" t="s">
        <v>1051</v>
      </c>
      <c r="D936" s="376">
        <v>2021</v>
      </c>
      <c r="E936" s="376">
        <v>2029</v>
      </c>
      <c r="F936" s="376">
        <v>0.28070162831646173</v>
      </c>
      <c r="G936" s="376">
        <v>6454.3984013550207</v>
      </c>
      <c r="H936" s="376">
        <v>0.25299087477082649</v>
      </c>
      <c r="I936" s="376">
        <v>0.85</v>
      </c>
    </row>
    <row r="937" spans="1:9" x14ac:dyDescent="0.35">
      <c r="A937" s="376" t="s">
        <v>1614</v>
      </c>
      <c r="B937" s="376" t="s">
        <v>1609</v>
      </c>
      <c r="C937" s="376" t="s">
        <v>1054</v>
      </c>
      <c r="D937" s="376">
        <v>2021</v>
      </c>
      <c r="E937" s="376">
        <v>2029</v>
      </c>
      <c r="F937" s="376">
        <v>0.28070162831646173</v>
      </c>
      <c r="G937" s="376">
        <v>6454.3984013550207</v>
      </c>
      <c r="H937" s="376">
        <v>0.25299087477082649</v>
      </c>
      <c r="I937" s="376">
        <v>0.85</v>
      </c>
    </row>
    <row r="938" spans="1:9" x14ac:dyDescent="0.35">
      <c r="A938" s="376" t="s">
        <v>1614</v>
      </c>
      <c r="B938" s="376" t="s">
        <v>1609</v>
      </c>
      <c r="C938" s="376" t="s">
        <v>1046</v>
      </c>
      <c r="D938" s="376">
        <v>2021</v>
      </c>
      <c r="E938" s="376">
        <v>2030</v>
      </c>
      <c r="F938" s="376">
        <v>0.28070162831646173</v>
      </c>
      <c r="G938" s="376">
        <v>6454.3984013550207</v>
      </c>
      <c r="H938" s="376">
        <v>0.25299087477082649</v>
      </c>
      <c r="I938" s="376">
        <v>0.85</v>
      </c>
    </row>
    <row r="939" spans="1:9" x14ac:dyDescent="0.35">
      <c r="A939" s="376" t="s">
        <v>1614</v>
      </c>
      <c r="B939" s="376" t="s">
        <v>1609</v>
      </c>
      <c r="C939" s="376" t="s">
        <v>644</v>
      </c>
      <c r="D939" s="376">
        <v>2021</v>
      </c>
      <c r="E939" s="376">
        <v>2030</v>
      </c>
      <c r="F939" s="376">
        <v>0.28070162831646173</v>
      </c>
      <c r="G939" s="376">
        <v>6454.3984013550207</v>
      </c>
      <c r="H939" s="376">
        <v>0.25299087477082649</v>
      </c>
      <c r="I939" s="376">
        <v>0.85</v>
      </c>
    </row>
    <row r="940" spans="1:9" x14ac:dyDescent="0.35">
      <c r="A940" s="376" t="s">
        <v>1614</v>
      </c>
      <c r="B940" s="376" t="s">
        <v>1609</v>
      </c>
      <c r="C940" s="376" t="s">
        <v>628</v>
      </c>
      <c r="D940" s="376">
        <v>2021</v>
      </c>
      <c r="E940" s="376">
        <v>2030</v>
      </c>
      <c r="F940" s="376">
        <v>0.28070162831646173</v>
      </c>
      <c r="G940" s="376">
        <v>6454.3984013550207</v>
      </c>
      <c r="H940" s="376">
        <v>0.25299087477082649</v>
      </c>
      <c r="I940" s="376">
        <v>0.85</v>
      </c>
    </row>
    <row r="941" spans="1:9" x14ac:dyDescent="0.35">
      <c r="A941" s="376" t="s">
        <v>1614</v>
      </c>
      <c r="B941" s="376" t="s">
        <v>1609</v>
      </c>
      <c r="C941" s="376" t="s">
        <v>1051</v>
      </c>
      <c r="D941" s="376">
        <v>2021</v>
      </c>
      <c r="E941" s="376">
        <v>2030</v>
      </c>
      <c r="F941" s="376">
        <v>0.28070162831646173</v>
      </c>
      <c r="G941" s="376">
        <v>6454.3984013550207</v>
      </c>
      <c r="H941" s="376">
        <v>0.25299087477082649</v>
      </c>
      <c r="I941" s="376">
        <v>0.85</v>
      </c>
    </row>
    <row r="942" spans="1:9" x14ac:dyDescent="0.35">
      <c r="A942" s="376" t="s">
        <v>1614</v>
      </c>
      <c r="B942" s="376" t="s">
        <v>1609</v>
      </c>
      <c r="C942" s="376" t="s">
        <v>1054</v>
      </c>
      <c r="D942" s="376">
        <v>2021</v>
      </c>
      <c r="E942" s="376">
        <v>2030</v>
      </c>
      <c r="F942" s="376">
        <v>0.28070162831646173</v>
      </c>
      <c r="G942" s="376">
        <v>6454.3984013550207</v>
      </c>
      <c r="H942" s="376">
        <v>0.25299087477082649</v>
      </c>
      <c r="I942" s="376">
        <v>0.85</v>
      </c>
    </row>
    <row r="943" spans="1:9" x14ac:dyDescent="0.35">
      <c r="A943" s="376" t="s">
        <v>1614</v>
      </c>
      <c r="B943" s="376" t="s">
        <v>1609</v>
      </c>
      <c r="C943" s="376" t="s">
        <v>1046</v>
      </c>
      <c r="D943" s="376">
        <v>2021</v>
      </c>
      <c r="E943" s="376">
        <v>2031</v>
      </c>
      <c r="F943" s="376">
        <v>0.28070162831646173</v>
      </c>
      <c r="G943" s="376">
        <v>6454.3984013550207</v>
      </c>
      <c r="H943" s="376">
        <v>0.25299087477082649</v>
      </c>
      <c r="I943" s="376">
        <v>0.85</v>
      </c>
    </row>
    <row r="944" spans="1:9" x14ac:dyDescent="0.35">
      <c r="A944" s="376" t="s">
        <v>1614</v>
      </c>
      <c r="B944" s="376" t="s">
        <v>1609</v>
      </c>
      <c r="C944" s="376" t="s">
        <v>644</v>
      </c>
      <c r="D944" s="376">
        <v>2021</v>
      </c>
      <c r="E944" s="376">
        <v>2031</v>
      </c>
      <c r="F944" s="376">
        <v>0.28070162831646173</v>
      </c>
      <c r="G944" s="376">
        <v>6454.3984013550207</v>
      </c>
      <c r="H944" s="376">
        <v>0.25299087477082649</v>
      </c>
      <c r="I944" s="376">
        <v>0.85</v>
      </c>
    </row>
    <row r="945" spans="1:9" x14ac:dyDescent="0.35">
      <c r="A945" s="376" t="s">
        <v>1614</v>
      </c>
      <c r="B945" s="376" t="s">
        <v>1609</v>
      </c>
      <c r="C945" s="376" t="s">
        <v>628</v>
      </c>
      <c r="D945" s="376">
        <v>2021</v>
      </c>
      <c r="E945" s="376">
        <v>2031</v>
      </c>
      <c r="F945" s="376">
        <v>0.28070162831646173</v>
      </c>
      <c r="G945" s="376">
        <v>6454.3984013550207</v>
      </c>
      <c r="H945" s="376">
        <v>0.25299087477082649</v>
      </c>
      <c r="I945" s="376">
        <v>0.85</v>
      </c>
    </row>
    <row r="946" spans="1:9" x14ac:dyDescent="0.35">
      <c r="A946" s="376" t="s">
        <v>1614</v>
      </c>
      <c r="B946" s="376" t="s">
        <v>1609</v>
      </c>
      <c r="C946" s="376" t="s">
        <v>1051</v>
      </c>
      <c r="D946" s="376">
        <v>2021</v>
      </c>
      <c r="E946" s="376">
        <v>2031</v>
      </c>
      <c r="F946" s="376">
        <v>0.28070162831646173</v>
      </c>
      <c r="G946" s="376">
        <v>6454.3984013550207</v>
      </c>
      <c r="H946" s="376">
        <v>0.25299087477082649</v>
      </c>
      <c r="I946" s="376">
        <v>0.85</v>
      </c>
    </row>
    <row r="947" spans="1:9" x14ac:dyDescent="0.35">
      <c r="A947" s="376" t="s">
        <v>1614</v>
      </c>
      <c r="B947" s="376" t="s">
        <v>1609</v>
      </c>
      <c r="C947" s="376" t="s">
        <v>1054</v>
      </c>
      <c r="D947" s="376">
        <v>2021</v>
      </c>
      <c r="E947" s="376">
        <v>2031</v>
      </c>
      <c r="F947" s="376">
        <v>0.28070162831646173</v>
      </c>
      <c r="G947" s="376">
        <v>6454.3984013550207</v>
      </c>
      <c r="H947" s="376">
        <v>0.25299087477082649</v>
      </c>
      <c r="I947" s="376">
        <v>0.85</v>
      </c>
    </row>
    <row r="948" spans="1:9" x14ac:dyDescent="0.35">
      <c r="A948" s="376" t="s">
        <v>1604</v>
      </c>
      <c r="B948" s="376" t="s">
        <v>1609</v>
      </c>
      <c r="C948" s="376" t="s">
        <v>1046</v>
      </c>
      <c r="D948" s="376">
        <v>2021</v>
      </c>
      <c r="E948" s="376">
        <v>2021</v>
      </c>
      <c r="F948" s="376">
        <v>1</v>
      </c>
      <c r="G948" s="376">
        <v>10872.741503138899</v>
      </c>
      <c r="H948" s="376">
        <v>0</v>
      </c>
      <c r="I948" s="376">
        <v>1</v>
      </c>
    </row>
    <row r="949" spans="1:9" x14ac:dyDescent="0.35">
      <c r="A949" s="376" t="s">
        <v>1604</v>
      </c>
      <c r="B949" s="376" t="s">
        <v>1609</v>
      </c>
      <c r="C949" s="376" t="s">
        <v>644</v>
      </c>
      <c r="D949" s="376">
        <v>2021</v>
      </c>
      <c r="E949" s="376">
        <v>2021</v>
      </c>
      <c r="F949" s="376">
        <v>1</v>
      </c>
      <c r="G949" s="376">
        <v>10872.741503138899</v>
      </c>
      <c r="H949" s="376">
        <v>0</v>
      </c>
      <c r="I949" s="376">
        <v>1</v>
      </c>
    </row>
    <row r="950" spans="1:9" x14ac:dyDescent="0.35">
      <c r="A950" s="376" t="s">
        <v>1604</v>
      </c>
      <c r="B950" s="376" t="s">
        <v>1609</v>
      </c>
      <c r="C950" s="376" t="s">
        <v>628</v>
      </c>
      <c r="D950" s="376">
        <v>2021</v>
      </c>
      <c r="E950" s="376">
        <v>2021</v>
      </c>
      <c r="F950" s="376">
        <v>1</v>
      </c>
      <c r="G950" s="376">
        <v>10872.741503138899</v>
      </c>
      <c r="H950" s="376">
        <v>0</v>
      </c>
      <c r="I950" s="376">
        <v>1</v>
      </c>
    </row>
    <row r="951" spans="1:9" x14ac:dyDescent="0.35">
      <c r="A951" s="376" t="s">
        <v>1604</v>
      </c>
      <c r="B951" s="376" t="s">
        <v>1609</v>
      </c>
      <c r="C951" s="376" t="s">
        <v>1051</v>
      </c>
      <c r="D951" s="376">
        <v>2021</v>
      </c>
      <c r="E951" s="376">
        <v>2021</v>
      </c>
      <c r="F951" s="376">
        <v>1</v>
      </c>
      <c r="G951" s="376">
        <v>10872.741503138899</v>
      </c>
      <c r="H951" s="376">
        <v>0</v>
      </c>
      <c r="I951" s="376">
        <v>1</v>
      </c>
    </row>
    <row r="952" spans="1:9" x14ac:dyDescent="0.35">
      <c r="A952" s="376" t="s">
        <v>1604</v>
      </c>
      <c r="B952" s="376" t="s">
        <v>1609</v>
      </c>
      <c r="C952" s="376" t="s">
        <v>1054</v>
      </c>
      <c r="D952" s="376">
        <v>2021</v>
      </c>
      <c r="E952" s="376">
        <v>2021</v>
      </c>
      <c r="F952" s="376">
        <v>1</v>
      </c>
      <c r="G952" s="376">
        <v>10872.741503138899</v>
      </c>
      <c r="H952" s="376">
        <v>0</v>
      </c>
      <c r="I952" s="376">
        <v>1</v>
      </c>
    </row>
    <row r="953" spans="1:9" x14ac:dyDescent="0.35">
      <c r="A953" s="376" t="s">
        <v>1604</v>
      </c>
      <c r="B953" s="376" t="s">
        <v>1609</v>
      </c>
      <c r="C953" s="376" t="s">
        <v>1046</v>
      </c>
      <c r="D953" s="376">
        <v>2021</v>
      </c>
      <c r="E953" s="376">
        <v>2022</v>
      </c>
      <c r="F953" s="376">
        <v>1</v>
      </c>
      <c r="G953" s="376">
        <v>10872.741503138899</v>
      </c>
      <c r="H953" s="376">
        <v>0</v>
      </c>
      <c r="I953" s="376">
        <v>1</v>
      </c>
    </row>
    <row r="954" spans="1:9" x14ac:dyDescent="0.35">
      <c r="A954" s="376" t="s">
        <v>1604</v>
      </c>
      <c r="B954" s="376" t="s">
        <v>1609</v>
      </c>
      <c r="C954" s="376" t="s">
        <v>644</v>
      </c>
      <c r="D954" s="376">
        <v>2021</v>
      </c>
      <c r="E954" s="376">
        <v>2022</v>
      </c>
      <c r="F954" s="376">
        <v>1</v>
      </c>
      <c r="G954" s="376">
        <v>10872.741503138899</v>
      </c>
      <c r="H954" s="376">
        <v>0</v>
      </c>
      <c r="I954" s="376">
        <v>1</v>
      </c>
    </row>
    <row r="955" spans="1:9" x14ac:dyDescent="0.35">
      <c r="A955" s="376" t="s">
        <v>1604</v>
      </c>
      <c r="B955" s="376" t="s">
        <v>1609</v>
      </c>
      <c r="C955" s="376" t="s">
        <v>628</v>
      </c>
      <c r="D955" s="376">
        <v>2021</v>
      </c>
      <c r="E955" s="376">
        <v>2022</v>
      </c>
      <c r="F955" s="376">
        <v>1</v>
      </c>
      <c r="G955" s="376">
        <v>10872.741503138899</v>
      </c>
      <c r="H955" s="376">
        <v>0</v>
      </c>
      <c r="I955" s="376">
        <v>1</v>
      </c>
    </row>
    <row r="956" spans="1:9" x14ac:dyDescent="0.35">
      <c r="A956" s="376" t="s">
        <v>1604</v>
      </c>
      <c r="B956" s="376" t="s">
        <v>1609</v>
      </c>
      <c r="C956" s="376" t="s">
        <v>1051</v>
      </c>
      <c r="D956" s="376">
        <v>2021</v>
      </c>
      <c r="E956" s="376">
        <v>2022</v>
      </c>
      <c r="F956" s="376">
        <v>1</v>
      </c>
      <c r="G956" s="376">
        <v>10872.741503138899</v>
      </c>
      <c r="H956" s="376">
        <v>0</v>
      </c>
      <c r="I956" s="376">
        <v>1</v>
      </c>
    </row>
    <row r="957" spans="1:9" x14ac:dyDescent="0.35">
      <c r="A957" s="376" t="s">
        <v>1604</v>
      </c>
      <c r="B957" s="376" t="s">
        <v>1609</v>
      </c>
      <c r="C957" s="376" t="s">
        <v>1054</v>
      </c>
      <c r="D957" s="376">
        <v>2021</v>
      </c>
      <c r="E957" s="376">
        <v>2022</v>
      </c>
      <c r="F957" s="376">
        <v>1</v>
      </c>
      <c r="G957" s="376">
        <v>10872.741503138899</v>
      </c>
      <c r="H957" s="376">
        <v>0</v>
      </c>
      <c r="I957" s="376">
        <v>1</v>
      </c>
    </row>
    <row r="958" spans="1:9" x14ac:dyDescent="0.35">
      <c r="A958" s="376" t="s">
        <v>1604</v>
      </c>
      <c r="B958" s="376" t="s">
        <v>1609</v>
      </c>
      <c r="C958" s="376" t="s">
        <v>1046</v>
      </c>
      <c r="D958" s="376">
        <v>2021</v>
      </c>
      <c r="E958" s="376">
        <v>2023</v>
      </c>
      <c r="F958" s="376">
        <v>1</v>
      </c>
      <c r="G958" s="376">
        <v>10872.741503138899</v>
      </c>
      <c r="H958" s="376">
        <v>0</v>
      </c>
      <c r="I958" s="376">
        <v>1</v>
      </c>
    </row>
    <row r="959" spans="1:9" x14ac:dyDescent="0.35">
      <c r="A959" s="376" t="s">
        <v>1604</v>
      </c>
      <c r="B959" s="376" t="s">
        <v>1609</v>
      </c>
      <c r="C959" s="376" t="s">
        <v>644</v>
      </c>
      <c r="D959" s="376">
        <v>2021</v>
      </c>
      <c r="E959" s="376">
        <v>2023</v>
      </c>
      <c r="F959" s="376">
        <v>1</v>
      </c>
      <c r="G959" s="376">
        <v>10872.741503138899</v>
      </c>
      <c r="H959" s="376">
        <v>0</v>
      </c>
      <c r="I959" s="376">
        <v>1</v>
      </c>
    </row>
    <row r="960" spans="1:9" x14ac:dyDescent="0.35">
      <c r="A960" s="376" t="s">
        <v>1604</v>
      </c>
      <c r="B960" s="376" t="s">
        <v>1609</v>
      </c>
      <c r="C960" s="376" t="s">
        <v>628</v>
      </c>
      <c r="D960" s="376">
        <v>2021</v>
      </c>
      <c r="E960" s="376">
        <v>2023</v>
      </c>
      <c r="F960" s="376">
        <v>1</v>
      </c>
      <c r="G960" s="376">
        <v>10872.741503138899</v>
      </c>
      <c r="H960" s="376">
        <v>0</v>
      </c>
      <c r="I960" s="376">
        <v>1</v>
      </c>
    </row>
    <row r="961" spans="1:9" x14ac:dyDescent="0.35">
      <c r="A961" s="376" t="s">
        <v>1604</v>
      </c>
      <c r="B961" s="376" t="s">
        <v>1609</v>
      </c>
      <c r="C961" s="376" t="s">
        <v>1051</v>
      </c>
      <c r="D961" s="376">
        <v>2021</v>
      </c>
      <c r="E961" s="376">
        <v>2023</v>
      </c>
      <c r="F961" s="376">
        <v>1</v>
      </c>
      <c r="G961" s="376">
        <v>10872.741503138899</v>
      </c>
      <c r="H961" s="376">
        <v>0</v>
      </c>
      <c r="I961" s="376">
        <v>1</v>
      </c>
    </row>
    <row r="962" spans="1:9" x14ac:dyDescent="0.35">
      <c r="A962" s="376" t="s">
        <v>1604</v>
      </c>
      <c r="B962" s="376" t="s">
        <v>1609</v>
      </c>
      <c r="C962" s="376" t="s">
        <v>1054</v>
      </c>
      <c r="D962" s="376">
        <v>2021</v>
      </c>
      <c r="E962" s="376">
        <v>2023</v>
      </c>
      <c r="F962" s="376">
        <v>1</v>
      </c>
      <c r="G962" s="376">
        <v>10872.741503138899</v>
      </c>
      <c r="H962" s="376">
        <v>0</v>
      </c>
      <c r="I962" s="376">
        <v>1</v>
      </c>
    </row>
    <row r="963" spans="1:9" x14ac:dyDescent="0.35">
      <c r="A963" s="376" t="s">
        <v>1604</v>
      </c>
      <c r="B963" s="376" t="s">
        <v>1609</v>
      </c>
      <c r="C963" s="376" t="s">
        <v>1046</v>
      </c>
      <c r="D963" s="376">
        <v>2021</v>
      </c>
      <c r="E963" s="376">
        <v>2024</v>
      </c>
      <c r="F963" s="376">
        <v>1</v>
      </c>
      <c r="G963" s="376">
        <v>10872.741503138899</v>
      </c>
      <c r="H963" s="376">
        <v>0</v>
      </c>
      <c r="I963" s="376">
        <v>1</v>
      </c>
    </row>
    <row r="964" spans="1:9" x14ac:dyDescent="0.35">
      <c r="A964" s="376" t="s">
        <v>1604</v>
      </c>
      <c r="B964" s="376" t="s">
        <v>1609</v>
      </c>
      <c r="C964" s="376" t="s">
        <v>644</v>
      </c>
      <c r="D964" s="376">
        <v>2021</v>
      </c>
      <c r="E964" s="376">
        <v>2024</v>
      </c>
      <c r="F964" s="376">
        <v>1</v>
      </c>
      <c r="G964" s="376">
        <v>10872.741503138899</v>
      </c>
      <c r="H964" s="376">
        <v>0</v>
      </c>
      <c r="I964" s="376">
        <v>1</v>
      </c>
    </row>
    <row r="965" spans="1:9" x14ac:dyDescent="0.35">
      <c r="A965" s="376" t="s">
        <v>1604</v>
      </c>
      <c r="B965" s="376" t="s">
        <v>1609</v>
      </c>
      <c r="C965" s="376" t="s">
        <v>628</v>
      </c>
      <c r="D965" s="376">
        <v>2021</v>
      </c>
      <c r="E965" s="376">
        <v>2024</v>
      </c>
      <c r="F965" s="376">
        <v>1</v>
      </c>
      <c r="G965" s="376">
        <v>10872.741503138899</v>
      </c>
      <c r="H965" s="376">
        <v>0</v>
      </c>
      <c r="I965" s="376">
        <v>1</v>
      </c>
    </row>
    <row r="966" spans="1:9" x14ac:dyDescent="0.35">
      <c r="A966" s="376" t="s">
        <v>1604</v>
      </c>
      <c r="B966" s="376" t="s">
        <v>1609</v>
      </c>
      <c r="C966" s="376" t="s">
        <v>1051</v>
      </c>
      <c r="D966" s="376">
        <v>2021</v>
      </c>
      <c r="E966" s="376">
        <v>2024</v>
      </c>
      <c r="F966" s="376">
        <v>1</v>
      </c>
      <c r="G966" s="376">
        <v>10872.741503138899</v>
      </c>
      <c r="H966" s="376">
        <v>0</v>
      </c>
      <c r="I966" s="376">
        <v>1</v>
      </c>
    </row>
    <row r="967" spans="1:9" x14ac:dyDescent="0.35">
      <c r="A967" s="376" t="s">
        <v>1604</v>
      </c>
      <c r="B967" s="376" t="s">
        <v>1609</v>
      </c>
      <c r="C967" s="376" t="s">
        <v>1054</v>
      </c>
      <c r="D967" s="376">
        <v>2021</v>
      </c>
      <c r="E967" s="376">
        <v>2024</v>
      </c>
      <c r="F967" s="376">
        <v>1</v>
      </c>
      <c r="G967" s="376">
        <v>10872.741503138899</v>
      </c>
      <c r="H967" s="376">
        <v>0</v>
      </c>
      <c r="I967" s="376">
        <v>1</v>
      </c>
    </row>
    <row r="968" spans="1:9" x14ac:dyDescent="0.35">
      <c r="A968" s="376" t="s">
        <v>1604</v>
      </c>
      <c r="B968" s="376" t="s">
        <v>1609</v>
      </c>
      <c r="C968" s="376" t="s">
        <v>1046</v>
      </c>
      <c r="D968" s="376">
        <v>2021</v>
      </c>
      <c r="E968" s="376">
        <v>2025</v>
      </c>
      <c r="F968" s="376">
        <v>1</v>
      </c>
      <c r="G968" s="376">
        <v>10872.741503138899</v>
      </c>
      <c r="H968" s="376">
        <v>0</v>
      </c>
      <c r="I968" s="376">
        <v>1</v>
      </c>
    </row>
    <row r="969" spans="1:9" x14ac:dyDescent="0.35">
      <c r="A969" s="376" t="s">
        <v>1604</v>
      </c>
      <c r="B969" s="376" t="s">
        <v>1609</v>
      </c>
      <c r="C969" s="376" t="s">
        <v>644</v>
      </c>
      <c r="D969" s="376">
        <v>2021</v>
      </c>
      <c r="E969" s="376">
        <v>2025</v>
      </c>
      <c r="F969" s="376">
        <v>1</v>
      </c>
      <c r="G969" s="376">
        <v>10872.741503138899</v>
      </c>
      <c r="H969" s="376">
        <v>0</v>
      </c>
      <c r="I969" s="376">
        <v>1</v>
      </c>
    </row>
    <row r="970" spans="1:9" x14ac:dyDescent="0.35">
      <c r="A970" s="376" t="s">
        <v>1604</v>
      </c>
      <c r="B970" s="376" t="s">
        <v>1609</v>
      </c>
      <c r="C970" s="376" t="s">
        <v>628</v>
      </c>
      <c r="D970" s="376">
        <v>2021</v>
      </c>
      <c r="E970" s="376">
        <v>2025</v>
      </c>
      <c r="F970" s="376">
        <v>1</v>
      </c>
      <c r="G970" s="376">
        <v>10872.741503138899</v>
      </c>
      <c r="H970" s="376">
        <v>0</v>
      </c>
      <c r="I970" s="376">
        <v>1</v>
      </c>
    </row>
    <row r="971" spans="1:9" x14ac:dyDescent="0.35">
      <c r="A971" s="376" t="s">
        <v>1604</v>
      </c>
      <c r="B971" s="376" t="s">
        <v>1609</v>
      </c>
      <c r="C971" s="376" t="s">
        <v>1051</v>
      </c>
      <c r="D971" s="376">
        <v>2021</v>
      </c>
      <c r="E971" s="376">
        <v>2025</v>
      </c>
      <c r="F971" s="376">
        <v>1</v>
      </c>
      <c r="G971" s="376">
        <v>10872.741503138899</v>
      </c>
      <c r="H971" s="376">
        <v>0</v>
      </c>
      <c r="I971" s="376">
        <v>1</v>
      </c>
    </row>
    <row r="972" spans="1:9" x14ac:dyDescent="0.35">
      <c r="A972" s="376" t="s">
        <v>1604</v>
      </c>
      <c r="B972" s="376" t="s">
        <v>1609</v>
      </c>
      <c r="C972" s="376" t="s">
        <v>1054</v>
      </c>
      <c r="D972" s="376">
        <v>2021</v>
      </c>
      <c r="E972" s="376">
        <v>2025</v>
      </c>
      <c r="F972" s="376">
        <v>1</v>
      </c>
      <c r="G972" s="376">
        <v>10872.741503138899</v>
      </c>
      <c r="H972" s="376">
        <v>0</v>
      </c>
      <c r="I972" s="376">
        <v>1</v>
      </c>
    </row>
    <row r="973" spans="1:9" x14ac:dyDescent="0.35">
      <c r="A973" s="376" t="s">
        <v>1604</v>
      </c>
      <c r="B973" s="376" t="s">
        <v>1609</v>
      </c>
      <c r="C973" s="376" t="s">
        <v>1046</v>
      </c>
      <c r="D973" s="376">
        <v>2021</v>
      </c>
      <c r="E973" s="376">
        <v>2026</v>
      </c>
      <c r="F973" s="376">
        <v>1</v>
      </c>
      <c r="G973" s="376">
        <v>10872.741503138899</v>
      </c>
      <c r="H973" s="376">
        <v>0</v>
      </c>
      <c r="I973" s="376">
        <v>1</v>
      </c>
    </row>
    <row r="974" spans="1:9" x14ac:dyDescent="0.35">
      <c r="A974" s="376" t="s">
        <v>1604</v>
      </c>
      <c r="B974" s="376" t="s">
        <v>1609</v>
      </c>
      <c r="C974" s="376" t="s">
        <v>644</v>
      </c>
      <c r="D974" s="376">
        <v>2021</v>
      </c>
      <c r="E974" s="376">
        <v>2026</v>
      </c>
      <c r="F974" s="376">
        <v>1</v>
      </c>
      <c r="G974" s="376">
        <v>10872.741503138899</v>
      </c>
      <c r="H974" s="376">
        <v>0</v>
      </c>
      <c r="I974" s="376">
        <v>1</v>
      </c>
    </row>
    <row r="975" spans="1:9" x14ac:dyDescent="0.35">
      <c r="A975" s="376" t="s">
        <v>1604</v>
      </c>
      <c r="B975" s="376" t="s">
        <v>1609</v>
      </c>
      <c r="C975" s="376" t="s">
        <v>628</v>
      </c>
      <c r="D975" s="376">
        <v>2021</v>
      </c>
      <c r="E975" s="376">
        <v>2026</v>
      </c>
      <c r="F975" s="376">
        <v>1</v>
      </c>
      <c r="G975" s="376">
        <v>10872.741503138899</v>
      </c>
      <c r="H975" s="376">
        <v>0</v>
      </c>
      <c r="I975" s="376">
        <v>1</v>
      </c>
    </row>
    <row r="976" spans="1:9" x14ac:dyDescent="0.35">
      <c r="A976" s="376" t="s">
        <v>1604</v>
      </c>
      <c r="B976" s="376" t="s">
        <v>1609</v>
      </c>
      <c r="C976" s="376" t="s">
        <v>1051</v>
      </c>
      <c r="D976" s="376">
        <v>2021</v>
      </c>
      <c r="E976" s="376">
        <v>2026</v>
      </c>
      <c r="F976" s="376">
        <v>1</v>
      </c>
      <c r="G976" s="376">
        <v>10872.741503138899</v>
      </c>
      <c r="H976" s="376">
        <v>0</v>
      </c>
      <c r="I976" s="376">
        <v>1</v>
      </c>
    </row>
    <row r="977" spans="1:9" x14ac:dyDescent="0.35">
      <c r="A977" s="376" t="s">
        <v>1604</v>
      </c>
      <c r="B977" s="376" t="s">
        <v>1609</v>
      </c>
      <c r="C977" s="376" t="s">
        <v>1054</v>
      </c>
      <c r="D977" s="376">
        <v>2021</v>
      </c>
      <c r="E977" s="376">
        <v>2026</v>
      </c>
      <c r="F977" s="376">
        <v>1</v>
      </c>
      <c r="G977" s="376">
        <v>10872.741503138899</v>
      </c>
      <c r="H977" s="376">
        <v>0</v>
      </c>
      <c r="I977" s="376">
        <v>1</v>
      </c>
    </row>
    <row r="978" spans="1:9" x14ac:dyDescent="0.35">
      <c r="A978" s="376" t="s">
        <v>1604</v>
      </c>
      <c r="B978" s="376" t="s">
        <v>1609</v>
      </c>
      <c r="C978" s="376" t="s">
        <v>1046</v>
      </c>
      <c r="D978" s="376">
        <v>2021</v>
      </c>
      <c r="E978" s="376">
        <v>2027</v>
      </c>
      <c r="F978" s="376">
        <v>1</v>
      </c>
      <c r="G978" s="376">
        <v>10872.741503138899</v>
      </c>
      <c r="H978" s="376">
        <v>0</v>
      </c>
      <c r="I978" s="376">
        <v>1</v>
      </c>
    </row>
    <row r="979" spans="1:9" x14ac:dyDescent="0.35">
      <c r="A979" s="376" t="s">
        <v>1604</v>
      </c>
      <c r="B979" s="376" t="s">
        <v>1609</v>
      </c>
      <c r="C979" s="376" t="s">
        <v>644</v>
      </c>
      <c r="D979" s="376">
        <v>2021</v>
      </c>
      <c r="E979" s="376">
        <v>2027</v>
      </c>
      <c r="F979" s="376">
        <v>1</v>
      </c>
      <c r="G979" s="376">
        <v>10872.741503138899</v>
      </c>
      <c r="H979" s="376">
        <v>0</v>
      </c>
      <c r="I979" s="376">
        <v>1</v>
      </c>
    </row>
    <row r="980" spans="1:9" x14ac:dyDescent="0.35">
      <c r="A980" s="376" t="s">
        <v>1604</v>
      </c>
      <c r="B980" s="376" t="s">
        <v>1609</v>
      </c>
      <c r="C980" s="376" t="s">
        <v>628</v>
      </c>
      <c r="D980" s="376">
        <v>2021</v>
      </c>
      <c r="E980" s="376">
        <v>2027</v>
      </c>
      <c r="F980" s="376">
        <v>1</v>
      </c>
      <c r="G980" s="376">
        <v>10872.741503138899</v>
      </c>
      <c r="H980" s="376">
        <v>0</v>
      </c>
      <c r="I980" s="376">
        <v>1</v>
      </c>
    </row>
    <row r="981" spans="1:9" x14ac:dyDescent="0.35">
      <c r="A981" s="376" t="s">
        <v>1604</v>
      </c>
      <c r="B981" s="376" t="s">
        <v>1609</v>
      </c>
      <c r="C981" s="376" t="s">
        <v>1051</v>
      </c>
      <c r="D981" s="376">
        <v>2021</v>
      </c>
      <c r="E981" s="376">
        <v>2027</v>
      </c>
      <c r="F981" s="376">
        <v>1</v>
      </c>
      <c r="G981" s="376">
        <v>10872.741503138899</v>
      </c>
      <c r="H981" s="376">
        <v>0</v>
      </c>
      <c r="I981" s="376">
        <v>1</v>
      </c>
    </row>
    <row r="982" spans="1:9" x14ac:dyDescent="0.35">
      <c r="A982" s="376" t="s">
        <v>1604</v>
      </c>
      <c r="B982" s="376" t="s">
        <v>1609</v>
      </c>
      <c r="C982" s="376" t="s">
        <v>1054</v>
      </c>
      <c r="D982" s="376">
        <v>2021</v>
      </c>
      <c r="E982" s="376">
        <v>2027</v>
      </c>
      <c r="F982" s="376">
        <v>1</v>
      </c>
      <c r="G982" s="376">
        <v>10872.741503138899</v>
      </c>
      <c r="H982" s="376">
        <v>0</v>
      </c>
      <c r="I982" s="376">
        <v>1</v>
      </c>
    </row>
    <row r="983" spans="1:9" x14ac:dyDescent="0.35">
      <c r="A983" s="376" t="s">
        <v>1604</v>
      </c>
      <c r="B983" s="376" t="s">
        <v>1609</v>
      </c>
      <c r="C983" s="376" t="s">
        <v>1046</v>
      </c>
      <c r="D983" s="376">
        <v>2021</v>
      </c>
      <c r="E983" s="376">
        <v>2028</v>
      </c>
      <c r="F983" s="376">
        <v>1</v>
      </c>
      <c r="G983" s="376">
        <v>10872.741503138899</v>
      </c>
      <c r="H983" s="376">
        <v>0</v>
      </c>
      <c r="I983" s="376">
        <v>1</v>
      </c>
    </row>
    <row r="984" spans="1:9" x14ac:dyDescent="0.35">
      <c r="A984" s="376" t="s">
        <v>1604</v>
      </c>
      <c r="B984" s="376" t="s">
        <v>1609</v>
      </c>
      <c r="C984" s="376" t="s">
        <v>644</v>
      </c>
      <c r="D984" s="376">
        <v>2021</v>
      </c>
      <c r="E984" s="376">
        <v>2028</v>
      </c>
      <c r="F984" s="376">
        <v>1</v>
      </c>
      <c r="G984" s="376">
        <v>10872.741503138899</v>
      </c>
      <c r="H984" s="376">
        <v>0</v>
      </c>
      <c r="I984" s="376">
        <v>1</v>
      </c>
    </row>
    <row r="985" spans="1:9" x14ac:dyDescent="0.35">
      <c r="A985" s="376" t="s">
        <v>1604</v>
      </c>
      <c r="B985" s="376" t="s">
        <v>1609</v>
      </c>
      <c r="C985" s="376" t="s">
        <v>628</v>
      </c>
      <c r="D985" s="376">
        <v>2021</v>
      </c>
      <c r="E985" s="376">
        <v>2028</v>
      </c>
      <c r="F985" s="376">
        <v>1</v>
      </c>
      <c r="G985" s="376">
        <v>10872.741503138899</v>
      </c>
      <c r="H985" s="376">
        <v>0</v>
      </c>
      <c r="I985" s="376">
        <v>1</v>
      </c>
    </row>
    <row r="986" spans="1:9" x14ac:dyDescent="0.35">
      <c r="A986" s="376" t="s">
        <v>1604</v>
      </c>
      <c r="B986" s="376" t="s">
        <v>1609</v>
      </c>
      <c r="C986" s="376" t="s">
        <v>1051</v>
      </c>
      <c r="D986" s="376">
        <v>2021</v>
      </c>
      <c r="E986" s="376">
        <v>2028</v>
      </c>
      <c r="F986" s="376">
        <v>1</v>
      </c>
      <c r="G986" s="376">
        <v>10872.741503138899</v>
      </c>
      <c r="H986" s="376">
        <v>0</v>
      </c>
      <c r="I986" s="376">
        <v>1</v>
      </c>
    </row>
    <row r="987" spans="1:9" x14ac:dyDescent="0.35">
      <c r="A987" s="376" t="s">
        <v>1604</v>
      </c>
      <c r="B987" s="376" t="s">
        <v>1609</v>
      </c>
      <c r="C987" s="376" t="s">
        <v>1054</v>
      </c>
      <c r="D987" s="376">
        <v>2021</v>
      </c>
      <c r="E987" s="376">
        <v>2028</v>
      </c>
      <c r="F987" s="376">
        <v>1</v>
      </c>
      <c r="G987" s="376">
        <v>10872.741503138899</v>
      </c>
      <c r="H987" s="376">
        <v>0</v>
      </c>
      <c r="I987" s="376">
        <v>1</v>
      </c>
    </row>
    <row r="988" spans="1:9" x14ac:dyDescent="0.35">
      <c r="A988" s="376" t="s">
        <v>1604</v>
      </c>
      <c r="B988" s="376" t="s">
        <v>1609</v>
      </c>
      <c r="C988" s="376" t="s">
        <v>1046</v>
      </c>
      <c r="D988" s="376">
        <v>2021</v>
      </c>
      <c r="E988" s="376">
        <v>2029</v>
      </c>
      <c r="F988" s="376">
        <v>1</v>
      </c>
      <c r="G988" s="376">
        <v>10872.741503138899</v>
      </c>
      <c r="H988" s="376">
        <v>0</v>
      </c>
      <c r="I988" s="376">
        <v>1</v>
      </c>
    </row>
    <row r="989" spans="1:9" x14ac:dyDescent="0.35">
      <c r="A989" s="376" t="s">
        <v>1604</v>
      </c>
      <c r="B989" s="376" t="s">
        <v>1609</v>
      </c>
      <c r="C989" s="376" t="s">
        <v>644</v>
      </c>
      <c r="D989" s="376">
        <v>2021</v>
      </c>
      <c r="E989" s="376">
        <v>2029</v>
      </c>
      <c r="F989" s="376">
        <v>1</v>
      </c>
      <c r="G989" s="376">
        <v>10872.741503138899</v>
      </c>
      <c r="H989" s="376">
        <v>0</v>
      </c>
      <c r="I989" s="376">
        <v>1</v>
      </c>
    </row>
    <row r="990" spans="1:9" x14ac:dyDescent="0.35">
      <c r="A990" s="376" t="s">
        <v>1604</v>
      </c>
      <c r="B990" s="376" t="s">
        <v>1609</v>
      </c>
      <c r="C990" s="376" t="s">
        <v>628</v>
      </c>
      <c r="D990" s="376">
        <v>2021</v>
      </c>
      <c r="E990" s="376">
        <v>2029</v>
      </c>
      <c r="F990" s="376">
        <v>1</v>
      </c>
      <c r="G990" s="376">
        <v>10872.741503138899</v>
      </c>
      <c r="H990" s="376">
        <v>0</v>
      </c>
      <c r="I990" s="376">
        <v>1</v>
      </c>
    </row>
    <row r="991" spans="1:9" x14ac:dyDescent="0.35">
      <c r="A991" s="376" t="s">
        <v>1604</v>
      </c>
      <c r="B991" s="376" t="s">
        <v>1609</v>
      </c>
      <c r="C991" s="376" t="s">
        <v>1051</v>
      </c>
      <c r="D991" s="376">
        <v>2021</v>
      </c>
      <c r="E991" s="376">
        <v>2029</v>
      </c>
      <c r="F991" s="376">
        <v>1</v>
      </c>
      <c r="G991" s="376">
        <v>10872.741503138899</v>
      </c>
      <c r="H991" s="376">
        <v>0</v>
      </c>
      <c r="I991" s="376">
        <v>1</v>
      </c>
    </row>
    <row r="992" spans="1:9" x14ac:dyDescent="0.35">
      <c r="A992" s="376" t="s">
        <v>1604</v>
      </c>
      <c r="B992" s="376" t="s">
        <v>1609</v>
      </c>
      <c r="C992" s="376" t="s">
        <v>1054</v>
      </c>
      <c r="D992" s="376">
        <v>2021</v>
      </c>
      <c r="E992" s="376">
        <v>2029</v>
      </c>
      <c r="F992" s="376">
        <v>1</v>
      </c>
      <c r="G992" s="376">
        <v>10872.741503138899</v>
      </c>
      <c r="H992" s="376">
        <v>0</v>
      </c>
      <c r="I992" s="376">
        <v>1</v>
      </c>
    </row>
    <row r="993" spans="1:9" x14ac:dyDescent="0.35">
      <c r="A993" s="376" t="s">
        <v>1604</v>
      </c>
      <c r="B993" s="376" t="s">
        <v>1609</v>
      </c>
      <c r="C993" s="376" t="s">
        <v>1046</v>
      </c>
      <c r="D993" s="376">
        <v>2021</v>
      </c>
      <c r="E993" s="376">
        <v>2030</v>
      </c>
      <c r="F993" s="376">
        <v>1</v>
      </c>
      <c r="G993" s="376">
        <v>10872.741503138899</v>
      </c>
      <c r="H993" s="376">
        <v>0</v>
      </c>
      <c r="I993" s="376">
        <v>1</v>
      </c>
    </row>
    <row r="994" spans="1:9" x14ac:dyDescent="0.35">
      <c r="A994" s="376" t="s">
        <v>1604</v>
      </c>
      <c r="B994" s="376" t="s">
        <v>1609</v>
      </c>
      <c r="C994" s="376" t="s">
        <v>644</v>
      </c>
      <c r="D994" s="376">
        <v>2021</v>
      </c>
      <c r="E994" s="376">
        <v>2030</v>
      </c>
      <c r="F994" s="376">
        <v>1</v>
      </c>
      <c r="G994" s="376">
        <v>10872.741503138899</v>
      </c>
      <c r="H994" s="376">
        <v>0</v>
      </c>
      <c r="I994" s="376">
        <v>1</v>
      </c>
    </row>
    <row r="995" spans="1:9" x14ac:dyDescent="0.35">
      <c r="A995" s="376" t="s">
        <v>1604</v>
      </c>
      <c r="B995" s="376" t="s">
        <v>1609</v>
      </c>
      <c r="C995" s="376" t="s">
        <v>628</v>
      </c>
      <c r="D995" s="376">
        <v>2021</v>
      </c>
      <c r="E995" s="376">
        <v>2030</v>
      </c>
      <c r="F995" s="376">
        <v>1</v>
      </c>
      <c r="G995" s="376">
        <v>10872.741503138899</v>
      </c>
      <c r="H995" s="376">
        <v>0</v>
      </c>
      <c r="I995" s="376">
        <v>1</v>
      </c>
    </row>
    <row r="996" spans="1:9" x14ac:dyDescent="0.35">
      <c r="A996" s="376" t="s">
        <v>1604</v>
      </c>
      <c r="B996" s="376" t="s">
        <v>1609</v>
      </c>
      <c r="C996" s="376" t="s">
        <v>1051</v>
      </c>
      <c r="D996" s="376">
        <v>2021</v>
      </c>
      <c r="E996" s="376">
        <v>2030</v>
      </c>
      <c r="F996" s="376">
        <v>1</v>
      </c>
      <c r="G996" s="376">
        <v>10872.741503138899</v>
      </c>
      <c r="H996" s="376">
        <v>0</v>
      </c>
      <c r="I996" s="376">
        <v>1</v>
      </c>
    </row>
    <row r="997" spans="1:9" x14ac:dyDescent="0.35">
      <c r="A997" s="376" t="s">
        <v>1604</v>
      </c>
      <c r="B997" s="376" t="s">
        <v>1609</v>
      </c>
      <c r="C997" s="376" t="s">
        <v>1054</v>
      </c>
      <c r="D997" s="376">
        <v>2021</v>
      </c>
      <c r="E997" s="376">
        <v>2030</v>
      </c>
      <c r="F997" s="376">
        <v>1</v>
      </c>
      <c r="G997" s="376">
        <v>10872.741503138899</v>
      </c>
      <c r="H997" s="376">
        <v>0</v>
      </c>
      <c r="I997" s="376">
        <v>1</v>
      </c>
    </row>
    <row r="998" spans="1:9" x14ac:dyDescent="0.35">
      <c r="A998" s="376" t="s">
        <v>1604</v>
      </c>
      <c r="B998" s="376" t="s">
        <v>1609</v>
      </c>
      <c r="C998" s="376" t="s">
        <v>1046</v>
      </c>
      <c r="D998" s="376">
        <v>2021</v>
      </c>
      <c r="E998" s="376">
        <v>2031</v>
      </c>
      <c r="F998" s="376">
        <v>1</v>
      </c>
      <c r="G998" s="376">
        <v>10872.741503138899</v>
      </c>
      <c r="H998" s="376">
        <v>0</v>
      </c>
      <c r="I998" s="376">
        <v>1</v>
      </c>
    </row>
    <row r="999" spans="1:9" x14ac:dyDescent="0.35">
      <c r="A999" s="376" t="s">
        <v>1604</v>
      </c>
      <c r="B999" s="376" t="s">
        <v>1609</v>
      </c>
      <c r="C999" s="376" t="s">
        <v>644</v>
      </c>
      <c r="D999" s="376">
        <v>2021</v>
      </c>
      <c r="E999" s="376">
        <v>2031</v>
      </c>
      <c r="F999" s="376">
        <v>1</v>
      </c>
      <c r="G999" s="376">
        <v>10872.741503138899</v>
      </c>
      <c r="H999" s="376">
        <v>0</v>
      </c>
      <c r="I999" s="376">
        <v>1</v>
      </c>
    </row>
    <row r="1000" spans="1:9" x14ac:dyDescent="0.35">
      <c r="A1000" s="376" t="s">
        <v>1604</v>
      </c>
      <c r="B1000" s="376" t="s">
        <v>1609</v>
      </c>
      <c r="C1000" s="376" t="s">
        <v>628</v>
      </c>
      <c r="D1000" s="376">
        <v>2021</v>
      </c>
      <c r="E1000" s="376">
        <v>2031</v>
      </c>
      <c r="F1000" s="376">
        <v>1</v>
      </c>
      <c r="G1000" s="376">
        <v>10872.741503138899</v>
      </c>
      <c r="H1000" s="376">
        <v>0</v>
      </c>
      <c r="I1000" s="376">
        <v>1</v>
      </c>
    </row>
    <row r="1001" spans="1:9" x14ac:dyDescent="0.35">
      <c r="A1001" s="376" t="s">
        <v>1604</v>
      </c>
      <c r="B1001" s="376" t="s">
        <v>1609</v>
      </c>
      <c r="C1001" s="376" t="s">
        <v>1051</v>
      </c>
      <c r="D1001" s="376">
        <v>2021</v>
      </c>
      <c r="E1001" s="376">
        <v>2031</v>
      </c>
      <c r="F1001" s="376">
        <v>1</v>
      </c>
      <c r="G1001" s="376">
        <v>10872.741503138899</v>
      </c>
      <c r="H1001" s="376">
        <v>0</v>
      </c>
      <c r="I1001" s="376">
        <v>1</v>
      </c>
    </row>
    <row r="1002" spans="1:9" x14ac:dyDescent="0.35">
      <c r="A1002" s="376" t="s">
        <v>1604</v>
      </c>
      <c r="B1002" s="376" t="s">
        <v>1609</v>
      </c>
      <c r="C1002" s="376" t="s">
        <v>1054</v>
      </c>
      <c r="D1002" s="376">
        <v>2021</v>
      </c>
      <c r="E1002" s="376">
        <v>2031</v>
      </c>
      <c r="F1002" s="376">
        <v>1</v>
      </c>
      <c r="G1002" s="376">
        <v>10872.741503138899</v>
      </c>
      <c r="H1002" s="376">
        <v>0</v>
      </c>
      <c r="I1002" s="376">
        <v>1</v>
      </c>
    </row>
    <row r="1003" spans="1:9" x14ac:dyDescent="0.35">
      <c r="A1003" s="376" t="s">
        <v>1615</v>
      </c>
      <c r="B1003" s="376" t="s">
        <v>1609</v>
      </c>
      <c r="C1003" s="376" t="s">
        <v>1046</v>
      </c>
      <c r="D1003" s="376">
        <v>2021</v>
      </c>
      <c r="E1003" s="376">
        <v>2021</v>
      </c>
      <c r="F1003" s="376">
        <v>1</v>
      </c>
      <c r="G1003" s="376">
        <v>20148.813739673951</v>
      </c>
      <c r="H1003" s="376">
        <v>0</v>
      </c>
      <c r="I1003" s="376">
        <v>0.65716939790195539</v>
      </c>
    </row>
    <row r="1004" spans="1:9" x14ac:dyDescent="0.35">
      <c r="A1004" s="376" t="s">
        <v>1615</v>
      </c>
      <c r="B1004" s="376" t="s">
        <v>1609</v>
      </c>
      <c r="C1004" s="376" t="s">
        <v>644</v>
      </c>
      <c r="D1004" s="376">
        <v>2021</v>
      </c>
      <c r="E1004" s="376">
        <v>2021</v>
      </c>
      <c r="F1004" s="376">
        <v>1</v>
      </c>
      <c r="G1004" s="376">
        <v>20148.813739673951</v>
      </c>
      <c r="H1004" s="376">
        <v>0</v>
      </c>
      <c r="I1004" s="376">
        <v>0.65716939790195539</v>
      </c>
    </row>
    <row r="1005" spans="1:9" x14ac:dyDescent="0.35">
      <c r="A1005" s="376" t="s">
        <v>1615</v>
      </c>
      <c r="B1005" s="376" t="s">
        <v>1609</v>
      </c>
      <c r="C1005" s="376" t="s">
        <v>628</v>
      </c>
      <c r="D1005" s="376">
        <v>2021</v>
      </c>
      <c r="E1005" s="376">
        <v>2021</v>
      </c>
      <c r="F1005" s="376">
        <v>1</v>
      </c>
      <c r="G1005" s="376">
        <v>20148.813739673951</v>
      </c>
      <c r="H1005" s="376">
        <v>0</v>
      </c>
      <c r="I1005" s="376">
        <v>0.65716939790195539</v>
      </c>
    </row>
    <row r="1006" spans="1:9" x14ac:dyDescent="0.35">
      <c r="A1006" s="376" t="s">
        <v>1615</v>
      </c>
      <c r="B1006" s="376" t="s">
        <v>1609</v>
      </c>
      <c r="C1006" s="376" t="s">
        <v>1051</v>
      </c>
      <c r="D1006" s="376">
        <v>2021</v>
      </c>
      <c r="E1006" s="376">
        <v>2021</v>
      </c>
      <c r="F1006" s="376">
        <v>1</v>
      </c>
      <c r="G1006" s="376">
        <v>20148.813739673951</v>
      </c>
      <c r="H1006" s="376">
        <v>0</v>
      </c>
      <c r="I1006" s="376">
        <v>0.65716939790195539</v>
      </c>
    </row>
    <row r="1007" spans="1:9" x14ac:dyDescent="0.35">
      <c r="A1007" s="376" t="s">
        <v>1615</v>
      </c>
      <c r="B1007" s="376" t="s">
        <v>1609</v>
      </c>
      <c r="C1007" s="376" t="s">
        <v>1054</v>
      </c>
      <c r="D1007" s="376">
        <v>2021</v>
      </c>
      <c r="E1007" s="376">
        <v>2021</v>
      </c>
      <c r="F1007" s="376">
        <v>1</v>
      </c>
      <c r="G1007" s="376">
        <v>20148.813739673951</v>
      </c>
      <c r="H1007" s="376">
        <v>0</v>
      </c>
      <c r="I1007" s="376">
        <v>0.65716939790195539</v>
      </c>
    </row>
    <row r="1008" spans="1:9" x14ac:dyDescent="0.35">
      <c r="A1008" s="376" t="s">
        <v>1615</v>
      </c>
      <c r="B1008" s="376" t="s">
        <v>1609</v>
      </c>
      <c r="C1008" s="376" t="s">
        <v>1046</v>
      </c>
      <c r="D1008" s="376">
        <v>2021</v>
      </c>
      <c r="E1008" s="376">
        <v>2022</v>
      </c>
      <c r="F1008" s="376">
        <v>1</v>
      </c>
      <c r="G1008" s="376">
        <v>20148.813739673951</v>
      </c>
      <c r="H1008" s="376">
        <v>0</v>
      </c>
      <c r="I1008" s="376">
        <v>0.65716939790195539</v>
      </c>
    </row>
    <row r="1009" spans="1:9" x14ac:dyDescent="0.35">
      <c r="A1009" s="376" t="s">
        <v>1615</v>
      </c>
      <c r="B1009" s="376" t="s">
        <v>1609</v>
      </c>
      <c r="C1009" s="376" t="s">
        <v>644</v>
      </c>
      <c r="D1009" s="376">
        <v>2021</v>
      </c>
      <c r="E1009" s="376">
        <v>2022</v>
      </c>
      <c r="F1009" s="376">
        <v>1</v>
      </c>
      <c r="G1009" s="376">
        <v>20148.813739673951</v>
      </c>
      <c r="H1009" s="376">
        <v>0</v>
      </c>
      <c r="I1009" s="376">
        <v>0.65716939790195539</v>
      </c>
    </row>
    <row r="1010" spans="1:9" x14ac:dyDescent="0.35">
      <c r="A1010" s="376" t="s">
        <v>1615</v>
      </c>
      <c r="B1010" s="376" t="s">
        <v>1609</v>
      </c>
      <c r="C1010" s="376" t="s">
        <v>628</v>
      </c>
      <c r="D1010" s="376">
        <v>2021</v>
      </c>
      <c r="E1010" s="376">
        <v>2022</v>
      </c>
      <c r="F1010" s="376">
        <v>1</v>
      </c>
      <c r="G1010" s="376">
        <v>20148.813739673951</v>
      </c>
      <c r="H1010" s="376">
        <v>0</v>
      </c>
      <c r="I1010" s="376">
        <v>0.65716939790195539</v>
      </c>
    </row>
    <row r="1011" spans="1:9" x14ac:dyDescent="0.35">
      <c r="A1011" s="376" t="s">
        <v>1615</v>
      </c>
      <c r="B1011" s="376" t="s">
        <v>1609</v>
      </c>
      <c r="C1011" s="376" t="s">
        <v>1051</v>
      </c>
      <c r="D1011" s="376">
        <v>2021</v>
      </c>
      <c r="E1011" s="376">
        <v>2022</v>
      </c>
      <c r="F1011" s="376">
        <v>1</v>
      </c>
      <c r="G1011" s="376">
        <v>20148.813739673951</v>
      </c>
      <c r="H1011" s="376">
        <v>0</v>
      </c>
      <c r="I1011" s="376">
        <v>0.65716939790195539</v>
      </c>
    </row>
    <row r="1012" spans="1:9" x14ac:dyDescent="0.35">
      <c r="A1012" s="376" t="s">
        <v>1615</v>
      </c>
      <c r="B1012" s="376" t="s">
        <v>1609</v>
      </c>
      <c r="C1012" s="376" t="s">
        <v>1054</v>
      </c>
      <c r="D1012" s="376">
        <v>2021</v>
      </c>
      <c r="E1012" s="376">
        <v>2022</v>
      </c>
      <c r="F1012" s="376">
        <v>1</v>
      </c>
      <c r="G1012" s="376">
        <v>20148.813739673951</v>
      </c>
      <c r="H1012" s="376">
        <v>0</v>
      </c>
      <c r="I1012" s="376">
        <v>0.65716939790195539</v>
      </c>
    </row>
    <row r="1013" spans="1:9" x14ac:dyDescent="0.35">
      <c r="A1013" s="376" t="s">
        <v>1615</v>
      </c>
      <c r="B1013" s="376" t="s">
        <v>1609</v>
      </c>
      <c r="C1013" s="376" t="s">
        <v>1046</v>
      </c>
      <c r="D1013" s="376">
        <v>2021</v>
      </c>
      <c r="E1013" s="376">
        <v>2023</v>
      </c>
      <c r="F1013" s="376">
        <v>1</v>
      </c>
      <c r="G1013" s="376">
        <v>20148.813739673951</v>
      </c>
      <c r="H1013" s="376">
        <v>0</v>
      </c>
      <c r="I1013" s="376">
        <v>0.65716939790195539</v>
      </c>
    </row>
    <row r="1014" spans="1:9" x14ac:dyDescent="0.35">
      <c r="A1014" s="376" t="s">
        <v>1615</v>
      </c>
      <c r="B1014" s="376" t="s">
        <v>1609</v>
      </c>
      <c r="C1014" s="376" t="s">
        <v>644</v>
      </c>
      <c r="D1014" s="376">
        <v>2021</v>
      </c>
      <c r="E1014" s="376">
        <v>2023</v>
      </c>
      <c r="F1014" s="376">
        <v>1</v>
      </c>
      <c r="G1014" s="376">
        <v>20148.813739673951</v>
      </c>
      <c r="H1014" s="376">
        <v>0</v>
      </c>
      <c r="I1014" s="376">
        <v>0.65716939790195539</v>
      </c>
    </row>
    <row r="1015" spans="1:9" x14ac:dyDescent="0.35">
      <c r="A1015" s="376" t="s">
        <v>1615</v>
      </c>
      <c r="B1015" s="376" t="s">
        <v>1609</v>
      </c>
      <c r="C1015" s="376" t="s">
        <v>628</v>
      </c>
      <c r="D1015" s="376">
        <v>2021</v>
      </c>
      <c r="E1015" s="376">
        <v>2023</v>
      </c>
      <c r="F1015" s="376">
        <v>1</v>
      </c>
      <c r="G1015" s="376">
        <v>20148.813739673951</v>
      </c>
      <c r="H1015" s="376">
        <v>0</v>
      </c>
      <c r="I1015" s="376">
        <v>0.65716939790195539</v>
      </c>
    </row>
    <row r="1016" spans="1:9" x14ac:dyDescent="0.35">
      <c r="A1016" s="376" t="s">
        <v>1615</v>
      </c>
      <c r="B1016" s="376" t="s">
        <v>1609</v>
      </c>
      <c r="C1016" s="376" t="s">
        <v>1051</v>
      </c>
      <c r="D1016" s="376">
        <v>2021</v>
      </c>
      <c r="E1016" s="376">
        <v>2023</v>
      </c>
      <c r="F1016" s="376">
        <v>1</v>
      </c>
      <c r="G1016" s="376">
        <v>20148.813739673951</v>
      </c>
      <c r="H1016" s="376">
        <v>0</v>
      </c>
      <c r="I1016" s="376">
        <v>0.65716939790195539</v>
      </c>
    </row>
    <row r="1017" spans="1:9" x14ac:dyDescent="0.35">
      <c r="A1017" s="376" t="s">
        <v>1615</v>
      </c>
      <c r="B1017" s="376" t="s">
        <v>1609</v>
      </c>
      <c r="C1017" s="376" t="s">
        <v>1054</v>
      </c>
      <c r="D1017" s="376">
        <v>2021</v>
      </c>
      <c r="E1017" s="376">
        <v>2023</v>
      </c>
      <c r="F1017" s="376">
        <v>1</v>
      </c>
      <c r="G1017" s="376">
        <v>20148.813739673951</v>
      </c>
      <c r="H1017" s="376">
        <v>0</v>
      </c>
      <c r="I1017" s="376">
        <v>0.65716939790195539</v>
      </c>
    </row>
    <row r="1018" spans="1:9" x14ac:dyDescent="0.35">
      <c r="A1018" s="376" t="s">
        <v>1615</v>
      </c>
      <c r="B1018" s="376" t="s">
        <v>1609</v>
      </c>
      <c r="C1018" s="376" t="s">
        <v>1046</v>
      </c>
      <c r="D1018" s="376">
        <v>2021</v>
      </c>
      <c r="E1018" s="376">
        <v>2024</v>
      </c>
      <c r="F1018" s="376">
        <v>1</v>
      </c>
      <c r="G1018" s="376">
        <v>20148.813739673951</v>
      </c>
      <c r="H1018" s="376">
        <v>0</v>
      </c>
      <c r="I1018" s="376">
        <v>0.65716939790195539</v>
      </c>
    </row>
    <row r="1019" spans="1:9" x14ac:dyDescent="0.35">
      <c r="A1019" s="376" t="s">
        <v>1615</v>
      </c>
      <c r="B1019" s="376" t="s">
        <v>1609</v>
      </c>
      <c r="C1019" s="376" t="s">
        <v>644</v>
      </c>
      <c r="D1019" s="376">
        <v>2021</v>
      </c>
      <c r="E1019" s="376">
        <v>2024</v>
      </c>
      <c r="F1019" s="376">
        <v>1</v>
      </c>
      <c r="G1019" s="376">
        <v>20148.813739673951</v>
      </c>
      <c r="H1019" s="376">
        <v>0</v>
      </c>
      <c r="I1019" s="376">
        <v>0.65716939790195539</v>
      </c>
    </row>
    <row r="1020" spans="1:9" x14ac:dyDescent="0.35">
      <c r="A1020" s="376" t="s">
        <v>1615</v>
      </c>
      <c r="B1020" s="376" t="s">
        <v>1609</v>
      </c>
      <c r="C1020" s="376" t="s">
        <v>628</v>
      </c>
      <c r="D1020" s="376">
        <v>2021</v>
      </c>
      <c r="E1020" s="376">
        <v>2024</v>
      </c>
      <c r="F1020" s="376">
        <v>1</v>
      </c>
      <c r="G1020" s="376">
        <v>20148.813739673951</v>
      </c>
      <c r="H1020" s="376">
        <v>0</v>
      </c>
      <c r="I1020" s="376">
        <v>0.65716939790195539</v>
      </c>
    </row>
    <row r="1021" spans="1:9" x14ac:dyDescent="0.35">
      <c r="A1021" s="376" t="s">
        <v>1615</v>
      </c>
      <c r="B1021" s="376" t="s">
        <v>1609</v>
      </c>
      <c r="C1021" s="376" t="s">
        <v>1051</v>
      </c>
      <c r="D1021" s="376">
        <v>2021</v>
      </c>
      <c r="E1021" s="376">
        <v>2024</v>
      </c>
      <c r="F1021" s="376">
        <v>1</v>
      </c>
      <c r="G1021" s="376">
        <v>20148.813739673951</v>
      </c>
      <c r="H1021" s="376">
        <v>0</v>
      </c>
      <c r="I1021" s="376">
        <v>0.65716939790195539</v>
      </c>
    </row>
    <row r="1022" spans="1:9" x14ac:dyDescent="0.35">
      <c r="A1022" s="376" t="s">
        <v>1615</v>
      </c>
      <c r="B1022" s="376" t="s">
        <v>1609</v>
      </c>
      <c r="C1022" s="376" t="s">
        <v>1054</v>
      </c>
      <c r="D1022" s="376">
        <v>2021</v>
      </c>
      <c r="E1022" s="376">
        <v>2024</v>
      </c>
      <c r="F1022" s="376">
        <v>1</v>
      </c>
      <c r="G1022" s="376">
        <v>20148.813739673951</v>
      </c>
      <c r="H1022" s="376">
        <v>0</v>
      </c>
      <c r="I1022" s="376">
        <v>0.65716939790195539</v>
      </c>
    </row>
    <row r="1023" spans="1:9" x14ac:dyDescent="0.35">
      <c r="A1023" s="376" t="s">
        <v>1615</v>
      </c>
      <c r="B1023" s="376" t="s">
        <v>1609</v>
      </c>
      <c r="C1023" s="376" t="s">
        <v>1046</v>
      </c>
      <c r="D1023" s="376">
        <v>2021</v>
      </c>
      <c r="E1023" s="376">
        <v>2025</v>
      </c>
      <c r="F1023" s="376">
        <v>1</v>
      </c>
      <c r="G1023" s="376">
        <v>20148.813739673951</v>
      </c>
      <c r="H1023" s="376">
        <v>0</v>
      </c>
      <c r="I1023" s="376">
        <v>0.65716939790195539</v>
      </c>
    </row>
    <row r="1024" spans="1:9" x14ac:dyDescent="0.35">
      <c r="A1024" s="376" t="s">
        <v>1615</v>
      </c>
      <c r="B1024" s="376" t="s">
        <v>1609</v>
      </c>
      <c r="C1024" s="376" t="s">
        <v>644</v>
      </c>
      <c r="D1024" s="376">
        <v>2021</v>
      </c>
      <c r="E1024" s="376">
        <v>2025</v>
      </c>
      <c r="F1024" s="376">
        <v>1</v>
      </c>
      <c r="G1024" s="376">
        <v>20148.813739673951</v>
      </c>
      <c r="H1024" s="376">
        <v>0</v>
      </c>
      <c r="I1024" s="376">
        <v>0.65716939790195539</v>
      </c>
    </row>
    <row r="1025" spans="1:9" x14ac:dyDescent="0.35">
      <c r="A1025" s="376" t="s">
        <v>1615</v>
      </c>
      <c r="B1025" s="376" t="s">
        <v>1609</v>
      </c>
      <c r="C1025" s="376" t="s">
        <v>628</v>
      </c>
      <c r="D1025" s="376">
        <v>2021</v>
      </c>
      <c r="E1025" s="376">
        <v>2025</v>
      </c>
      <c r="F1025" s="376">
        <v>1</v>
      </c>
      <c r="G1025" s="376">
        <v>20148.813739673951</v>
      </c>
      <c r="H1025" s="376">
        <v>0</v>
      </c>
      <c r="I1025" s="376">
        <v>0.65716939790195539</v>
      </c>
    </row>
    <row r="1026" spans="1:9" x14ac:dyDescent="0.35">
      <c r="A1026" s="376" t="s">
        <v>1615</v>
      </c>
      <c r="B1026" s="376" t="s">
        <v>1609</v>
      </c>
      <c r="C1026" s="376" t="s">
        <v>1051</v>
      </c>
      <c r="D1026" s="376">
        <v>2021</v>
      </c>
      <c r="E1026" s="376">
        <v>2025</v>
      </c>
      <c r="F1026" s="376">
        <v>1</v>
      </c>
      <c r="G1026" s="376">
        <v>20148.813739673951</v>
      </c>
      <c r="H1026" s="376">
        <v>0</v>
      </c>
      <c r="I1026" s="376">
        <v>0.65716939790195539</v>
      </c>
    </row>
    <row r="1027" spans="1:9" x14ac:dyDescent="0.35">
      <c r="A1027" s="376" t="s">
        <v>1615</v>
      </c>
      <c r="B1027" s="376" t="s">
        <v>1609</v>
      </c>
      <c r="C1027" s="376" t="s">
        <v>1054</v>
      </c>
      <c r="D1027" s="376">
        <v>2021</v>
      </c>
      <c r="E1027" s="376">
        <v>2025</v>
      </c>
      <c r="F1027" s="376">
        <v>1</v>
      </c>
      <c r="G1027" s="376">
        <v>20148.813739673951</v>
      </c>
      <c r="H1027" s="376">
        <v>0</v>
      </c>
      <c r="I1027" s="376">
        <v>0.65716939790195539</v>
      </c>
    </row>
    <row r="1028" spans="1:9" x14ac:dyDescent="0.35">
      <c r="A1028" s="376" t="s">
        <v>1615</v>
      </c>
      <c r="B1028" s="376" t="s">
        <v>1609</v>
      </c>
      <c r="C1028" s="376" t="s">
        <v>1046</v>
      </c>
      <c r="D1028" s="376">
        <v>2021</v>
      </c>
      <c r="E1028" s="376">
        <v>2026</v>
      </c>
      <c r="F1028" s="376">
        <v>1</v>
      </c>
      <c r="G1028" s="376">
        <v>20148.813739673951</v>
      </c>
      <c r="H1028" s="376">
        <v>0</v>
      </c>
      <c r="I1028" s="376">
        <v>0.65716939790195539</v>
      </c>
    </row>
    <row r="1029" spans="1:9" x14ac:dyDescent="0.35">
      <c r="A1029" s="376" t="s">
        <v>1615</v>
      </c>
      <c r="B1029" s="376" t="s">
        <v>1609</v>
      </c>
      <c r="C1029" s="376" t="s">
        <v>644</v>
      </c>
      <c r="D1029" s="376">
        <v>2021</v>
      </c>
      <c r="E1029" s="376">
        <v>2026</v>
      </c>
      <c r="F1029" s="376">
        <v>1</v>
      </c>
      <c r="G1029" s="376">
        <v>20148.813739673951</v>
      </c>
      <c r="H1029" s="376">
        <v>0</v>
      </c>
      <c r="I1029" s="376">
        <v>0.65716939790195539</v>
      </c>
    </row>
    <row r="1030" spans="1:9" x14ac:dyDescent="0.35">
      <c r="A1030" s="376" t="s">
        <v>1615</v>
      </c>
      <c r="B1030" s="376" t="s">
        <v>1609</v>
      </c>
      <c r="C1030" s="376" t="s">
        <v>628</v>
      </c>
      <c r="D1030" s="376">
        <v>2021</v>
      </c>
      <c r="E1030" s="376">
        <v>2026</v>
      </c>
      <c r="F1030" s="376">
        <v>1</v>
      </c>
      <c r="G1030" s="376">
        <v>20148.813739673951</v>
      </c>
      <c r="H1030" s="376">
        <v>0</v>
      </c>
      <c r="I1030" s="376">
        <v>0.65716939790195539</v>
      </c>
    </row>
    <row r="1031" spans="1:9" x14ac:dyDescent="0.35">
      <c r="A1031" s="376" t="s">
        <v>1615</v>
      </c>
      <c r="B1031" s="376" t="s">
        <v>1609</v>
      </c>
      <c r="C1031" s="376" t="s">
        <v>1051</v>
      </c>
      <c r="D1031" s="376">
        <v>2021</v>
      </c>
      <c r="E1031" s="376">
        <v>2026</v>
      </c>
      <c r="F1031" s="376">
        <v>1</v>
      </c>
      <c r="G1031" s="376">
        <v>20148.813739673951</v>
      </c>
      <c r="H1031" s="376">
        <v>0</v>
      </c>
      <c r="I1031" s="376">
        <v>0.65716939790195539</v>
      </c>
    </row>
    <row r="1032" spans="1:9" x14ac:dyDescent="0.35">
      <c r="A1032" s="376" t="s">
        <v>1615</v>
      </c>
      <c r="B1032" s="376" t="s">
        <v>1609</v>
      </c>
      <c r="C1032" s="376" t="s">
        <v>1054</v>
      </c>
      <c r="D1032" s="376">
        <v>2021</v>
      </c>
      <c r="E1032" s="376">
        <v>2026</v>
      </c>
      <c r="F1032" s="376">
        <v>1</v>
      </c>
      <c r="G1032" s="376">
        <v>20148.813739673951</v>
      </c>
      <c r="H1032" s="376">
        <v>0</v>
      </c>
      <c r="I1032" s="376">
        <v>0.65716939790195539</v>
      </c>
    </row>
    <row r="1033" spans="1:9" x14ac:dyDescent="0.35">
      <c r="A1033" s="376" t="s">
        <v>1615</v>
      </c>
      <c r="B1033" s="376" t="s">
        <v>1609</v>
      </c>
      <c r="C1033" s="376" t="s">
        <v>1046</v>
      </c>
      <c r="D1033" s="376">
        <v>2021</v>
      </c>
      <c r="E1033" s="376">
        <v>2027</v>
      </c>
      <c r="F1033" s="376">
        <v>1</v>
      </c>
      <c r="G1033" s="376">
        <v>20148.813739673951</v>
      </c>
      <c r="H1033" s="376">
        <v>0</v>
      </c>
      <c r="I1033" s="376">
        <v>0.65716939790195539</v>
      </c>
    </row>
    <row r="1034" spans="1:9" x14ac:dyDescent="0.35">
      <c r="A1034" s="376" t="s">
        <v>1615</v>
      </c>
      <c r="B1034" s="376" t="s">
        <v>1609</v>
      </c>
      <c r="C1034" s="376" t="s">
        <v>644</v>
      </c>
      <c r="D1034" s="376">
        <v>2021</v>
      </c>
      <c r="E1034" s="376">
        <v>2027</v>
      </c>
      <c r="F1034" s="376">
        <v>1</v>
      </c>
      <c r="G1034" s="376">
        <v>20148.813739673951</v>
      </c>
      <c r="H1034" s="376">
        <v>0</v>
      </c>
      <c r="I1034" s="376">
        <v>0.65716939790195539</v>
      </c>
    </row>
    <row r="1035" spans="1:9" x14ac:dyDescent="0.35">
      <c r="A1035" s="376" t="s">
        <v>1615</v>
      </c>
      <c r="B1035" s="376" t="s">
        <v>1609</v>
      </c>
      <c r="C1035" s="376" t="s">
        <v>628</v>
      </c>
      <c r="D1035" s="376">
        <v>2021</v>
      </c>
      <c r="E1035" s="376">
        <v>2027</v>
      </c>
      <c r="F1035" s="376">
        <v>1</v>
      </c>
      <c r="G1035" s="376">
        <v>20148.813739673951</v>
      </c>
      <c r="H1035" s="376">
        <v>0</v>
      </c>
      <c r="I1035" s="376">
        <v>0.65716939790195539</v>
      </c>
    </row>
    <row r="1036" spans="1:9" x14ac:dyDescent="0.35">
      <c r="A1036" s="376" t="s">
        <v>1615</v>
      </c>
      <c r="B1036" s="376" t="s">
        <v>1609</v>
      </c>
      <c r="C1036" s="376" t="s">
        <v>1051</v>
      </c>
      <c r="D1036" s="376">
        <v>2021</v>
      </c>
      <c r="E1036" s="376">
        <v>2027</v>
      </c>
      <c r="F1036" s="376">
        <v>1</v>
      </c>
      <c r="G1036" s="376">
        <v>20148.813739673951</v>
      </c>
      <c r="H1036" s="376">
        <v>0</v>
      </c>
      <c r="I1036" s="376">
        <v>0.65716939790195539</v>
      </c>
    </row>
    <row r="1037" spans="1:9" x14ac:dyDescent="0.35">
      <c r="A1037" s="376" t="s">
        <v>1615</v>
      </c>
      <c r="B1037" s="376" t="s">
        <v>1609</v>
      </c>
      <c r="C1037" s="376" t="s">
        <v>1054</v>
      </c>
      <c r="D1037" s="376">
        <v>2021</v>
      </c>
      <c r="E1037" s="376">
        <v>2027</v>
      </c>
      <c r="F1037" s="376">
        <v>1</v>
      </c>
      <c r="G1037" s="376">
        <v>20148.813739673951</v>
      </c>
      <c r="H1037" s="376">
        <v>0</v>
      </c>
      <c r="I1037" s="376">
        <v>0.65716939790195539</v>
      </c>
    </row>
    <row r="1038" spans="1:9" x14ac:dyDescent="0.35">
      <c r="A1038" s="376" t="s">
        <v>1615</v>
      </c>
      <c r="B1038" s="376" t="s">
        <v>1609</v>
      </c>
      <c r="C1038" s="376" t="s">
        <v>1046</v>
      </c>
      <c r="D1038" s="376">
        <v>2021</v>
      </c>
      <c r="E1038" s="376">
        <v>2028</v>
      </c>
      <c r="F1038" s="376">
        <v>1</v>
      </c>
      <c r="G1038" s="376">
        <v>20148.813739673951</v>
      </c>
      <c r="H1038" s="376">
        <v>0</v>
      </c>
      <c r="I1038" s="376">
        <v>0.65716939790195539</v>
      </c>
    </row>
    <row r="1039" spans="1:9" x14ac:dyDescent="0.35">
      <c r="A1039" s="376" t="s">
        <v>1615</v>
      </c>
      <c r="B1039" s="376" t="s">
        <v>1609</v>
      </c>
      <c r="C1039" s="376" t="s">
        <v>644</v>
      </c>
      <c r="D1039" s="376">
        <v>2021</v>
      </c>
      <c r="E1039" s="376">
        <v>2028</v>
      </c>
      <c r="F1039" s="376">
        <v>1</v>
      </c>
      <c r="G1039" s="376">
        <v>20148.813739673951</v>
      </c>
      <c r="H1039" s="376">
        <v>0</v>
      </c>
      <c r="I1039" s="376">
        <v>0.65716939790195539</v>
      </c>
    </row>
    <row r="1040" spans="1:9" x14ac:dyDescent="0.35">
      <c r="A1040" s="376" t="s">
        <v>1615</v>
      </c>
      <c r="B1040" s="376" t="s">
        <v>1609</v>
      </c>
      <c r="C1040" s="376" t="s">
        <v>628</v>
      </c>
      <c r="D1040" s="376">
        <v>2021</v>
      </c>
      <c r="E1040" s="376">
        <v>2028</v>
      </c>
      <c r="F1040" s="376">
        <v>1</v>
      </c>
      <c r="G1040" s="376">
        <v>20148.813739673951</v>
      </c>
      <c r="H1040" s="376">
        <v>0</v>
      </c>
      <c r="I1040" s="376">
        <v>0.65716939790195539</v>
      </c>
    </row>
    <row r="1041" spans="1:9" x14ac:dyDescent="0.35">
      <c r="A1041" s="376" t="s">
        <v>1615</v>
      </c>
      <c r="B1041" s="376" t="s">
        <v>1609</v>
      </c>
      <c r="C1041" s="376" t="s">
        <v>1051</v>
      </c>
      <c r="D1041" s="376">
        <v>2021</v>
      </c>
      <c r="E1041" s="376">
        <v>2028</v>
      </c>
      <c r="F1041" s="376">
        <v>1</v>
      </c>
      <c r="G1041" s="376">
        <v>20148.813739673951</v>
      </c>
      <c r="H1041" s="376">
        <v>0</v>
      </c>
      <c r="I1041" s="376">
        <v>0.65716939790195539</v>
      </c>
    </row>
    <row r="1042" spans="1:9" x14ac:dyDescent="0.35">
      <c r="A1042" s="376" t="s">
        <v>1615</v>
      </c>
      <c r="B1042" s="376" t="s">
        <v>1609</v>
      </c>
      <c r="C1042" s="376" t="s">
        <v>1054</v>
      </c>
      <c r="D1042" s="376">
        <v>2021</v>
      </c>
      <c r="E1042" s="376">
        <v>2028</v>
      </c>
      <c r="F1042" s="376">
        <v>1</v>
      </c>
      <c r="G1042" s="376">
        <v>20148.813739673951</v>
      </c>
      <c r="H1042" s="376">
        <v>0</v>
      </c>
      <c r="I1042" s="376">
        <v>0.65716939790195539</v>
      </c>
    </row>
    <row r="1043" spans="1:9" x14ac:dyDescent="0.35">
      <c r="A1043" s="376" t="s">
        <v>1615</v>
      </c>
      <c r="B1043" s="376" t="s">
        <v>1609</v>
      </c>
      <c r="C1043" s="376" t="s">
        <v>1046</v>
      </c>
      <c r="D1043" s="376">
        <v>2021</v>
      </c>
      <c r="E1043" s="376">
        <v>2029</v>
      </c>
      <c r="F1043" s="376">
        <v>1</v>
      </c>
      <c r="G1043" s="376">
        <v>20148.813739673951</v>
      </c>
      <c r="H1043" s="376">
        <v>0</v>
      </c>
      <c r="I1043" s="376">
        <v>0.65716939790195539</v>
      </c>
    </row>
    <row r="1044" spans="1:9" x14ac:dyDescent="0.35">
      <c r="A1044" s="376" t="s">
        <v>1615</v>
      </c>
      <c r="B1044" s="376" t="s">
        <v>1609</v>
      </c>
      <c r="C1044" s="376" t="s">
        <v>644</v>
      </c>
      <c r="D1044" s="376">
        <v>2021</v>
      </c>
      <c r="E1044" s="376">
        <v>2029</v>
      </c>
      <c r="F1044" s="376">
        <v>1</v>
      </c>
      <c r="G1044" s="376">
        <v>20148.813739673951</v>
      </c>
      <c r="H1044" s="376">
        <v>0</v>
      </c>
      <c r="I1044" s="376">
        <v>0.65716939790195539</v>
      </c>
    </row>
    <row r="1045" spans="1:9" x14ac:dyDescent="0.35">
      <c r="A1045" s="376" t="s">
        <v>1615</v>
      </c>
      <c r="B1045" s="376" t="s">
        <v>1609</v>
      </c>
      <c r="C1045" s="376" t="s">
        <v>628</v>
      </c>
      <c r="D1045" s="376">
        <v>2021</v>
      </c>
      <c r="E1045" s="376">
        <v>2029</v>
      </c>
      <c r="F1045" s="376">
        <v>1</v>
      </c>
      <c r="G1045" s="376">
        <v>20148.813739673951</v>
      </c>
      <c r="H1045" s="376">
        <v>0</v>
      </c>
      <c r="I1045" s="376">
        <v>0.65716939790195539</v>
      </c>
    </row>
    <row r="1046" spans="1:9" x14ac:dyDescent="0.35">
      <c r="A1046" s="376" t="s">
        <v>1615</v>
      </c>
      <c r="B1046" s="376" t="s">
        <v>1609</v>
      </c>
      <c r="C1046" s="376" t="s">
        <v>1051</v>
      </c>
      <c r="D1046" s="376">
        <v>2021</v>
      </c>
      <c r="E1046" s="376">
        <v>2029</v>
      </c>
      <c r="F1046" s="376">
        <v>1</v>
      </c>
      <c r="G1046" s="376">
        <v>20148.813739673951</v>
      </c>
      <c r="H1046" s="376">
        <v>0</v>
      </c>
      <c r="I1046" s="376">
        <v>0.65716939790195539</v>
      </c>
    </row>
    <row r="1047" spans="1:9" x14ac:dyDescent="0.35">
      <c r="A1047" s="376" t="s">
        <v>1615</v>
      </c>
      <c r="B1047" s="376" t="s">
        <v>1609</v>
      </c>
      <c r="C1047" s="376" t="s">
        <v>1054</v>
      </c>
      <c r="D1047" s="376">
        <v>2021</v>
      </c>
      <c r="E1047" s="376">
        <v>2029</v>
      </c>
      <c r="F1047" s="376">
        <v>1</v>
      </c>
      <c r="G1047" s="376">
        <v>20148.813739673951</v>
      </c>
      <c r="H1047" s="376">
        <v>0</v>
      </c>
      <c r="I1047" s="376">
        <v>0.65716939790195539</v>
      </c>
    </row>
    <row r="1048" spans="1:9" x14ac:dyDescent="0.35">
      <c r="A1048" s="376" t="s">
        <v>1615</v>
      </c>
      <c r="B1048" s="376" t="s">
        <v>1609</v>
      </c>
      <c r="C1048" s="376" t="s">
        <v>1046</v>
      </c>
      <c r="D1048" s="376">
        <v>2021</v>
      </c>
      <c r="E1048" s="376">
        <v>2030</v>
      </c>
      <c r="F1048" s="376">
        <v>1</v>
      </c>
      <c r="G1048" s="376">
        <v>20148.813739673951</v>
      </c>
      <c r="H1048" s="376">
        <v>0</v>
      </c>
      <c r="I1048" s="376">
        <v>0.65716939790195539</v>
      </c>
    </row>
    <row r="1049" spans="1:9" x14ac:dyDescent="0.35">
      <c r="A1049" s="376" t="s">
        <v>1615</v>
      </c>
      <c r="B1049" s="376" t="s">
        <v>1609</v>
      </c>
      <c r="C1049" s="376" t="s">
        <v>644</v>
      </c>
      <c r="D1049" s="376">
        <v>2021</v>
      </c>
      <c r="E1049" s="376">
        <v>2030</v>
      </c>
      <c r="F1049" s="376">
        <v>1</v>
      </c>
      <c r="G1049" s="376">
        <v>20148.813739673951</v>
      </c>
      <c r="H1049" s="376">
        <v>0</v>
      </c>
      <c r="I1049" s="376">
        <v>0.65716939790195539</v>
      </c>
    </row>
    <row r="1050" spans="1:9" x14ac:dyDescent="0.35">
      <c r="A1050" s="376" t="s">
        <v>1615</v>
      </c>
      <c r="B1050" s="376" t="s">
        <v>1609</v>
      </c>
      <c r="C1050" s="376" t="s">
        <v>628</v>
      </c>
      <c r="D1050" s="376">
        <v>2021</v>
      </c>
      <c r="E1050" s="376">
        <v>2030</v>
      </c>
      <c r="F1050" s="376">
        <v>1</v>
      </c>
      <c r="G1050" s="376">
        <v>20148.813739673951</v>
      </c>
      <c r="H1050" s="376">
        <v>0</v>
      </c>
      <c r="I1050" s="376">
        <v>0.65716939790195539</v>
      </c>
    </row>
    <row r="1051" spans="1:9" x14ac:dyDescent="0.35">
      <c r="A1051" s="376" t="s">
        <v>1615</v>
      </c>
      <c r="B1051" s="376" t="s">
        <v>1609</v>
      </c>
      <c r="C1051" s="376" t="s">
        <v>1051</v>
      </c>
      <c r="D1051" s="376">
        <v>2021</v>
      </c>
      <c r="E1051" s="376">
        <v>2030</v>
      </c>
      <c r="F1051" s="376">
        <v>1</v>
      </c>
      <c r="G1051" s="376">
        <v>20148.813739673951</v>
      </c>
      <c r="H1051" s="376">
        <v>0</v>
      </c>
      <c r="I1051" s="376">
        <v>0.65716939790195539</v>
      </c>
    </row>
    <row r="1052" spans="1:9" x14ac:dyDescent="0.35">
      <c r="A1052" s="376" t="s">
        <v>1615</v>
      </c>
      <c r="B1052" s="376" t="s">
        <v>1609</v>
      </c>
      <c r="C1052" s="376" t="s">
        <v>1054</v>
      </c>
      <c r="D1052" s="376">
        <v>2021</v>
      </c>
      <c r="E1052" s="376">
        <v>2030</v>
      </c>
      <c r="F1052" s="376">
        <v>1</v>
      </c>
      <c r="G1052" s="376">
        <v>20148.813739673951</v>
      </c>
      <c r="H1052" s="376">
        <v>0</v>
      </c>
      <c r="I1052" s="376">
        <v>0.65716939790195539</v>
      </c>
    </row>
    <row r="1053" spans="1:9" x14ac:dyDescent="0.35">
      <c r="A1053" s="376" t="s">
        <v>1615</v>
      </c>
      <c r="B1053" s="376" t="s">
        <v>1609</v>
      </c>
      <c r="C1053" s="376" t="s">
        <v>1046</v>
      </c>
      <c r="D1053" s="376">
        <v>2021</v>
      </c>
      <c r="E1053" s="376">
        <v>2031</v>
      </c>
      <c r="F1053" s="376">
        <v>1</v>
      </c>
      <c r="G1053" s="376">
        <v>20148.813739673951</v>
      </c>
      <c r="H1053" s="376">
        <v>0</v>
      </c>
      <c r="I1053" s="376">
        <v>0.65716939790195539</v>
      </c>
    </row>
    <row r="1054" spans="1:9" x14ac:dyDescent="0.35">
      <c r="A1054" s="376" t="s">
        <v>1615</v>
      </c>
      <c r="B1054" s="376" t="s">
        <v>1609</v>
      </c>
      <c r="C1054" s="376" t="s">
        <v>644</v>
      </c>
      <c r="D1054" s="376">
        <v>2021</v>
      </c>
      <c r="E1054" s="376">
        <v>2031</v>
      </c>
      <c r="F1054" s="376">
        <v>1</v>
      </c>
      <c r="G1054" s="376">
        <v>20148.813739673951</v>
      </c>
      <c r="H1054" s="376">
        <v>0</v>
      </c>
      <c r="I1054" s="376">
        <v>0.65716939790195539</v>
      </c>
    </row>
    <row r="1055" spans="1:9" x14ac:dyDescent="0.35">
      <c r="A1055" s="376" t="s">
        <v>1615</v>
      </c>
      <c r="B1055" s="376" t="s">
        <v>1609</v>
      </c>
      <c r="C1055" s="376" t="s">
        <v>628</v>
      </c>
      <c r="D1055" s="376">
        <v>2021</v>
      </c>
      <c r="E1055" s="376">
        <v>2031</v>
      </c>
      <c r="F1055" s="376">
        <v>1</v>
      </c>
      <c r="G1055" s="376">
        <v>20148.813739673951</v>
      </c>
      <c r="H1055" s="376">
        <v>0</v>
      </c>
      <c r="I1055" s="376">
        <v>0.65716939790195539</v>
      </c>
    </row>
    <row r="1056" spans="1:9" x14ac:dyDescent="0.35">
      <c r="A1056" s="376" t="s">
        <v>1615</v>
      </c>
      <c r="B1056" s="376" t="s">
        <v>1609</v>
      </c>
      <c r="C1056" s="376" t="s">
        <v>1051</v>
      </c>
      <c r="D1056" s="376">
        <v>2021</v>
      </c>
      <c r="E1056" s="376">
        <v>2031</v>
      </c>
      <c r="F1056" s="376">
        <v>1</v>
      </c>
      <c r="G1056" s="376">
        <v>20148.813739673951</v>
      </c>
      <c r="H1056" s="376">
        <v>0</v>
      </c>
      <c r="I1056" s="376">
        <v>0.65716939790195539</v>
      </c>
    </row>
    <row r="1057" spans="1:9" x14ac:dyDescent="0.35">
      <c r="A1057" s="376" t="s">
        <v>1615</v>
      </c>
      <c r="B1057" s="376" t="s">
        <v>1609</v>
      </c>
      <c r="C1057" s="376" t="s">
        <v>1054</v>
      </c>
      <c r="D1057" s="376">
        <v>2021</v>
      </c>
      <c r="E1057" s="376">
        <v>2031</v>
      </c>
      <c r="F1057" s="376">
        <v>1</v>
      </c>
      <c r="G1057" s="376">
        <v>20148.813739673951</v>
      </c>
      <c r="H1057" s="376">
        <v>0</v>
      </c>
      <c r="I1057" s="376">
        <v>0.65716939790195539</v>
      </c>
    </row>
    <row r="1058" spans="1:9" x14ac:dyDescent="0.35">
      <c r="A1058" s="376" t="s">
        <v>1603</v>
      </c>
      <c r="B1058" s="376" t="s">
        <v>1609</v>
      </c>
      <c r="C1058" s="376" t="s">
        <v>1046</v>
      </c>
      <c r="D1058" s="376">
        <v>2021</v>
      </c>
      <c r="E1058" s="376">
        <v>2021</v>
      </c>
      <c r="F1058" s="376">
        <v>1</v>
      </c>
      <c r="G1058" s="376">
        <v>6101.463203368502</v>
      </c>
      <c r="H1058" s="376">
        <v>0</v>
      </c>
      <c r="I1058" s="376">
        <v>1</v>
      </c>
    </row>
    <row r="1059" spans="1:9" x14ac:dyDescent="0.35">
      <c r="A1059" s="376" t="s">
        <v>1603</v>
      </c>
      <c r="B1059" s="376" t="s">
        <v>1609</v>
      </c>
      <c r="C1059" s="376" t="s">
        <v>644</v>
      </c>
      <c r="D1059" s="376">
        <v>2021</v>
      </c>
      <c r="E1059" s="376">
        <v>2021</v>
      </c>
      <c r="F1059" s="376">
        <v>1</v>
      </c>
      <c r="G1059" s="376">
        <v>6101.463203368502</v>
      </c>
      <c r="H1059" s="376">
        <v>0</v>
      </c>
      <c r="I1059" s="376">
        <v>1</v>
      </c>
    </row>
    <row r="1060" spans="1:9" x14ac:dyDescent="0.35">
      <c r="A1060" s="376" t="s">
        <v>1603</v>
      </c>
      <c r="B1060" s="376" t="s">
        <v>1609</v>
      </c>
      <c r="C1060" s="376" t="s">
        <v>628</v>
      </c>
      <c r="D1060" s="376">
        <v>2021</v>
      </c>
      <c r="E1060" s="376">
        <v>2021</v>
      </c>
      <c r="F1060" s="376">
        <v>1</v>
      </c>
      <c r="G1060" s="376">
        <v>6101.463203368502</v>
      </c>
      <c r="H1060" s="376">
        <v>0</v>
      </c>
      <c r="I1060" s="376">
        <v>1</v>
      </c>
    </row>
    <row r="1061" spans="1:9" x14ac:dyDescent="0.35">
      <c r="A1061" s="376" t="s">
        <v>1603</v>
      </c>
      <c r="B1061" s="376" t="s">
        <v>1609</v>
      </c>
      <c r="C1061" s="376" t="s">
        <v>1051</v>
      </c>
      <c r="D1061" s="376">
        <v>2021</v>
      </c>
      <c r="E1061" s="376">
        <v>2021</v>
      </c>
      <c r="F1061" s="376">
        <v>1</v>
      </c>
      <c r="G1061" s="376">
        <v>6101.463203368502</v>
      </c>
      <c r="H1061" s="376">
        <v>0</v>
      </c>
      <c r="I1061" s="376">
        <v>1</v>
      </c>
    </row>
    <row r="1062" spans="1:9" x14ac:dyDescent="0.35">
      <c r="A1062" s="376" t="s">
        <v>1603</v>
      </c>
      <c r="B1062" s="376" t="s">
        <v>1609</v>
      </c>
      <c r="C1062" s="376" t="s">
        <v>1054</v>
      </c>
      <c r="D1062" s="376">
        <v>2021</v>
      </c>
      <c r="E1062" s="376">
        <v>2021</v>
      </c>
      <c r="F1062" s="376">
        <v>1</v>
      </c>
      <c r="G1062" s="376">
        <v>6101.463203368502</v>
      </c>
      <c r="H1062" s="376">
        <v>0</v>
      </c>
      <c r="I1062" s="376">
        <v>1</v>
      </c>
    </row>
    <row r="1063" spans="1:9" x14ac:dyDescent="0.35">
      <c r="A1063" s="376" t="s">
        <v>1603</v>
      </c>
      <c r="B1063" s="376" t="s">
        <v>1609</v>
      </c>
      <c r="C1063" s="376" t="s">
        <v>1046</v>
      </c>
      <c r="D1063" s="376">
        <v>2021</v>
      </c>
      <c r="E1063" s="376">
        <v>2022</v>
      </c>
      <c r="F1063" s="376">
        <v>1</v>
      </c>
      <c r="G1063" s="376">
        <v>6101.463203368502</v>
      </c>
      <c r="H1063" s="376">
        <v>0</v>
      </c>
      <c r="I1063" s="376">
        <v>1</v>
      </c>
    </row>
    <row r="1064" spans="1:9" x14ac:dyDescent="0.35">
      <c r="A1064" s="376" t="s">
        <v>1603</v>
      </c>
      <c r="B1064" s="376" t="s">
        <v>1609</v>
      </c>
      <c r="C1064" s="376" t="s">
        <v>644</v>
      </c>
      <c r="D1064" s="376">
        <v>2021</v>
      </c>
      <c r="E1064" s="376">
        <v>2022</v>
      </c>
      <c r="F1064" s="376">
        <v>1</v>
      </c>
      <c r="G1064" s="376">
        <v>6101.463203368502</v>
      </c>
      <c r="H1064" s="376">
        <v>0</v>
      </c>
      <c r="I1064" s="376">
        <v>1</v>
      </c>
    </row>
    <row r="1065" spans="1:9" x14ac:dyDescent="0.35">
      <c r="A1065" s="376" t="s">
        <v>1603</v>
      </c>
      <c r="B1065" s="376" t="s">
        <v>1609</v>
      </c>
      <c r="C1065" s="376" t="s">
        <v>628</v>
      </c>
      <c r="D1065" s="376">
        <v>2021</v>
      </c>
      <c r="E1065" s="376">
        <v>2022</v>
      </c>
      <c r="F1065" s="376">
        <v>1</v>
      </c>
      <c r="G1065" s="376">
        <v>6101.463203368502</v>
      </c>
      <c r="H1065" s="376">
        <v>0</v>
      </c>
      <c r="I1065" s="376">
        <v>1</v>
      </c>
    </row>
    <row r="1066" spans="1:9" x14ac:dyDescent="0.35">
      <c r="A1066" s="376" t="s">
        <v>1603</v>
      </c>
      <c r="B1066" s="376" t="s">
        <v>1609</v>
      </c>
      <c r="C1066" s="376" t="s">
        <v>1051</v>
      </c>
      <c r="D1066" s="376">
        <v>2021</v>
      </c>
      <c r="E1066" s="376">
        <v>2022</v>
      </c>
      <c r="F1066" s="376">
        <v>1</v>
      </c>
      <c r="G1066" s="376">
        <v>6101.463203368502</v>
      </c>
      <c r="H1066" s="376">
        <v>0</v>
      </c>
      <c r="I1066" s="376">
        <v>1</v>
      </c>
    </row>
    <row r="1067" spans="1:9" x14ac:dyDescent="0.35">
      <c r="A1067" s="376" t="s">
        <v>1603</v>
      </c>
      <c r="B1067" s="376" t="s">
        <v>1609</v>
      </c>
      <c r="C1067" s="376" t="s">
        <v>1054</v>
      </c>
      <c r="D1067" s="376">
        <v>2021</v>
      </c>
      <c r="E1067" s="376">
        <v>2022</v>
      </c>
      <c r="F1067" s="376">
        <v>1</v>
      </c>
      <c r="G1067" s="376">
        <v>6101.463203368502</v>
      </c>
      <c r="H1067" s="376">
        <v>0</v>
      </c>
      <c r="I1067" s="376">
        <v>1</v>
      </c>
    </row>
    <row r="1068" spans="1:9" x14ac:dyDescent="0.35">
      <c r="A1068" s="376" t="s">
        <v>1603</v>
      </c>
      <c r="B1068" s="376" t="s">
        <v>1609</v>
      </c>
      <c r="C1068" s="376" t="s">
        <v>1046</v>
      </c>
      <c r="D1068" s="376">
        <v>2021</v>
      </c>
      <c r="E1068" s="376">
        <v>2023</v>
      </c>
      <c r="F1068" s="376">
        <v>1</v>
      </c>
      <c r="G1068" s="376">
        <v>6101.463203368502</v>
      </c>
      <c r="H1068" s="376">
        <v>0</v>
      </c>
      <c r="I1068" s="376">
        <v>1</v>
      </c>
    </row>
    <row r="1069" spans="1:9" x14ac:dyDescent="0.35">
      <c r="A1069" s="376" t="s">
        <v>1603</v>
      </c>
      <c r="B1069" s="376" t="s">
        <v>1609</v>
      </c>
      <c r="C1069" s="376" t="s">
        <v>644</v>
      </c>
      <c r="D1069" s="376">
        <v>2021</v>
      </c>
      <c r="E1069" s="376">
        <v>2023</v>
      </c>
      <c r="F1069" s="376">
        <v>1</v>
      </c>
      <c r="G1069" s="376">
        <v>6101.463203368502</v>
      </c>
      <c r="H1069" s="376">
        <v>0</v>
      </c>
      <c r="I1069" s="376">
        <v>1</v>
      </c>
    </row>
    <row r="1070" spans="1:9" x14ac:dyDescent="0.35">
      <c r="A1070" s="376" t="s">
        <v>1603</v>
      </c>
      <c r="B1070" s="376" t="s">
        <v>1609</v>
      </c>
      <c r="C1070" s="376" t="s">
        <v>628</v>
      </c>
      <c r="D1070" s="376">
        <v>2021</v>
      </c>
      <c r="E1070" s="376">
        <v>2023</v>
      </c>
      <c r="F1070" s="376">
        <v>1</v>
      </c>
      <c r="G1070" s="376">
        <v>6101.463203368502</v>
      </c>
      <c r="H1070" s="376">
        <v>0</v>
      </c>
      <c r="I1070" s="376">
        <v>1</v>
      </c>
    </row>
    <row r="1071" spans="1:9" x14ac:dyDescent="0.35">
      <c r="A1071" s="376" t="s">
        <v>1603</v>
      </c>
      <c r="B1071" s="376" t="s">
        <v>1609</v>
      </c>
      <c r="C1071" s="376" t="s">
        <v>1051</v>
      </c>
      <c r="D1071" s="376">
        <v>2021</v>
      </c>
      <c r="E1071" s="376">
        <v>2023</v>
      </c>
      <c r="F1071" s="376">
        <v>1</v>
      </c>
      <c r="G1071" s="376">
        <v>6101.463203368502</v>
      </c>
      <c r="H1071" s="376">
        <v>0</v>
      </c>
      <c r="I1071" s="376">
        <v>1</v>
      </c>
    </row>
    <row r="1072" spans="1:9" x14ac:dyDescent="0.35">
      <c r="A1072" s="376" t="s">
        <v>1603</v>
      </c>
      <c r="B1072" s="376" t="s">
        <v>1609</v>
      </c>
      <c r="C1072" s="376" t="s">
        <v>1054</v>
      </c>
      <c r="D1072" s="376">
        <v>2021</v>
      </c>
      <c r="E1072" s="376">
        <v>2023</v>
      </c>
      <c r="F1072" s="376">
        <v>1</v>
      </c>
      <c r="G1072" s="376">
        <v>6101.463203368502</v>
      </c>
      <c r="H1072" s="376">
        <v>0</v>
      </c>
      <c r="I1072" s="376">
        <v>1</v>
      </c>
    </row>
    <row r="1073" spans="1:9" x14ac:dyDescent="0.35">
      <c r="A1073" s="376" t="s">
        <v>1603</v>
      </c>
      <c r="B1073" s="376" t="s">
        <v>1609</v>
      </c>
      <c r="C1073" s="376" t="s">
        <v>1046</v>
      </c>
      <c r="D1073" s="376">
        <v>2021</v>
      </c>
      <c r="E1073" s="376">
        <v>2024</v>
      </c>
      <c r="F1073" s="376">
        <v>1</v>
      </c>
      <c r="G1073" s="376">
        <v>6101.463203368502</v>
      </c>
      <c r="H1073" s="376">
        <v>0</v>
      </c>
      <c r="I1073" s="376">
        <v>1</v>
      </c>
    </row>
    <row r="1074" spans="1:9" x14ac:dyDescent="0.35">
      <c r="A1074" s="376" t="s">
        <v>1603</v>
      </c>
      <c r="B1074" s="376" t="s">
        <v>1609</v>
      </c>
      <c r="C1074" s="376" t="s">
        <v>644</v>
      </c>
      <c r="D1074" s="376">
        <v>2021</v>
      </c>
      <c r="E1074" s="376">
        <v>2024</v>
      </c>
      <c r="F1074" s="376">
        <v>1</v>
      </c>
      <c r="G1074" s="376">
        <v>6101.463203368502</v>
      </c>
      <c r="H1074" s="376">
        <v>0</v>
      </c>
      <c r="I1074" s="376">
        <v>1</v>
      </c>
    </row>
    <row r="1075" spans="1:9" x14ac:dyDescent="0.35">
      <c r="A1075" s="376" t="s">
        <v>1603</v>
      </c>
      <c r="B1075" s="376" t="s">
        <v>1609</v>
      </c>
      <c r="C1075" s="376" t="s">
        <v>628</v>
      </c>
      <c r="D1075" s="376">
        <v>2021</v>
      </c>
      <c r="E1075" s="376">
        <v>2024</v>
      </c>
      <c r="F1075" s="376">
        <v>1</v>
      </c>
      <c r="G1075" s="376">
        <v>6101.463203368502</v>
      </c>
      <c r="H1075" s="376">
        <v>0</v>
      </c>
      <c r="I1075" s="376">
        <v>1</v>
      </c>
    </row>
    <row r="1076" spans="1:9" x14ac:dyDescent="0.35">
      <c r="A1076" s="376" t="s">
        <v>1603</v>
      </c>
      <c r="B1076" s="376" t="s">
        <v>1609</v>
      </c>
      <c r="C1076" s="376" t="s">
        <v>1051</v>
      </c>
      <c r="D1076" s="376">
        <v>2021</v>
      </c>
      <c r="E1076" s="376">
        <v>2024</v>
      </c>
      <c r="F1076" s="376">
        <v>1</v>
      </c>
      <c r="G1076" s="376">
        <v>6101.463203368502</v>
      </c>
      <c r="H1076" s="376">
        <v>0</v>
      </c>
      <c r="I1076" s="376">
        <v>1</v>
      </c>
    </row>
    <row r="1077" spans="1:9" x14ac:dyDescent="0.35">
      <c r="A1077" s="376" t="s">
        <v>1603</v>
      </c>
      <c r="B1077" s="376" t="s">
        <v>1609</v>
      </c>
      <c r="C1077" s="376" t="s">
        <v>1054</v>
      </c>
      <c r="D1077" s="376">
        <v>2021</v>
      </c>
      <c r="E1077" s="376">
        <v>2024</v>
      </c>
      <c r="F1077" s="376">
        <v>1</v>
      </c>
      <c r="G1077" s="376">
        <v>6101.463203368502</v>
      </c>
      <c r="H1077" s="376">
        <v>0</v>
      </c>
      <c r="I1077" s="376">
        <v>1</v>
      </c>
    </row>
    <row r="1078" spans="1:9" x14ac:dyDescent="0.35">
      <c r="A1078" s="376" t="s">
        <v>1603</v>
      </c>
      <c r="B1078" s="376" t="s">
        <v>1609</v>
      </c>
      <c r="C1078" s="376" t="s">
        <v>1046</v>
      </c>
      <c r="D1078" s="376">
        <v>2021</v>
      </c>
      <c r="E1078" s="376">
        <v>2025</v>
      </c>
      <c r="F1078" s="376">
        <v>1</v>
      </c>
      <c r="G1078" s="376">
        <v>6101.463203368502</v>
      </c>
      <c r="H1078" s="376">
        <v>0</v>
      </c>
      <c r="I1078" s="376">
        <v>1</v>
      </c>
    </row>
    <row r="1079" spans="1:9" x14ac:dyDescent="0.35">
      <c r="A1079" s="376" t="s">
        <v>1603</v>
      </c>
      <c r="B1079" s="376" t="s">
        <v>1609</v>
      </c>
      <c r="C1079" s="376" t="s">
        <v>644</v>
      </c>
      <c r="D1079" s="376">
        <v>2021</v>
      </c>
      <c r="E1079" s="376">
        <v>2025</v>
      </c>
      <c r="F1079" s="376">
        <v>1</v>
      </c>
      <c r="G1079" s="376">
        <v>6101.463203368502</v>
      </c>
      <c r="H1079" s="376">
        <v>0</v>
      </c>
      <c r="I1079" s="376">
        <v>1</v>
      </c>
    </row>
    <row r="1080" spans="1:9" x14ac:dyDescent="0.35">
      <c r="A1080" s="376" t="s">
        <v>1603</v>
      </c>
      <c r="B1080" s="376" t="s">
        <v>1609</v>
      </c>
      <c r="C1080" s="376" t="s">
        <v>628</v>
      </c>
      <c r="D1080" s="376">
        <v>2021</v>
      </c>
      <c r="E1080" s="376">
        <v>2025</v>
      </c>
      <c r="F1080" s="376">
        <v>1</v>
      </c>
      <c r="G1080" s="376">
        <v>6101.463203368502</v>
      </c>
      <c r="H1080" s="376">
        <v>0</v>
      </c>
      <c r="I1080" s="376">
        <v>1</v>
      </c>
    </row>
    <row r="1081" spans="1:9" x14ac:dyDescent="0.35">
      <c r="A1081" s="376" t="s">
        <v>1603</v>
      </c>
      <c r="B1081" s="376" t="s">
        <v>1609</v>
      </c>
      <c r="C1081" s="376" t="s">
        <v>1051</v>
      </c>
      <c r="D1081" s="376">
        <v>2021</v>
      </c>
      <c r="E1081" s="376">
        <v>2025</v>
      </c>
      <c r="F1081" s="376">
        <v>1</v>
      </c>
      <c r="G1081" s="376">
        <v>6101.463203368502</v>
      </c>
      <c r="H1081" s="376">
        <v>0</v>
      </c>
      <c r="I1081" s="376">
        <v>1</v>
      </c>
    </row>
    <row r="1082" spans="1:9" x14ac:dyDescent="0.35">
      <c r="A1082" s="376" t="s">
        <v>1603</v>
      </c>
      <c r="B1082" s="376" t="s">
        <v>1609</v>
      </c>
      <c r="C1082" s="376" t="s">
        <v>1054</v>
      </c>
      <c r="D1082" s="376">
        <v>2021</v>
      </c>
      <c r="E1082" s="376">
        <v>2025</v>
      </c>
      <c r="F1082" s="376">
        <v>1</v>
      </c>
      <c r="G1082" s="376">
        <v>6101.463203368502</v>
      </c>
      <c r="H1082" s="376">
        <v>0</v>
      </c>
      <c r="I1082" s="376">
        <v>1</v>
      </c>
    </row>
    <row r="1083" spans="1:9" x14ac:dyDescent="0.35">
      <c r="A1083" s="376" t="s">
        <v>1603</v>
      </c>
      <c r="B1083" s="376" t="s">
        <v>1609</v>
      </c>
      <c r="C1083" s="376" t="s">
        <v>1046</v>
      </c>
      <c r="D1083" s="376">
        <v>2021</v>
      </c>
      <c r="E1083" s="376">
        <v>2026</v>
      </c>
      <c r="F1083" s="376">
        <v>1</v>
      </c>
      <c r="G1083" s="376">
        <v>6101.463203368502</v>
      </c>
      <c r="H1083" s="376">
        <v>0</v>
      </c>
      <c r="I1083" s="376">
        <v>1</v>
      </c>
    </row>
    <row r="1084" spans="1:9" x14ac:dyDescent="0.35">
      <c r="A1084" s="376" t="s">
        <v>1603</v>
      </c>
      <c r="B1084" s="376" t="s">
        <v>1609</v>
      </c>
      <c r="C1084" s="376" t="s">
        <v>644</v>
      </c>
      <c r="D1084" s="376">
        <v>2021</v>
      </c>
      <c r="E1084" s="376">
        <v>2026</v>
      </c>
      <c r="F1084" s="376">
        <v>1</v>
      </c>
      <c r="G1084" s="376">
        <v>6101.463203368502</v>
      </c>
      <c r="H1084" s="376">
        <v>0</v>
      </c>
      <c r="I1084" s="376">
        <v>1</v>
      </c>
    </row>
    <row r="1085" spans="1:9" x14ac:dyDescent="0.35">
      <c r="A1085" s="376" t="s">
        <v>1603</v>
      </c>
      <c r="B1085" s="376" t="s">
        <v>1609</v>
      </c>
      <c r="C1085" s="376" t="s">
        <v>628</v>
      </c>
      <c r="D1085" s="376">
        <v>2021</v>
      </c>
      <c r="E1085" s="376">
        <v>2026</v>
      </c>
      <c r="F1085" s="376">
        <v>1</v>
      </c>
      <c r="G1085" s="376">
        <v>6101.463203368502</v>
      </c>
      <c r="H1085" s="376">
        <v>0</v>
      </c>
      <c r="I1085" s="376">
        <v>1</v>
      </c>
    </row>
    <row r="1086" spans="1:9" x14ac:dyDescent="0.35">
      <c r="A1086" s="376" t="s">
        <v>1603</v>
      </c>
      <c r="B1086" s="376" t="s">
        <v>1609</v>
      </c>
      <c r="C1086" s="376" t="s">
        <v>1051</v>
      </c>
      <c r="D1086" s="376">
        <v>2021</v>
      </c>
      <c r="E1086" s="376">
        <v>2026</v>
      </c>
      <c r="F1086" s="376">
        <v>1</v>
      </c>
      <c r="G1086" s="376">
        <v>6101.463203368502</v>
      </c>
      <c r="H1086" s="376">
        <v>0</v>
      </c>
      <c r="I1086" s="376">
        <v>1</v>
      </c>
    </row>
    <row r="1087" spans="1:9" x14ac:dyDescent="0.35">
      <c r="A1087" s="376" t="s">
        <v>1603</v>
      </c>
      <c r="B1087" s="376" t="s">
        <v>1609</v>
      </c>
      <c r="C1087" s="376" t="s">
        <v>1054</v>
      </c>
      <c r="D1087" s="376">
        <v>2021</v>
      </c>
      <c r="E1087" s="376">
        <v>2026</v>
      </c>
      <c r="F1087" s="376">
        <v>1</v>
      </c>
      <c r="G1087" s="376">
        <v>6101.463203368502</v>
      </c>
      <c r="H1087" s="376">
        <v>0</v>
      </c>
      <c r="I1087" s="376">
        <v>1</v>
      </c>
    </row>
    <row r="1088" spans="1:9" x14ac:dyDescent="0.35">
      <c r="A1088" s="376" t="s">
        <v>1603</v>
      </c>
      <c r="B1088" s="376" t="s">
        <v>1609</v>
      </c>
      <c r="C1088" s="376" t="s">
        <v>1046</v>
      </c>
      <c r="D1088" s="376">
        <v>2021</v>
      </c>
      <c r="E1088" s="376">
        <v>2027</v>
      </c>
      <c r="F1088" s="376">
        <v>1</v>
      </c>
      <c r="G1088" s="376">
        <v>6101.463203368502</v>
      </c>
      <c r="H1088" s="376">
        <v>0</v>
      </c>
      <c r="I1088" s="376">
        <v>1</v>
      </c>
    </row>
    <row r="1089" spans="1:9" x14ac:dyDescent="0.35">
      <c r="A1089" s="376" t="s">
        <v>1603</v>
      </c>
      <c r="B1089" s="376" t="s">
        <v>1609</v>
      </c>
      <c r="C1089" s="376" t="s">
        <v>644</v>
      </c>
      <c r="D1089" s="376">
        <v>2021</v>
      </c>
      <c r="E1089" s="376">
        <v>2027</v>
      </c>
      <c r="F1089" s="376">
        <v>1</v>
      </c>
      <c r="G1089" s="376">
        <v>6101.463203368502</v>
      </c>
      <c r="H1089" s="376">
        <v>0</v>
      </c>
      <c r="I1089" s="376">
        <v>1</v>
      </c>
    </row>
    <row r="1090" spans="1:9" x14ac:dyDescent="0.35">
      <c r="A1090" s="376" t="s">
        <v>1603</v>
      </c>
      <c r="B1090" s="376" t="s">
        <v>1609</v>
      </c>
      <c r="C1090" s="376" t="s">
        <v>628</v>
      </c>
      <c r="D1090" s="376">
        <v>2021</v>
      </c>
      <c r="E1090" s="376">
        <v>2027</v>
      </c>
      <c r="F1090" s="376">
        <v>1</v>
      </c>
      <c r="G1090" s="376">
        <v>6101.463203368502</v>
      </c>
      <c r="H1090" s="376">
        <v>0</v>
      </c>
      <c r="I1090" s="376">
        <v>1</v>
      </c>
    </row>
    <row r="1091" spans="1:9" x14ac:dyDescent="0.35">
      <c r="A1091" s="376" t="s">
        <v>1603</v>
      </c>
      <c r="B1091" s="376" t="s">
        <v>1609</v>
      </c>
      <c r="C1091" s="376" t="s">
        <v>1051</v>
      </c>
      <c r="D1091" s="376">
        <v>2021</v>
      </c>
      <c r="E1091" s="376">
        <v>2027</v>
      </c>
      <c r="F1091" s="376">
        <v>1</v>
      </c>
      <c r="G1091" s="376">
        <v>6101.463203368502</v>
      </c>
      <c r="H1091" s="376">
        <v>0</v>
      </c>
      <c r="I1091" s="376">
        <v>1</v>
      </c>
    </row>
    <row r="1092" spans="1:9" x14ac:dyDescent="0.35">
      <c r="A1092" s="376" t="s">
        <v>1603</v>
      </c>
      <c r="B1092" s="376" t="s">
        <v>1609</v>
      </c>
      <c r="C1092" s="376" t="s">
        <v>1054</v>
      </c>
      <c r="D1092" s="376">
        <v>2021</v>
      </c>
      <c r="E1092" s="376">
        <v>2027</v>
      </c>
      <c r="F1092" s="376">
        <v>1</v>
      </c>
      <c r="G1092" s="376">
        <v>6101.463203368502</v>
      </c>
      <c r="H1092" s="376">
        <v>0</v>
      </c>
      <c r="I1092" s="376">
        <v>1</v>
      </c>
    </row>
    <row r="1093" spans="1:9" x14ac:dyDescent="0.35">
      <c r="A1093" s="376" t="s">
        <v>1603</v>
      </c>
      <c r="B1093" s="376" t="s">
        <v>1609</v>
      </c>
      <c r="C1093" s="376" t="s">
        <v>1046</v>
      </c>
      <c r="D1093" s="376">
        <v>2021</v>
      </c>
      <c r="E1093" s="376">
        <v>2028</v>
      </c>
      <c r="F1093" s="376">
        <v>1</v>
      </c>
      <c r="G1093" s="376">
        <v>6101.463203368502</v>
      </c>
      <c r="H1093" s="376">
        <v>0</v>
      </c>
      <c r="I1093" s="376">
        <v>1</v>
      </c>
    </row>
    <row r="1094" spans="1:9" x14ac:dyDescent="0.35">
      <c r="A1094" s="376" t="s">
        <v>1603</v>
      </c>
      <c r="B1094" s="376" t="s">
        <v>1609</v>
      </c>
      <c r="C1094" s="376" t="s">
        <v>644</v>
      </c>
      <c r="D1094" s="376">
        <v>2021</v>
      </c>
      <c r="E1094" s="376">
        <v>2028</v>
      </c>
      <c r="F1094" s="376">
        <v>1</v>
      </c>
      <c r="G1094" s="376">
        <v>6101.463203368502</v>
      </c>
      <c r="H1094" s="376">
        <v>0</v>
      </c>
      <c r="I1094" s="376">
        <v>1</v>
      </c>
    </row>
    <row r="1095" spans="1:9" x14ac:dyDescent="0.35">
      <c r="A1095" s="376" t="s">
        <v>1603</v>
      </c>
      <c r="B1095" s="376" t="s">
        <v>1609</v>
      </c>
      <c r="C1095" s="376" t="s">
        <v>628</v>
      </c>
      <c r="D1095" s="376">
        <v>2021</v>
      </c>
      <c r="E1095" s="376">
        <v>2028</v>
      </c>
      <c r="F1095" s="376">
        <v>1</v>
      </c>
      <c r="G1095" s="376">
        <v>6101.463203368502</v>
      </c>
      <c r="H1095" s="376">
        <v>0</v>
      </c>
      <c r="I1095" s="376">
        <v>1</v>
      </c>
    </row>
    <row r="1096" spans="1:9" x14ac:dyDescent="0.35">
      <c r="A1096" s="376" t="s">
        <v>1603</v>
      </c>
      <c r="B1096" s="376" t="s">
        <v>1609</v>
      </c>
      <c r="C1096" s="376" t="s">
        <v>1051</v>
      </c>
      <c r="D1096" s="376">
        <v>2021</v>
      </c>
      <c r="E1096" s="376">
        <v>2028</v>
      </c>
      <c r="F1096" s="376">
        <v>1</v>
      </c>
      <c r="G1096" s="376">
        <v>6101.463203368502</v>
      </c>
      <c r="H1096" s="376">
        <v>0</v>
      </c>
      <c r="I1096" s="376">
        <v>1</v>
      </c>
    </row>
    <row r="1097" spans="1:9" x14ac:dyDescent="0.35">
      <c r="A1097" s="376" t="s">
        <v>1603</v>
      </c>
      <c r="B1097" s="376" t="s">
        <v>1609</v>
      </c>
      <c r="C1097" s="376" t="s">
        <v>1054</v>
      </c>
      <c r="D1097" s="376">
        <v>2021</v>
      </c>
      <c r="E1097" s="376">
        <v>2028</v>
      </c>
      <c r="F1097" s="376">
        <v>1</v>
      </c>
      <c r="G1097" s="376">
        <v>6101.463203368502</v>
      </c>
      <c r="H1097" s="376">
        <v>0</v>
      </c>
      <c r="I1097" s="376">
        <v>1</v>
      </c>
    </row>
    <row r="1098" spans="1:9" x14ac:dyDescent="0.35">
      <c r="A1098" s="376" t="s">
        <v>1603</v>
      </c>
      <c r="B1098" s="376" t="s">
        <v>1609</v>
      </c>
      <c r="C1098" s="376" t="s">
        <v>1046</v>
      </c>
      <c r="D1098" s="376">
        <v>2021</v>
      </c>
      <c r="E1098" s="376">
        <v>2029</v>
      </c>
      <c r="F1098" s="376">
        <v>1</v>
      </c>
      <c r="G1098" s="376">
        <v>6101.463203368502</v>
      </c>
      <c r="H1098" s="376">
        <v>0</v>
      </c>
      <c r="I1098" s="376">
        <v>1</v>
      </c>
    </row>
    <row r="1099" spans="1:9" x14ac:dyDescent="0.35">
      <c r="A1099" s="376" t="s">
        <v>1603</v>
      </c>
      <c r="B1099" s="376" t="s">
        <v>1609</v>
      </c>
      <c r="C1099" s="376" t="s">
        <v>644</v>
      </c>
      <c r="D1099" s="376">
        <v>2021</v>
      </c>
      <c r="E1099" s="376">
        <v>2029</v>
      </c>
      <c r="F1099" s="376">
        <v>1</v>
      </c>
      <c r="G1099" s="376">
        <v>6101.463203368502</v>
      </c>
      <c r="H1099" s="376">
        <v>0</v>
      </c>
      <c r="I1099" s="376">
        <v>1</v>
      </c>
    </row>
    <row r="1100" spans="1:9" x14ac:dyDescent="0.35">
      <c r="A1100" s="376" t="s">
        <v>1603</v>
      </c>
      <c r="B1100" s="376" t="s">
        <v>1609</v>
      </c>
      <c r="C1100" s="376" t="s">
        <v>628</v>
      </c>
      <c r="D1100" s="376">
        <v>2021</v>
      </c>
      <c r="E1100" s="376">
        <v>2029</v>
      </c>
      <c r="F1100" s="376">
        <v>1</v>
      </c>
      <c r="G1100" s="376">
        <v>6101.463203368502</v>
      </c>
      <c r="H1100" s="376">
        <v>0</v>
      </c>
      <c r="I1100" s="376">
        <v>1</v>
      </c>
    </row>
    <row r="1101" spans="1:9" x14ac:dyDescent="0.35">
      <c r="A1101" s="376" t="s">
        <v>1603</v>
      </c>
      <c r="B1101" s="376" t="s">
        <v>1609</v>
      </c>
      <c r="C1101" s="376" t="s">
        <v>1051</v>
      </c>
      <c r="D1101" s="376">
        <v>2021</v>
      </c>
      <c r="E1101" s="376">
        <v>2029</v>
      </c>
      <c r="F1101" s="376">
        <v>1</v>
      </c>
      <c r="G1101" s="376">
        <v>6101.463203368502</v>
      </c>
      <c r="H1101" s="376">
        <v>0</v>
      </c>
      <c r="I1101" s="376">
        <v>1</v>
      </c>
    </row>
    <row r="1102" spans="1:9" x14ac:dyDescent="0.35">
      <c r="A1102" s="376" t="s">
        <v>1603</v>
      </c>
      <c r="B1102" s="376" t="s">
        <v>1609</v>
      </c>
      <c r="C1102" s="376" t="s">
        <v>1054</v>
      </c>
      <c r="D1102" s="376">
        <v>2021</v>
      </c>
      <c r="E1102" s="376">
        <v>2029</v>
      </c>
      <c r="F1102" s="376">
        <v>1</v>
      </c>
      <c r="G1102" s="376">
        <v>6101.463203368502</v>
      </c>
      <c r="H1102" s="376">
        <v>0</v>
      </c>
      <c r="I1102" s="376">
        <v>1</v>
      </c>
    </row>
    <row r="1103" spans="1:9" x14ac:dyDescent="0.35">
      <c r="A1103" s="376" t="s">
        <v>1603</v>
      </c>
      <c r="B1103" s="376" t="s">
        <v>1609</v>
      </c>
      <c r="C1103" s="376" t="s">
        <v>1046</v>
      </c>
      <c r="D1103" s="376">
        <v>2021</v>
      </c>
      <c r="E1103" s="376">
        <v>2030</v>
      </c>
      <c r="F1103" s="376">
        <v>1</v>
      </c>
      <c r="G1103" s="376">
        <v>6101.463203368502</v>
      </c>
      <c r="H1103" s="376">
        <v>0</v>
      </c>
      <c r="I1103" s="376">
        <v>1</v>
      </c>
    </row>
    <row r="1104" spans="1:9" x14ac:dyDescent="0.35">
      <c r="A1104" s="376" t="s">
        <v>1603</v>
      </c>
      <c r="B1104" s="376" t="s">
        <v>1609</v>
      </c>
      <c r="C1104" s="376" t="s">
        <v>644</v>
      </c>
      <c r="D1104" s="376">
        <v>2021</v>
      </c>
      <c r="E1104" s="376">
        <v>2030</v>
      </c>
      <c r="F1104" s="376">
        <v>1</v>
      </c>
      <c r="G1104" s="376">
        <v>6101.463203368502</v>
      </c>
      <c r="H1104" s="376">
        <v>0</v>
      </c>
      <c r="I1104" s="376">
        <v>1</v>
      </c>
    </row>
    <row r="1105" spans="1:9" x14ac:dyDescent="0.35">
      <c r="A1105" s="376" t="s">
        <v>1603</v>
      </c>
      <c r="B1105" s="376" t="s">
        <v>1609</v>
      </c>
      <c r="C1105" s="376" t="s">
        <v>628</v>
      </c>
      <c r="D1105" s="376">
        <v>2021</v>
      </c>
      <c r="E1105" s="376">
        <v>2030</v>
      </c>
      <c r="F1105" s="376">
        <v>1</v>
      </c>
      <c r="G1105" s="376">
        <v>6101.463203368502</v>
      </c>
      <c r="H1105" s="376">
        <v>0</v>
      </c>
      <c r="I1105" s="376">
        <v>1</v>
      </c>
    </row>
    <row r="1106" spans="1:9" x14ac:dyDescent="0.35">
      <c r="A1106" s="376" t="s">
        <v>1603</v>
      </c>
      <c r="B1106" s="376" t="s">
        <v>1609</v>
      </c>
      <c r="C1106" s="376" t="s">
        <v>1051</v>
      </c>
      <c r="D1106" s="376">
        <v>2021</v>
      </c>
      <c r="E1106" s="376">
        <v>2030</v>
      </c>
      <c r="F1106" s="376">
        <v>1</v>
      </c>
      <c r="G1106" s="376">
        <v>6101.463203368502</v>
      </c>
      <c r="H1106" s="376">
        <v>0</v>
      </c>
      <c r="I1106" s="376">
        <v>1</v>
      </c>
    </row>
    <row r="1107" spans="1:9" x14ac:dyDescent="0.35">
      <c r="A1107" s="376" t="s">
        <v>1603</v>
      </c>
      <c r="B1107" s="376" t="s">
        <v>1609</v>
      </c>
      <c r="C1107" s="376" t="s">
        <v>1054</v>
      </c>
      <c r="D1107" s="376">
        <v>2021</v>
      </c>
      <c r="E1107" s="376">
        <v>2030</v>
      </c>
      <c r="F1107" s="376">
        <v>1</v>
      </c>
      <c r="G1107" s="376">
        <v>6101.463203368502</v>
      </c>
      <c r="H1107" s="376">
        <v>0</v>
      </c>
      <c r="I1107" s="376">
        <v>1</v>
      </c>
    </row>
    <row r="1108" spans="1:9" x14ac:dyDescent="0.35">
      <c r="A1108" s="376" t="s">
        <v>1603</v>
      </c>
      <c r="B1108" s="376" t="s">
        <v>1609</v>
      </c>
      <c r="C1108" s="376" t="s">
        <v>1046</v>
      </c>
      <c r="D1108" s="376">
        <v>2021</v>
      </c>
      <c r="E1108" s="376">
        <v>2031</v>
      </c>
      <c r="F1108" s="376">
        <v>1</v>
      </c>
      <c r="G1108" s="376">
        <v>6101.463203368502</v>
      </c>
      <c r="H1108" s="376">
        <v>0</v>
      </c>
      <c r="I1108" s="376">
        <v>1</v>
      </c>
    </row>
    <row r="1109" spans="1:9" x14ac:dyDescent="0.35">
      <c r="A1109" s="376" t="s">
        <v>1603</v>
      </c>
      <c r="B1109" s="376" t="s">
        <v>1609</v>
      </c>
      <c r="C1109" s="376" t="s">
        <v>644</v>
      </c>
      <c r="D1109" s="376">
        <v>2021</v>
      </c>
      <c r="E1109" s="376">
        <v>2031</v>
      </c>
      <c r="F1109" s="376">
        <v>1</v>
      </c>
      <c r="G1109" s="376">
        <v>6101.463203368502</v>
      </c>
      <c r="H1109" s="376">
        <v>0</v>
      </c>
      <c r="I1109" s="376">
        <v>1</v>
      </c>
    </row>
    <row r="1110" spans="1:9" x14ac:dyDescent="0.35">
      <c r="A1110" s="376" t="s">
        <v>1603</v>
      </c>
      <c r="B1110" s="376" t="s">
        <v>1609</v>
      </c>
      <c r="C1110" s="376" t="s">
        <v>628</v>
      </c>
      <c r="D1110" s="376">
        <v>2021</v>
      </c>
      <c r="E1110" s="376">
        <v>2031</v>
      </c>
      <c r="F1110" s="376">
        <v>1</v>
      </c>
      <c r="G1110" s="376">
        <v>6101.463203368502</v>
      </c>
      <c r="H1110" s="376">
        <v>0</v>
      </c>
      <c r="I1110" s="376">
        <v>1</v>
      </c>
    </row>
    <row r="1111" spans="1:9" x14ac:dyDescent="0.35">
      <c r="A1111" s="376" t="s">
        <v>1603</v>
      </c>
      <c r="B1111" s="376" t="s">
        <v>1609</v>
      </c>
      <c r="C1111" s="376" t="s">
        <v>1051</v>
      </c>
      <c r="D1111" s="376">
        <v>2021</v>
      </c>
      <c r="E1111" s="376">
        <v>2031</v>
      </c>
      <c r="F1111" s="376">
        <v>1</v>
      </c>
      <c r="G1111" s="376">
        <v>6101.463203368502</v>
      </c>
      <c r="H1111" s="376">
        <v>0</v>
      </c>
      <c r="I1111" s="376">
        <v>1</v>
      </c>
    </row>
    <row r="1112" spans="1:9" x14ac:dyDescent="0.35">
      <c r="A1112" s="376" t="s">
        <v>1603</v>
      </c>
      <c r="B1112" s="376" t="s">
        <v>1609</v>
      </c>
      <c r="C1112" s="376" t="s">
        <v>1054</v>
      </c>
      <c r="D1112" s="376">
        <v>2021</v>
      </c>
      <c r="E1112" s="376">
        <v>2031</v>
      </c>
      <c r="F1112" s="376">
        <v>1</v>
      </c>
      <c r="G1112" s="376">
        <v>6101.463203368502</v>
      </c>
      <c r="H1112" s="376">
        <v>0</v>
      </c>
      <c r="I1112" s="376">
        <v>1</v>
      </c>
    </row>
    <row r="1113" spans="1:9" x14ac:dyDescent="0.35">
      <c r="A1113" s="376" t="s">
        <v>1605</v>
      </c>
      <c r="B1113" s="376" t="s">
        <v>1609</v>
      </c>
      <c r="C1113" s="376" t="s">
        <v>1046</v>
      </c>
      <c r="D1113" s="376">
        <v>2021</v>
      </c>
      <c r="E1113" s="376">
        <v>2021</v>
      </c>
      <c r="F1113" s="376">
        <v>0.23884589662749595</v>
      </c>
      <c r="G1113" s="376">
        <v>10426.102375692073</v>
      </c>
      <c r="H1113" s="376">
        <v>0</v>
      </c>
      <c r="I1113" s="376">
        <v>1</v>
      </c>
    </row>
    <row r="1114" spans="1:9" x14ac:dyDescent="0.35">
      <c r="A1114" s="376" t="s">
        <v>1605</v>
      </c>
      <c r="B1114" s="376" t="s">
        <v>1609</v>
      </c>
      <c r="C1114" s="376" t="s">
        <v>644</v>
      </c>
      <c r="D1114" s="376">
        <v>2021</v>
      </c>
      <c r="E1114" s="376">
        <v>2021</v>
      </c>
      <c r="F1114" s="376">
        <v>0.23884589662749595</v>
      </c>
      <c r="G1114" s="376">
        <v>10426.102375692073</v>
      </c>
      <c r="H1114" s="376">
        <v>0</v>
      </c>
      <c r="I1114" s="376">
        <v>1</v>
      </c>
    </row>
    <row r="1115" spans="1:9" x14ac:dyDescent="0.35">
      <c r="A1115" s="376" t="s">
        <v>1605</v>
      </c>
      <c r="B1115" s="376" t="s">
        <v>1609</v>
      </c>
      <c r="C1115" s="376" t="s">
        <v>628</v>
      </c>
      <c r="D1115" s="376">
        <v>2021</v>
      </c>
      <c r="E1115" s="376">
        <v>2021</v>
      </c>
      <c r="F1115" s="376">
        <v>0.23884589662749595</v>
      </c>
      <c r="G1115" s="376">
        <v>10426.102375692073</v>
      </c>
      <c r="H1115" s="376">
        <v>0</v>
      </c>
      <c r="I1115" s="376">
        <v>1</v>
      </c>
    </row>
    <row r="1116" spans="1:9" x14ac:dyDescent="0.35">
      <c r="A1116" s="376" t="s">
        <v>1605</v>
      </c>
      <c r="B1116" s="376" t="s">
        <v>1609</v>
      </c>
      <c r="C1116" s="376" t="s">
        <v>1051</v>
      </c>
      <c r="D1116" s="376">
        <v>2021</v>
      </c>
      <c r="E1116" s="376">
        <v>2021</v>
      </c>
      <c r="F1116" s="376">
        <v>0.23884589662749595</v>
      </c>
      <c r="G1116" s="376">
        <v>10426.102375692073</v>
      </c>
      <c r="H1116" s="376">
        <v>0</v>
      </c>
      <c r="I1116" s="376">
        <v>1</v>
      </c>
    </row>
    <row r="1117" spans="1:9" x14ac:dyDescent="0.35">
      <c r="A1117" s="376" t="s">
        <v>1605</v>
      </c>
      <c r="B1117" s="376" t="s">
        <v>1609</v>
      </c>
      <c r="C1117" s="376" t="s">
        <v>1054</v>
      </c>
      <c r="D1117" s="376">
        <v>2021</v>
      </c>
      <c r="E1117" s="376">
        <v>2021</v>
      </c>
      <c r="F1117" s="376">
        <v>0.23884589662749595</v>
      </c>
      <c r="G1117" s="376">
        <v>10426.102375692073</v>
      </c>
      <c r="H1117" s="376">
        <v>0</v>
      </c>
      <c r="I1117" s="376">
        <v>1</v>
      </c>
    </row>
    <row r="1118" spans="1:9" x14ac:dyDescent="0.35">
      <c r="A1118" s="376" t="s">
        <v>1605</v>
      </c>
      <c r="B1118" s="376" t="s">
        <v>1609</v>
      </c>
      <c r="C1118" s="376" t="s">
        <v>1046</v>
      </c>
      <c r="D1118" s="376">
        <v>2021</v>
      </c>
      <c r="E1118" s="376">
        <v>2022</v>
      </c>
      <c r="F1118" s="376">
        <v>0.23884589662749595</v>
      </c>
      <c r="G1118" s="376">
        <v>10426.102375692073</v>
      </c>
      <c r="H1118" s="376">
        <v>0</v>
      </c>
      <c r="I1118" s="376">
        <v>1</v>
      </c>
    </row>
    <row r="1119" spans="1:9" x14ac:dyDescent="0.35">
      <c r="A1119" s="376" t="s">
        <v>1605</v>
      </c>
      <c r="B1119" s="376" t="s">
        <v>1609</v>
      </c>
      <c r="C1119" s="376" t="s">
        <v>644</v>
      </c>
      <c r="D1119" s="376">
        <v>2021</v>
      </c>
      <c r="E1119" s="376">
        <v>2022</v>
      </c>
      <c r="F1119" s="376">
        <v>0.23884589662749595</v>
      </c>
      <c r="G1119" s="376">
        <v>10426.102375692073</v>
      </c>
      <c r="H1119" s="376">
        <v>0</v>
      </c>
      <c r="I1119" s="376">
        <v>1</v>
      </c>
    </row>
    <row r="1120" spans="1:9" x14ac:dyDescent="0.35">
      <c r="A1120" s="376" t="s">
        <v>1605</v>
      </c>
      <c r="B1120" s="376" t="s">
        <v>1609</v>
      </c>
      <c r="C1120" s="376" t="s">
        <v>628</v>
      </c>
      <c r="D1120" s="376">
        <v>2021</v>
      </c>
      <c r="E1120" s="376">
        <v>2022</v>
      </c>
      <c r="F1120" s="376">
        <v>0.23884589662749595</v>
      </c>
      <c r="G1120" s="376">
        <v>10426.102375692073</v>
      </c>
      <c r="H1120" s="376">
        <v>0</v>
      </c>
      <c r="I1120" s="376">
        <v>1</v>
      </c>
    </row>
    <row r="1121" spans="1:9" x14ac:dyDescent="0.35">
      <c r="A1121" s="376" t="s">
        <v>1605</v>
      </c>
      <c r="B1121" s="376" t="s">
        <v>1609</v>
      </c>
      <c r="C1121" s="376" t="s">
        <v>1051</v>
      </c>
      <c r="D1121" s="376">
        <v>2021</v>
      </c>
      <c r="E1121" s="376">
        <v>2022</v>
      </c>
      <c r="F1121" s="376">
        <v>0.23884589662749595</v>
      </c>
      <c r="G1121" s="376">
        <v>10426.102375692073</v>
      </c>
      <c r="H1121" s="376">
        <v>0</v>
      </c>
      <c r="I1121" s="376">
        <v>1</v>
      </c>
    </row>
    <row r="1122" spans="1:9" x14ac:dyDescent="0.35">
      <c r="A1122" s="376" t="s">
        <v>1605</v>
      </c>
      <c r="B1122" s="376" t="s">
        <v>1609</v>
      </c>
      <c r="C1122" s="376" t="s">
        <v>1054</v>
      </c>
      <c r="D1122" s="376">
        <v>2021</v>
      </c>
      <c r="E1122" s="376">
        <v>2022</v>
      </c>
      <c r="F1122" s="376">
        <v>0.23884589662749595</v>
      </c>
      <c r="G1122" s="376">
        <v>10426.102375692073</v>
      </c>
      <c r="H1122" s="376">
        <v>0</v>
      </c>
      <c r="I1122" s="376">
        <v>1</v>
      </c>
    </row>
    <row r="1123" spans="1:9" x14ac:dyDescent="0.35">
      <c r="A1123" s="376" t="s">
        <v>1605</v>
      </c>
      <c r="B1123" s="376" t="s">
        <v>1609</v>
      </c>
      <c r="C1123" s="376" t="s">
        <v>1046</v>
      </c>
      <c r="D1123" s="376">
        <v>2021</v>
      </c>
      <c r="E1123" s="376">
        <v>2023</v>
      </c>
      <c r="F1123" s="376">
        <v>0.23884589662749595</v>
      </c>
      <c r="G1123" s="376">
        <v>10426.102375692073</v>
      </c>
      <c r="H1123" s="376">
        <v>0</v>
      </c>
      <c r="I1123" s="376">
        <v>1</v>
      </c>
    </row>
    <row r="1124" spans="1:9" x14ac:dyDescent="0.35">
      <c r="A1124" s="376" t="s">
        <v>1605</v>
      </c>
      <c r="B1124" s="376" t="s">
        <v>1609</v>
      </c>
      <c r="C1124" s="376" t="s">
        <v>644</v>
      </c>
      <c r="D1124" s="376">
        <v>2021</v>
      </c>
      <c r="E1124" s="376">
        <v>2023</v>
      </c>
      <c r="F1124" s="376">
        <v>0.23884589662749595</v>
      </c>
      <c r="G1124" s="376">
        <v>10426.102375692073</v>
      </c>
      <c r="H1124" s="376">
        <v>0</v>
      </c>
      <c r="I1124" s="376">
        <v>1</v>
      </c>
    </row>
    <row r="1125" spans="1:9" x14ac:dyDescent="0.35">
      <c r="A1125" s="376" t="s">
        <v>1605</v>
      </c>
      <c r="B1125" s="376" t="s">
        <v>1609</v>
      </c>
      <c r="C1125" s="376" t="s">
        <v>628</v>
      </c>
      <c r="D1125" s="376">
        <v>2021</v>
      </c>
      <c r="E1125" s="376">
        <v>2023</v>
      </c>
      <c r="F1125" s="376">
        <v>0.23884589662749595</v>
      </c>
      <c r="G1125" s="376">
        <v>10426.102375692073</v>
      </c>
      <c r="H1125" s="376">
        <v>0</v>
      </c>
      <c r="I1125" s="376">
        <v>1</v>
      </c>
    </row>
    <row r="1126" spans="1:9" x14ac:dyDescent="0.35">
      <c r="A1126" s="376" t="s">
        <v>1605</v>
      </c>
      <c r="B1126" s="376" t="s">
        <v>1609</v>
      </c>
      <c r="C1126" s="376" t="s">
        <v>1051</v>
      </c>
      <c r="D1126" s="376">
        <v>2021</v>
      </c>
      <c r="E1126" s="376">
        <v>2023</v>
      </c>
      <c r="F1126" s="376">
        <v>0.23884589662749595</v>
      </c>
      <c r="G1126" s="376">
        <v>10426.102375692073</v>
      </c>
      <c r="H1126" s="376">
        <v>0</v>
      </c>
      <c r="I1126" s="376">
        <v>1</v>
      </c>
    </row>
    <row r="1127" spans="1:9" x14ac:dyDescent="0.35">
      <c r="A1127" s="376" t="s">
        <v>1605</v>
      </c>
      <c r="B1127" s="376" t="s">
        <v>1609</v>
      </c>
      <c r="C1127" s="376" t="s">
        <v>1054</v>
      </c>
      <c r="D1127" s="376">
        <v>2021</v>
      </c>
      <c r="E1127" s="376">
        <v>2023</v>
      </c>
      <c r="F1127" s="376">
        <v>0.23884589662749595</v>
      </c>
      <c r="G1127" s="376">
        <v>10426.102375692073</v>
      </c>
      <c r="H1127" s="376">
        <v>0</v>
      </c>
      <c r="I1127" s="376">
        <v>1</v>
      </c>
    </row>
    <row r="1128" spans="1:9" x14ac:dyDescent="0.35">
      <c r="A1128" s="376" t="s">
        <v>1605</v>
      </c>
      <c r="B1128" s="376" t="s">
        <v>1609</v>
      </c>
      <c r="C1128" s="376" t="s">
        <v>1046</v>
      </c>
      <c r="D1128" s="376">
        <v>2021</v>
      </c>
      <c r="E1128" s="376">
        <v>2024</v>
      </c>
      <c r="F1128" s="376">
        <v>0.23884589662749595</v>
      </c>
      <c r="G1128" s="376">
        <v>10426.102375692073</v>
      </c>
      <c r="H1128" s="376">
        <v>0</v>
      </c>
      <c r="I1128" s="376">
        <v>1</v>
      </c>
    </row>
    <row r="1129" spans="1:9" x14ac:dyDescent="0.35">
      <c r="A1129" s="376" t="s">
        <v>1605</v>
      </c>
      <c r="B1129" s="376" t="s">
        <v>1609</v>
      </c>
      <c r="C1129" s="376" t="s">
        <v>644</v>
      </c>
      <c r="D1129" s="376">
        <v>2021</v>
      </c>
      <c r="E1129" s="376">
        <v>2024</v>
      </c>
      <c r="F1129" s="376">
        <v>0.23884589662749595</v>
      </c>
      <c r="G1129" s="376">
        <v>10426.102375692073</v>
      </c>
      <c r="H1129" s="376">
        <v>0</v>
      </c>
      <c r="I1129" s="376">
        <v>1</v>
      </c>
    </row>
    <row r="1130" spans="1:9" x14ac:dyDescent="0.35">
      <c r="A1130" s="376" t="s">
        <v>1605</v>
      </c>
      <c r="B1130" s="376" t="s">
        <v>1609</v>
      </c>
      <c r="C1130" s="376" t="s">
        <v>628</v>
      </c>
      <c r="D1130" s="376">
        <v>2021</v>
      </c>
      <c r="E1130" s="376">
        <v>2024</v>
      </c>
      <c r="F1130" s="376">
        <v>0.23884589662749595</v>
      </c>
      <c r="G1130" s="376">
        <v>10426.102375692073</v>
      </c>
      <c r="H1130" s="376">
        <v>0</v>
      </c>
      <c r="I1130" s="376">
        <v>1</v>
      </c>
    </row>
    <row r="1131" spans="1:9" x14ac:dyDescent="0.35">
      <c r="A1131" s="376" t="s">
        <v>1605</v>
      </c>
      <c r="B1131" s="376" t="s">
        <v>1609</v>
      </c>
      <c r="C1131" s="376" t="s">
        <v>1051</v>
      </c>
      <c r="D1131" s="376">
        <v>2021</v>
      </c>
      <c r="E1131" s="376">
        <v>2024</v>
      </c>
      <c r="F1131" s="376">
        <v>0.23884589662749595</v>
      </c>
      <c r="G1131" s="376">
        <v>10426.102375692073</v>
      </c>
      <c r="H1131" s="376">
        <v>0</v>
      </c>
      <c r="I1131" s="376">
        <v>1</v>
      </c>
    </row>
    <row r="1132" spans="1:9" x14ac:dyDescent="0.35">
      <c r="A1132" s="376" t="s">
        <v>1605</v>
      </c>
      <c r="B1132" s="376" t="s">
        <v>1609</v>
      </c>
      <c r="C1132" s="376" t="s">
        <v>1054</v>
      </c>
      <c r="D1132" s="376">
        <v>2021</v>
      </c>
      <c r="E1132" s="376">
        <v>2024</v>
      </c>
      <c r="F1132" s="376">
        <v>0.23884589662749595</v>
      </c>
      <c r="G1132" s="376">
        <v>10426.102375692073</v>
      </c>
      <c r="H1132" s="376">
        <v>0</v>
      </c>
      <c r="I1132" s="376">
        <v>1</v>
      </c>
    </row>
    <row r="1133" spans="1:9" x14ac:dyDescent="0.35">
      <c r="A1133" s="376" t="s">
        <v>1605</v>
      </c>
      <c r="B1133" s="376" t="s">
        <v>1609</v>
      </c>
      <c r="C1133" s="376" t="s">
        <v>1046</v>
      </c>
      <c r="D1133" s="376">
        <v>2021</v>
      </c>
      <c r="E1133" s="376">
        <v>2025</v>
      </c>
      <c r="F1133" s="376">
        <v>0.23884589662749595</v>
      </c>
      <c r="G1133" s="376">
        <v>10426.102375692073</v>
      </c>
      <c r="H1133" s="376">
        <v>0</v>
      </c>
      <c r="I1133" s="376">
        <v>1</v>
      </c>
    </row>
    <row r="1134" spans="1:9" x14ac:dyDescent="0.35">
      <c r="A1134" s="376" t="s">
        <v>1605</v>
      </c>
      <c r="B1134" s="376" t="s">
        <v>1609</v>
      </c>
      <c r="C1134" s="376" t="s">
        <v>644</v>
      </c>
      <c r="D1134" s="376">
        <v>2021</v>
      </c>
      <c r="E1134" s="376">
        <v>2025</v>
      </c>
      <c r="F1134" s="376">
        <v>0.23884589662749595</v>
      </c>
      <c r="G1134" s="376">
        <v>10426.102375692073</v>
      </c>
      <c r="H1134" s="376">
        <v>0</v>
      </c>
      <c r="I1134" s="376">
        <v>1</v>
      </c>
    </row>
    <row r="1135" spans="1:9" x14ac:dyDescent="0.35">
      <c r="A1135" s="376" t="s">
        <v>1605</v>
      </c>
      <c r="B1135" s="376" t="s">
        <v>1609</v>
      </c>
      <c r="C1135" s="376" t="s">
        <v>628</v>
      </c>
      <c r="D1135" s="376">
        <v>2021</v>
      </c>
      <c r="E1135" s="376">
        <v>2025</v>
      </c>
      <c r="F1135" s="376">
        <v>0.23884589662749595</v>
      </c>
      <c r="G1135" s="376">
        <v>10426.102375692073</v>
      </c>
      <c r="H1135" s="376">
        <v>0</v>
      </c>
      <c r="I1135" s="376">
        <v>1</v>
      </c>
    </row>
    <row r="1136" spans="1:9" x14ac:dyDescent="0.35">
      <c r="A1136" s="376" t="s">
        <v>1605</v>
      </c>
      <c r="B1136" s="376" t="s">
        <v>1609</v>
      </c>
      <c r="C1136" s="376" t="s">
        <v>1051</v>
      </c>
      <c r="D1136" s="376">
        <v>2021</v>
      </c>
      <c r="E1136" s="376">
        <v>2025</v>
      </c>
      <c r="F1136" s="376">
        <v>0.23884589662749595</v>
      </c>
      <c r="G1136" s="376">
        <v>10426.102375692073</v>
      </c>
      <c r="H1136" s="376">
        <v>0</v>
      </c>
      <c r="I1136" s="376">
        <v>1</v>
      </c>
    </row>
    <row r="1137" spans="1:9" x14ac:dyDescent="0.35">
      <c r="A1137" s="376" t="s">
        <v>1605</v>
      </c>
      <c r="B1137" s="376" t="s">
        <v>1609</v>
      </c>
      <c r="C1137" s="376" t="s">
        <v>1054</v>
      </c>
      <c r="D1137" s="376">
        <v>2021</v>
      </c>
      <c r="E1137" s="376">
        <v>2025</v>
      </c>
      <c r="F1137" s="376">
        <v>0.23884589662749595</v>
      </c>
      <c r="G1137" s="376">
        <v>10426.102375692073</v>
      </c>
      <c r="H1137" s="376">
        <v>0</v>
      </c>
      <c r="I1137" s="376">
        <v>1</v>
      </c>
    </row>
    <row r="1138" spans="1:9" x14ac:dyDescent="0.35">
      <c r="A1138" s="376" t="s">
        <v>1605</v>
      </c>
      <c r="B1138" s="376" t="s">
        <v>1609</v>
      </c>
      <c r="C1138" s="376" t="s">
        <v>1046</v>
      </c>
      <c r="D1138" s="376">
        <v>2021</v>
      </c>
      <c r="E1138" s="376">
        <v>2026</v>
      </c>
      <c r="F1138" s="376">
        <v>0.23884589662749595</v>
      </c>
      <c r="G1138" s="376">
        <v>10426.102375692073</v>
      </c>
      <c r="H1138" s="376">
        <v>0</v>
      </c>
      <c r="I1138" s="376">
        <v>1</v>
      </c>
    </row>
    <row r="1139" spans="1:9" x14ac:dyDescent="0.35">
      <c r="A1139" s="376" t="s">
        <v>1605</v>
      </c>
      <c r="B1139" s="376" t="s">
        <v>1609</v>
      </c>
      <c r="C1139" s="376" t="s">
        <v>644</v>
      </c>
      <c r="D1139" s="376">
        <v>2021</v>
      </c>
      <c r="E1139" s="376">
        <v>2026</v>
      </c>
      <c r="F1139" s="376">
        <v>0.23884589662749595</v>
      </c>
      <c r="G1139" s="376">
        <v>10426.102375692073</v>
      </c>
      <c r="H1139" s="376">
        <v>0</v>
      </c>
      <c r="I1139" s="376">
        <v>1</v>
      </c>
    </row>
    <row r="1140" spans="1:9" x14ac:dyDescent="0.35">
      <c r="A1140" s="376" t="s">
        <v>1605</v>
      </c>
      <c r="B1140" s="376" t="s">
        <v>1609</v>
      </c>
      <c r="C1140" s="376" t="s">
        <v>628</v>
      </c>
      <c r="D1140" s="376">
        <v>2021</v>
      </c>
      <c r="E1140" s="376">
        <v>2026</v>
      </c>
      <c r="F1140" s="376">
        <v>0.23884589662749595</v>
      </c>
      <c r="G1140" s="376">
        <v>10426.102375692073</v>
      </c>
      <c r="H1140" s="376">
        <v>0</v>
      </c>
      <c r="I1140" s="376">
        <v>1</v>
      </c>
    </row>
    <row r="1141" spans="1:9" x14ac:dyDescent="0.35">
      <c r="A1141" s="376" t="s">
        <v>1605</v>
      </c>
      <c r="B1141" s="376" t="s">
        <v>1609</v>
      </c>
      <c r="C1141" s="376" t="s">
        <v>1051</v>
      </c>
      <c r="D1141" s="376">
        <v>2021</v>
      </c>
      <c r="E1141" s="376">
        <v>2026</v>
      </c>
      <c r="F1141" s="376">
        <v>0.23884589662749595</v>
      </c>
      <c r="G1141" s="376">
        <v>10426.102375692073</v>
      </c>
      <c r="H1141" s="376">
        <v>0</v>
      </c>
      <c r="I1141" s="376">
        <v>1</v>
      </c>
    </row>
    <row r="1142" spans="1:9" x14ac:dyDescent="0.35">
      <c r="A1142" s="376" t="s">
        <v>1605</v>
      </c>
      <c r="B1142" s="376" t="s">
        <v>1609</v>
      </c>
      <c r="C1142" s="376" t="s">
        <v>1054</v>
      </c>
      <c r="D1142" s="376">
        <v>2021</v>
      </c>
      <c r="E1142" s="376">
        <v>2026</v>
      </c>
      <c r="F1142" s="376">
        <v>0.23884589662749595</v>
      </c>
      <c r="G1142" s="376">
        <v>10426.102375692073</v>
      </c>
      <c r="H1142" s="376">
        <v>0</v>
      </c>
      <c r="I1142" s="376">
        <v>1</v>
      </c>
    </row>
    <row r="1143" spans="1:9" x14ac:dyDescent="0.35">
      <c r="A1143" s="376" t="s">
        <v>1605</v>
      </c>
      <c r="B1143" s="376" t="s">
        <v>1609</v>
      </c>
      <c r="C1143" s="376" t="s">
        <v>1046</v>
      </c>
      <c r="D1143" s="376">
        <v>2021</v>
      </c>
      <c r="E1143" s="376">
        <v>2027</v>
      </c>
      <c r="F1143" s="376">
        <v>0.23884589662749595</v>
      </c>
      <c r="G1143" s="376">
        <v>10426.102375692073</v>
      </c>
      <c r="H1143" s="376">
        <v>0</v>
      </c>
      <c r="I1143" s="376">
        <v>1</v>
      </c>
    </row>
    <row r="1144" spans="1:9" x14ac:dyDescent="0.35">
      <c r="A1144" s="376" t="s">
        <v>1605</v>
      </c>
      <c r="B1144" s="376" t="s">
        <v>1609</v>
      </c>
      <c r="C1144" s="376" t="s">
        <v>644</v>
      </c>
      <c r="D1144" s="376">
        <v>2021</v>
      </c>
      <c r="E1144" s="376">
        <v>2027</v>
      </c>
      <c r="F1144" s="376">
        <v>0.23884589662749595</v>
      </c>
      <c r="G1144" s="376">
        <v>10426.102375692073</v>
      </c>
      <c r="H1144" s="376">
        <v>0</v>
      </c>
      <c r="I1144" s="376">
        <v>1</v>
      </c>
    </row>
    <row r="1145" spans="1:9" x14ac:dyDescent="0.35">
      <c r="A1145" s="376" t="s">
        <v>1605</v>
      </c>
      <c r="B1145" s="376" t="s">
        <v>1609</v>
      </c>
      <c r="C1145" s="376" t="s">
        <v>628</v>
      </c>
      <c r="D1145" s="376">
        <v>2021</v>
      </c>
      <c r="E1145" s="376">
        <v>2027</v>
      </c>
      <c r="F1145" s="376">
        <v>0.23884589662749595</v>
      </c>
      <c r="G1145" s="376">
        <v>10426.102375692073</v>
      </c>
      <c r="H1145" s="376">
        <v>0</v>
      </c>
      <c r="I1145" s="376">
        <v>1</v>
      </c>
    </row>
    <row r="1146" spans="1:9" x14ac:dyDescent="0.35">
      <c r="A1146" s="376" t="s">
        <v>1605</v>
      </c>
      <c r="B1146" s="376" t="s">
        <v>1609</v>
      </c>
      <c r="C1146" s="376" t="s">
        <v>1051</v>
      </c>
      <c r="D1146" s="376">
        <v>2021</v>
      </c>
      <c r="E1146" s="376">
        <v>2027</v>
      </c>
      <c r="F1146" s="376">
        <v>0.23884589662749595</v>
      </c>
      <c r="G1146" s="376">
        <v>10426.102375692073</v>
      </c>
      <c r="H1146" s="376">
        <v>0</v>
      </c>
      <c r="I1146" s="376">
        <v>1</v>
      </c>
    </row>
    <row r="1147" spans="1:9" x14ac:dyDescent="0.35">
      <c r="A1147" s="376" t="s">
        <v>1605</v>
      </c>
      <c r="B1147" s="376" t="s">
        <v>1609</v>
      </c>
      <c r="C1147" s="376" t="s">
        <v>1054</v>
      </c>
      <c r="D1147" s="376">
        <v>2021</v>
      </c>
      <c r="E1147" s="376">
        <v>2027</v>
      </c>
      <c r="F1147" s="376">
        <v>0.23884589662749595</v>
      </c>
      <c r="G1147" s="376">
        <v>10426.102375692073</v>
      </c>
      <c r="H1147" s="376">
        <v>0</v>
      </c>
      <c r="I1147" s="376">
        <v>1</v>
      </c>
    </row>
    <row r="1148" spans="1:9" x14ac:dyDescent="0.35">
      <c r="A1148" s="376" t="s">
        <v>1605</v>
      </c>
      <c r="B1148" s="376" t="s">
        <v>1609</v>
      </c>
      <c r="C1148" s="376" t="s">
        <v>1046</v>
      </c>
      <c r="D1148" s="376">
        <v>2021</v>
      </c>
      <c r="E1148" s="376">
        <v>2028</v>
      </c>
      <c r="F1148" s="376">
        <v>0.23884589662749595</v>
      </c>
      <c r="G1148" s="376">
        <v>10426.102375692073</v>
      </c>
      <c r="H1148" s="376">
        <v>0</v>
      </c>
      <c r="I1148" s="376">
        <v>1</v>
      </c>
    </row>
    <row r="1149" spans="1:9" x14ac:dyDescent="0.35">
      <c r="A1149" s="376" t="s">
        <v>1605</v>
      </c>
      <c r="B1149" s="376" t="s">
        <v>1609</v>
      </c>
      <c r="C1149" s="376" t="s">
        <v>644</v>
      </c>
      <c r="D1149" s="376">
        <v>2021</v>
      </c>
      <c r="E1149" s="376">
        <v>2028</v>
      </c>
      <c r="F1149" s="376">
        <v>0.23884589662749595</v>
      </c>
      <c r="G1149" s="376">
        <v>10426.102375692073</v>
      </c>
      <c r="H1149" s="376">
        <v>0</v>
      </c>
      <c r="I1149" s="376">
        <v>1</v>
      </c>
    </row>
    <row r="1150" spans="1:9" x14ac:dyDescent="0.35">
      <c r="A1150" s="376" t="s">
        <v>1605</v>
      </c>
      <c r="B1150" s="376" t="s">
        <v>1609</v>
      </c>
      <c r="C1150" s="376" t="s">
        <v>628</v>
      </c>
      <c r="D1150" s="376">
        <v>2021</v>
      </c>
      <c r="E1150" s="376">
        <v>2028</v>
      </c>
      <c r="F1150" s="376">
        <v>0.23884589662749595</v>
      </c>
      <c r="G1150" s="376">
        <v>10426.102375692073</v>
      </c>
      <c r="H1150" s="376">
        <v>0</v>
      </c>
      <c r="I1150" s="376">
        <v>1</v>
      </c>
    </row>
    <row r="1151" spans="1:9" x14ac:dyDescent="0.35">
      <c r="A1151" s="376" t="s">
        <v>1605</v>
      </c>
      <c r="B1151" s="376" t="s">
        <v>1609</v>
      </c>
      <c r="C1151" s="376" t="s">
        <v>1051</v>
      </c>
      <c r="D1151" s="376">
        <v>2021</v>
      </c>
      <c r="E1151" s="376">
        <v>2028</v>
      </c>
      <c r="F1151" s="376">
        <v>0.23884589662749595</v>
      </c>
      <c r="G1151" s="376">
        <v>10426.102375692073</v>
      </c>
      <c r="H1151" s="376">
        <v>0</v>
      </c>
      <c r="I1151" s="376">
        <v>1</v>
      </c>
    </row>
    <row r="1152" spans="1:9" x14ac:dyDescent="0.35">
      <c r="A1152" s="376" t="s">
        <v>1605</v>
      </c>
      <c r="B1152" s="376" t="s">
        <v>1609</v>
      </c>
      <c r="C1152" s="376" t="s">
        <v>1054</v>
      </c>
      <c r="D1152" s="376">
        <v>2021</v>
      </c>
      <c r="E1152" s="376">
        <v>2028</v>
      </c>
      <c r="F1152" s="376">
        <v>0.23884589662749595</v>
      </c>
      <c r="G1152" s="376">
        <v>10426.102375692073</v>
      </c>
      <c r="H1152" s="376">
        <v>0</v>
      </c>
      <c r="I1152" s="376">
        <v>1</v>
      </c>
    </row>
    <row r="1153" spans="1:9" x14ac:dyDescent="0.35">
      <c r="A1153" s="376" t="s">
        <v>1605</v>
      </c>
      <c r="B1153" s="376" t="s">
        <v>1609</v>
      </c>
      <c r="C1153" s="376" t="s">
        <v>1046</v>
      </c>
      <c r="D1153" s="376">
        <v>2021</v>
      </c>
      <c r="E1153" s="376">
        <v>2029</v>
      </c>
      <c r="F1153" s="376">
        <v>0.23884589662749595</v>
      </c>
      <c r="G1153" s="376">
        <v>10426.102375692073</v>
      </c>
      <c r="H1153" s="376">
        <v>0</v>
      </c>
      <c r="I1153" s="376">
        <v>1</v>
      </c>
    </row>
    <row r="1154" spans="1:9" x14ac:dyDescent="0.35">
      <c r="A1154" s="376" t="s">
        <v>1605</v>
      </c>
      <c r="B1154" s="376" t="s">
        <v>1609</v>
      </c>
      <c r="C1154" s="376" t="s">
        <v>644</v>
      </c>
      <c r="D1154" s="376">
        <v>2021</v>
      </c>
      <c r="E1154" s="376">
        <v>2029</v>
      </c>
      <c r="F1154" s="376">
        <v>0.23884589662749595</v>
      </c>
      <c r="G1154" s="376">
        <v>10426.102375692073</v>
      </c>
      <c r="H1154" s="376">
        <v>0</v>
      </c>
      <c r="I1154" s="376">
        <v>1</v>
      </c>
    </row>
    <row r="1155" spans="1:9" x14ac:dyDescent="0.35">
      <c r="A1155" s="376" t="s">
        <v>1605</v>
      </c>
      <c r="B1155" s="376" t="s">
        <v>1609</v>
      </c>
      <c r="C1155" s="376" t="s">
        <v>628</v>
      </c>
      <c r="D1155" s="376">
        <v>2021</v>
      </c>
      <c r="E1155" s="376">
        <v>2029</v>
      </c>
      <c r="F1155" s="376">
        <v>0.23884589662749595</v>
      </c>
      <c r="G1155" s="376">
        <v>10426.102375692073</v>
      </c>
      <c r="H1155" s="376">
        <v>0</v>
      </c>
      <c r="I1155" s="376">
        <v>1</v>
      </c>
    </row>
    <row r="1156" spans="1:9" x14ac:dyDescent="0.35">
      <c r="A1156" s="376" t="s">
        <v>1605</v>
      </c>
      <c r="B1156" s="376" t="s">
        <v>1609</v>
      </c>
      <c r="C1156" s="376" t="s">
        <v>1051</v>
      </c>
      <c r="D1156" s="376">
        <v>2021</v>
      </c>
      <c r="E1156" s="376">
        <v>2029</v>
      </c>
      <c r="F1156" s="376">
        <v>0.23884589662749595</v>
      </c>
      <c r="G1156" s="376">
        <v>10426.102375692073</v>
      </c>
      <c r="H1156" s="376">
        <v>0</v>
      </c>
      <c r="I1156" s="376">
        <v>1</v>
      </c>
    </row>
    <row r="1157" spans="1:9" x14ac:dyDescent="0.35">
      <c r="A1157" s="376" t="s">
        <v>1605</v>
      </c>
      <c r="B1157" s="376" t="s">
        <v>1609</v>
      </c>
      <c r="C1157" s="376" t="s">
        <v>1054</v>
      </c>
      <c r="D1157" s="376">
        <v>2021</v>
      </c>
      <c r="E1157" s="376">
        <v>2029</v>
      </c>
      <c r="F1157" s="376">
        <v>0.23884589662749595</v>
      </c>
      <c r="G1157" s="376">
        <v>10426.102375692073</v>
      </c>
      <c r="H1157" s="376">
        <v>0</v>
      </c>
      <c r="I1157" s="376">
        <v>1</v>
      </c>
    </row>
    <row r="1158" spans="1:9" x14ac:dyDescent="0.35">
      <c r="A1158" s="376" t="s">
        <v>1605</v>
      </c>
      <c r="B1158" s="376" t="s">
        <v>1609</v>
      </c>
      <c r="C1158" s="376" t="s">
        <v>1046</v>
      </c>
      <c r="D1158" s="376">
        <v>2021</v>
      </c>
      <c r="E1158" s="376">
        <v>2030</v>
      </c>
      <c r="F1158" s="376">
        <v>0.23884589662749595</v>
      </c>
      <c r="G1158" s="376">
        <v>10426.102375692073</v>
      </c>
      <c r="H1158" s="376">
        <v>0</v>
      </c>
      <c r="I1158" s="376">
        <v>1</v>
      </c>
    </row>
    <row r="1159" spans="1:9" x14ac:dyDescent="0.35">
      <c r="A1159" s="376" t="s">
        <v>1605</v>
      </c>
      <c r="B1159" s="376" t="s">
        <v>1609</v>
      </c>
      <c r="C1159" s="376" t="s">
        <v>644</v>
      </c>
      <c r="D1159" s="376">
        <v>2021</v>
      </c>
      <c r="E1159" s="376">
        <v>2030</v>
      </c>
      <c r="F1159" s="376">
        <v>0.23884589662749595</v>
      </c>
      <c r="G1159" s="376">
        <v>10426.102375692073</v>
      </c>
      <c r="H1159" s="376">
        <v>0</v>
      </c>
      <c r="I1159" s="376">
        <v>1</v>
      </c>
    </row>
    <row r="1160" spans="1:9" x14ac:dyDescent="0.35">
      <c r="A1160" s="376" t="s">
        <v>1605</v>
      </c>
      <c r="B1160" s="376" t="s">
        <v>1609</v>
      </c>
      <c r="C1160" s="376" t="s">
        <v>628</v>
      </c>
      <c r="D1160" s="376">
        <v>2021</v>
      </c>
      <c r="E1160" s="376">
        <v>2030</v>
      </c>
      <c r="F1160" s="376">
        <v>0.23884589662749595</v>
      </c>
      <c r="G1160" s="376">
        <v>10426.102375692073</v>
      </c>
      <c r="H1160" s="376">
        <v>0</v>
      </c>
      <c r="I1160" s="376">
        <v>1</v>
      </c>
    </row>
    <row r="1161" spans="1:9" x14ac:dyDescent="0.35">
      <c r="A1161" s="376" t="s">
        <v>1605</v>
      </c>
      <c r="B1161" s="376" t="s">
        <v>1609</v>
      </c>
      <c r="C1161" s="376" t="s">
        <v>1051</v>
      </c>
      <c r="D1161" s="376">
        <v>2021</v>
      </c>
      <c r="E1161" s="376">
        <v>2030</v>
      </c>
      <c r="F1161" s="376">
        <v>0.23884589662749595</v>
      </c>
      <c r="G1161" s="376">
        <v>10426.102375692073</v>
      </c>
      <c r="H1161" s="376">
        <v>0</v>
      </c>
      <c r="I1161" s="376">
        <v>1</v>
      </c>
    </row>
    <row r="1162" spans="1:9" x14ac:dyDescent="0.35">
      <c r="A1162" s="376" t="s">
        <v>1605</v>
      </c>
      <c r="B1162" s="376" t="s">
        <v>1609</v>
      </c>
      <c r="C1162" s="376" t="s">
        <v>1054</v>
      </c>
      <c r="D1162" s="376">
        <v>2021</v>
      </c>
      <c r="E1162" s="376">
        <v>2030</v>
      </c>
      <c r="F1162" s="376">
        <v>0.23884589662749595</v>
      </c>
      <c r="G1162" s="376">
        <v>10426.102375692073</v>
      </c>
      <c r="H1162" s="376">
        <v>0</v>
      </c>
      <c r="I1162" s="376">
        <v>1</v>
      </c>
    </row>
    <row r="1163" spans="1:9" x14ac:dyDescent="0.35">
      <c r="A1163" s="376" t="s">
        <v>1605</v>
      </c>
      <c r="B1163" s="376" t="s">
        <v>1609</v>
      </c>
      <c r="C1163" s="376" t="s">
        <v>1046</v>
      </c>
      <c r="D1163" s="376">
        <v>2021</v>
      </c>
      <c r="E1163" s="376">
        <v>2031</v>
      </c>
      <c r="F1163" s="376">
        <v>0.23884589662749595</v>
      </c>
      <c r="G1163" s="376">
        <v>10426.102375692073</v>
      </c>
      <c r="H1163" s="376">
        <v>0</v>
      </c>
      <c r="I1163" s="376">
        <v>1</v>
      </c>
    </row>
    <row r="1164" spans="1:9" x14ac:dyDescent="0.35">
      <c r="A1164" s="376" t="s">
        <v>1605</v>
      </c>
      <c r="B1164" s="376" t="s">
        <v>1609</v>
      </c>
      <c r="C1164" s="376" t="s">
        <v>644</v>
      </c>
      <c r="D1164" s="376">
        <v>2021</v>
      </c>
      <c r="E1164" s="376">
        <v>2031</v>
      </c>
      <c r="F1164" s="376">
        <v>0.23884589662749595</v>
      </c>
      <c r="G1164" s="376">
        <v>10426.102375692073</v>
      </c>
      <c r="H1164" s="376">
        <v>0</v>
      </c>
      <c r="I1164" s="376">
        <v>1</v>
      </c>
    </row>
    <row r="1165" spans="1:9" x14ac:dyDescent="0.35">
      <c r="A1165" s="376" t="s">
        <v>1605</v>
      </c>
      <c r="B1165" s="376" t="s">
        <v>1609</v>
      </c>
      <c r="C1165" s="376" t="s">
        <v>628</v>
      </c>
      <c r="D1165" s="376">
        <v>2021</v>
      </c>
      <c r="E1165" s="376">
        <v>2031</v>
      </c>
      <c r="F1165" s="376">
        <v>0.23884589662749595</v>
      </c>
      <c r="G1165" s="376">
        <v>10426.102375692073</v>
      </c>
      <c r="H1165" s="376">
        <v>0</v>
      </c>
      <c r="I1165" s="376">
        <v>1</v>
      </c>
    </row>
    <row r="1166" spans="1:9" x14ac:dyDescent="0.35">
      <c r="A1166" s="376" t="s">
        <v>1605</v>
      </c>
      <c r="B1166" s="376" t="s">
        <v>1609</v>
      </c>
      <c r="C1166" s="376" t="s">
        <v>1051</v>
      </c>
      <c r="D1166" s="376">
        <v>2021</v>
      </c>
      <c r="E1166" s="376">
        <v>2031</v>
      </c>
      <c r="F1166" s="376">
        <v>0.23884589662749595</v>
      </c>
      <c r="G1166" s="376">
        <v>10426.102375692073</v>
      </c>
      <c r="H1166" s="376">
        <v>0</v>
      </c>
      <c r="I1166" s="376">
        <v>1</v>
      </c>
    </row>
    <row r="1167" spans="1:9" x14ac:dyDescent="0.35">
      <c r="A1167" s="376" t="s">
        <v>1605</v>
      </c>
      <c r="B1167" s="376" t="s">
        <v>1609</v>
      </c>
      <c r="C1167" s="376" t="s">
        <v>1054</v>
      </c>
      <c r="D1167" s="376">
        <v>2021</v>
      </c>
      <c r="E1167" s="376">
        <v>2031</v>
      </c>
      <c r="F1167" s="376">
        <v>0.23884589662749595</v>
      </c>
      <c r="G1167" s="376">
        <v>10426.102375692073</v>
      </c>
      <c r="H1167" s="376">
        <v>0</v>
      </c>
      <c r="I1167" s="376">
        <v>1</v>
      </c>
    </row>
    <row r="1168" spans="1:9" x14ac:dyDescent="0.35">
      <c r="A1168" s="376" t="s">
        <v>1636</v>
      </c>
      <c r="B1168" s="376" t="s">
        <v>1609</v>
      </c>
      <c r="C1168" s="376" t="s">
        <v>1046</v>
      </c>
      <c r="D1168" s="376">
        <v>2021</v>
      </c>
      <c r="E1168" s="376">
        <v>2021</v>
      </c>
      <c r="F1168" s="376">
        <v>1</v>
      </c>
      <c r="G1168" s="376">
        <v>3817.0476478643659</v>
      </c>
      <c r="H1168" s="376">
        <v>0</v>
      </c>
      <c r="I1168" s="376">
        <v>1</v>
      </c>
    </row>
    <row r="1169" spans="1:9" x14ac:dyDescent="0.35">
      <c r="A1169" s="376" t="s">
        <v>1636</v>
      </c>
      <c r="B1169" s="376" t="s">
        <v>1609</v>
      </c>
      <c r="C1169" s="376" t="s">
        <v>644</v>
      </c>
      <c r="D1169" s="376">
        <v>2021</v>
      </c>
      <c r="E1169" s="376">
        <v>2021</v>
      </c>
      <c r="F1169" s="376">
        <v>1</v>
      </c>
      <c r="G1169" s="376">
        <v>3817.0476478643659</v>
      </c>
      <c r="H1169" s="376">
        <v>0</v>
      </c>
      <c r="I1169" s="376">
        <v>1</v>
      </c>
    </row>
    <row r="1170" spans="1:9" x14ac:dyDescent="0.35">
      <c r="A1170" s="376" t="s">
        <v>1636</v>
      </c>
      <c r="B1170" s="376" t="s">
        <v>1609</v>
      </c>
      <c r="C1170" s="376" t="s">
        <v>628</v>
      </c>
      <c r="D1170" s="376">
        <v>2021</v>
      </c>
      <c r="E1170" s="376">
        <v>2021</v>
      </c>
      <c r="F1170" s="376">
        <v>1</v>
      </c>
      <c r="G1170" s="376">
        <v>3817.0476478643659</v>
      </c>
      <c r="H1170" s="376">
        <v>0</v>
      </c>
      <c r="I1170" s="376">
        <v>1</v>
      </c>
    </row>
    <row r="1171" spans="1:9" x14ac:dyDescent="0.35">
      <c r="A1171" s="376" t="s">
        <v>1636</v>
      </c>
      <c r="B1171" s="376" t="s">
        <v>1609</v>
      </c>
      <c r="C1171" s="376" t="s">
        <v>1051</v>
      </c>
      <c r="D1171" s="376">
        <v>2021</v>
      </c>
      <c r="E1171" s="376">
        <v>2021</v>
      </c>
      <c r="F1171" s="376">
        <v>1</v>
      </c>
      <c r="G1171" s="376">
        <v>3817.0476478643659</v>
      </c>
      <c r="H1171" s="376">
        <v>0</v>
      </c>
      <c r="I1171" s="376">
        <v>1</v>
      </c>
    </row>
    <row r="1172" spans="1:9" x14ac:dyDescent="0.35">
      <c r="A1172" s="376" t="s">
        <v>1636</v>
      </c>
      <c r="B1172" s="376" t="s">
        <v>1609</v>
      </c>
      <c r="C1172" s="376" t="s">
        <v>1054</v>
      </c>
      <c r="D1172" s="376">
        <v>2021</v>
      </c>
      <c r="E1172" s="376">
        <v>2021</v>
      </c>
      <c r="F1172" s="376">
        <v>1</v>
      </c>
      <c r="G1172" s="376">
        <v>3817.0476478643659</v>
      </c>
      <c r="H1172" s="376">
        <v>0</v>
      </c>
      <c r="I1172" s="376">
        <v>1</v>
      </c>
    </row>
    <row r="1173" spans="1:9" x14ac:dyDescent="0.35">
      <c r="A1173" s="376" t="s">
        <v>1636</v>
      </c>
      <c r="B1173" s="376" t="s">
        <v>1609</v>
      </c>
      <c r="C1173" s="376" t="s">
        <v>1046</v>
      </c>
      <c r="D1173" s="376">
        <v>2021</v>
      </c>
      <c r="E1173" s="376">
        <v>2022</v>
      </c>
      <c r="F1173" s="376">
        <v>1</v>
      </c>
      <c r="G1173" s="376">
        <v>3817.0476478643659</v>
      </c>
      <c r="H1173" s="376">
        <v>0</v>
      </c>
      <c r="I1173" s="376">
        <v>1</v>
      </c>
    </row>
    <row r="1174" spans="1:9" x14ac:dyDescent="0.35">
      <c r="A1174" s="376" t="s">
        <v>1636</v>
      </c>
      <c r="B1174" s="376" t="s">
        <v>1609</v>
      </c>
      <c r="C1174" s="376" t="s">
        <v>644</v>
      </c>
      <c r="D1174" s="376">
        <v>2021</v>
      </c>
      <c r="E1174" s="376">
        <v>2022</v>
      </c>
      <c r="F1174" s="376">
        <v>1</v>
      </c>
      <c r="G1174" s="376">
        <v>3817.0476478643659</v>
      </c>
      <c r="H1174" s="376">
        <v>0</v>
      </c>
      <c r="I1174" s="376">
        <v>1</v>
      </c>
    </row>
    <row r="1175" spans="1:9" x14ac:dyDescent="0.35">
      <c r="A1175" s="376" t="s">
        <v>1636</v>
      </c>
      <c r="B1175" s="376" t="s">
        <v>1609</v>
      </c>
      <c r="C1175" s="376" t="s">
        <v>628</v>
      </c>
      <c r="D1175" s="376">
        <v>2021</v>
      </c>
      <c r="E1175" s="376">
        <v>2022</v>
      </c>
      <c r="F1175" s="376">
        <v>1</v>
      </c>
      <c r="G1175" s="376">
        <v>3817.0476478643659</v>
      </c>
      <c r="H1175" s="376">
        <v>0</v>
      </c>
      <c r="I1175" s="376">
        <v>1</v>
      </c>
    </row>
    <row r="1176" spans="1:9" x14ac:dyDescent="0.35">
      <c r="A1176" s="376" t="s">
        <v>1636</v>
      </c>
      <c r="B1176" s="376" t="s">
        <v>1609</v>
      </c>
      <c r="C1176" s="376" t="s">
        <v>1051</v>
      </c>
      <c r="D1176" s="376">
        <v>2021</v>
      </c>
      <c r="E1176" s="376">
        <v>2022</v>
      </c>
      <c r="F1176" s="376">
        <v>1</v>
      </c>
      <c r="G1176" s="376">
        <v>3817.0476478643659</v>
      </c>
      <c r="H1176" s="376">
        <v>0</v>
      </c>
      <c r="I1176" s="376">
        <v>1</v>
      </c>
    </row>
    <row r="1177" spans="1:9" x14ac:dyDescent="0.35">
      <c r="A1177" s="376" t="s">
        <v>1636</v>
      </c>
      <c r="B1177" s="376" t="s">
        <v>1609</v>
      </c>
      <c r="C1177" s="376" t="s">
        <v>1054</v>
      </c>
      <c r="D1177" s="376">
        <v>2021</v>
      </c>
      <c r="E1177" s="376">
        <v>2022</v>
      </c>
      <c r="F1177" s="376">
        <v>1</v>
      </c>
      <c r="G1177" s="376">
        <v>3817.0476478643659</v>
      </c>
      <c r="H1177" s="376">
        <v>0</v>
      </c>
      <c r="I1177" s="376">
        <v>1</v>
      </c>
    </row>
    <row r="1178" spans="1:9" x14ac:dyDescent="0.35">
      <c r="A1178" s="376" t="s">
        <v>1636</v>
      </c>
      <c r="B1178" s="376" t="s">
        <v>1609</v>
      </c>
      <c r="C1178" s="376" t="s">
        <v>1046</v>
      </c>
      <c r="D1178" s="376">
        <v>2021</v>
      </c>
      <c r="E1178" s="376">
        <v>2023</v>
      </c>
      <c r="F1178" s="376">
        <v>1</v>
      </c>
      <c r="G1178" s="376">
        <v>3817.0476478643659</v>
      </c>
      <c r="H1178" s="376">
        <v>0</v>
      </c>
      <c r="I1178" s="376">
        <v>1</v>
      </c>
    </row>
    <row r="1179" spans="1:9" x14ac:dyDescent="0.35">
      <c r="A1179" s="376" t="s">
        <v>1636</v>
      </c>
      <c r="B1179" s="376" t="s">
        <v>1609</v>
      </c>
      <c r="C1179" s="376" t="s">
        <v>644</v>
      </c>
      <c r="D1179" s="376">
        <v>2021</v>
      </c>
      <c r="E1179" s="376">
        <v>2023</v>
      </c>
      <c r="F1179" s="376">
        <v>1</v>
      </c>
      <c r="G1179" s="376">
        <v>3817.0476478643659</v>
      </c>
      <c r="H1179" s="376">
        <v>0</v>
      </c>
      <c r="I1179" s="376">
        <v>1</v>
      </c>
    </row>
    <row r="1180" spans="1:9" x14ac:dyDescent="0.35">
      <c r="A1180" s="376" t="s">
        <v>1636</v>
      </c>
      <c r="B1180" s="376" t="s">
        <v>1609</v>
      </c>
      <c r="C1180" s="376" t="s">
        <v>628</v>
      </c>
      <c r="D1180" s="376">
        <v>2021</v>
      </c>
      <c r="E1180" s="376">
        <v>2023</v>
      </c>
      <c r="F1180" s="376">
        <v>1</v>
      </c>
      <c r="G1180" s="376">
        <v>3817.0476478643659</v>
      </c>
      <c r="H1180" s="376">
        <v>0</v>
      </c>
      <c r="I1180" s="376">
        <v>1</v>
      </c>
    </row>
    <row r="1181" spans="1:9" x14ac:dyDescent="0.35">
      <c r="A1181" s="376" t="s">
        <v>1636</v>
      </c>
      <c r="B1181" s="376" t="s">
        <v>1609</v>
      </c>
      <c r="C1181" s="376" t="s">
        <v>1051</v>
      </c>
      <c r="D1181" s="376">
        <v>2021</v>
      </c>
      <c r="E1181" s="376">
        <v>2023</v>
      </c>
      <c r="F1181" s="376">
        <v>1</v>
      </c>
      <c r="G1181" s="376">
        <v>3817.0476478643659</v>
      </c>
      <c r="H1181" s="376">
        <v>0</v>
      </c>
      <c r="I1181" s="376">
        <v>1</v>
      </c>
    </row>
    <row r="1182" spans="1:9" x14ac:dyDescent="0.35">
      <c r="A1182" s="376" t="s">
        <v>1636</v>
      </c>
      <c r="B1182" s="376" t="s">
        <v>1609</v>
      </c>
      <c r="C1182" s="376" t="s">
        <v>1054</v>
      </c>
      <c r="D1182" s="376">
        <v>2021</v>
      </c>
      <c r="E1182" s="376">
        <v>2023</v>
      </c>
      <c r="F1182" s="376">
        <v>1</v>
      </c>
      <c r="G1182" s="376">
        <v>3817.0476478643659</v>
      </c>
      <c r="H1182" s="376">
        <v>0</v>
      </c>
      <c r="I1182" s="376">
        <v>1</v>
      </c>
    </row>
    <row r="1183" spans="1:9" x14ac:dyDescent="0.35">
      <c r="A1183" s="376" t="s">
        <v>1636</v>
      </c>
      <c r="B1183" s="376" t="s">
        <v>1609</v>
      </c>
      <c r="C1183" s="376" t="s">
        <v>1046</v>
      </c>
      <c r="D1183" s="376">
        <v>2021</v>
      </c>
      <c r="E1183" s="376">
        <v>2024</v>
      </c>
      <c r="F1183" s="376">
        <v>1</v>
      </c>
      <c r="G1183" s="376">
        <v>3817.0476478643659</v>
      </c>
      <c r="H1183" s="376">
        <v>0</v>
      </c>
      <c r="I1183" s="376">
        <v>1</v>
      </c>
    </row>
    <row r="1184" spans="1:9" x14ac:dyDescent="0.35">
      <c r="A1184" s="376" t="s">
        <v>1636</v>
      </c>
      <c r="B1184" s="376" t="s">
        <v>1609</v>
      </c>
      <c r="C1184" s="376" t="s">
        <v>644</v>
      </c>
      <c r="D1184" s="376">
        <v>2021</v>
      </c>
      <c r="E1184" s="376">
        <v>2024</v>
      </c>
      <c r="F1184" s="376">
        <v>1</v>
      </c>
      <c r="G1184" s="376">
        <v>3817.0476478643659</v>
      </c>
      <c r="H1184" s="376">
        <v>0</v>
      </c>
      <c r="I1184" s="376">
        <v>1</v>
      </c>
    </row>
    <row r="1185" spans="1:9" x14ac:dyDescent="0.35">
      <c r="A1185" s="376" t="s">
        <v>1636</v>
      </c>
      <c r="B1185" s="376" t="s">
        <v>1609</v>
      </c>
      <c r="C1185" s="376" t="s">
        <v>628</v>
      </c>
      <c r="D1185" s="376">
        <v>2021</v>
      </c>
      <c r="E1185" s="376">
        <v>2024</v>
      </c>
      <c r="F1185" s="376">
        <v>1</v>
      </c>
      <c r="G1185" s="376">
        <v>3817.0476478643659</v>
      </c>
      <c r="H1185" s="376">
        <v>0</v>
      </c>
      <c r="I1185" s="376">
        <v>1</v>
      </c>
    </row>
    <row r="1186" spans="1:9" x14ac:dyDescent="0.35">
      <c r="A1186" s="376" t="s">
        <v>1636</v>
      </c>
      <c r="B1186" s="376" t="s">
        <v>1609</v>
      </c>
      <c r="C1186" s="376" t="s">
        <v>1051</v>
      </c>
      <c r="D1186" s="376">
        <v>2021</v>
      </c>
      <c r="E1186" s="376">
        <v>2024</v>
      </c>
      <c r="F1186" s="376">
        <v>1</v>
      </c>
      <c r="G1186" s="376">
        <v>3817.0476478643659</v>
      </c>
      <c r="H1186" s="376">
        <v>0</v>
      </c>
      <c r="I1186" s="376">
        <v>1</v>
      </c>
    </row>
    <row r="1187" spans="1:9" x14ac:dyDescent="0.35">
      <c r="A1187" s="376" t="s">
        <v>1636</v>
      </c>
      <c r="B1187" s="376" t="s">
        <v>1609</v>
      </c>
      <c r="C1187" s="376" t="s">
        <v>1054</v>
      </c>
      <c r="D1187" s="376">
        <v>2021</v>
      </c>
      <c r="E1187" s="376">
        <v>2024</v>
      </c>
      <c r="F1187" s="376">
        <v>1</v>
      </c>
      <c r="G1187" s="376">
        <v>3817.0476478643659</v>
      </c>
      <c r="H1187" s="376">
        <v>0</v>
      </c>
      <c r="I1187" s="376">
        <v>1</v>
      </c>
    </row>
    <row r="1188" spans="1:9" x14ac:dyDescent="0.35">
      <c r="A1188" s="376" t="s">
        <v>1636</v>
      </c>
      <c r="B1188" s="376" t="s">
        <v>1609</v>
      </c>
      <c r="C1188" s="376" t="s">
        <v>1046</v>
      </c>
      <c r="D1188" s="376">
        <v>2021</v>
      </c>
      <c r="E1188" s="376">
        <v>2025</v>
      </c>
      <c r="F1188" s="376">
        <v>1</v>
      </c>
      <c r="G1188" s="376">
        <v>3817.0476478643659</v>
      </c>
      <c r="H1188" s="376">
        <v>0</v>
      </c>
      <c r="I1188" s="376">
        <v>1</v>
      </c>
    </row>
    <row r="1189" spans="1:9" x14ac:dyDescent="0.35">
      <c r="A1189" s="376" t="s">
        <v>1636</v>
      </c>
      <c r="B1189" s="376" t="s">
        <v>1609</v>
      </c>
      <c r="C1189" s="376" t="s">
        <v>644</v>
      </c>
      <c r="D1189" s="376">
        <v>2021</v>
      </c>
      <c r="E1189" s="376">
        <v>2025</v>
      </c>
      <c r="F1189" s="376">
        <v>1</v>
      </c>
      <c r="G1189" s="376">
        <v>3817.0476478643659</v>
      </c>
      <c r="H1189" s="376">
        <v>0</v>
      </c>
      <c r="I1189" s="376">
        <v>1</v>
      </c>
    </row>
    <row r="1190" spans="1:9" x14ac:dyDescent="0.35">
      <c r="A1190" s="376" t="s">
        <v>1636</v>
      </c>
      <c r="B1190" s="376" t="s">
        <v>1609</v>
      </c>
      <c r="C1190" s="376" t="s">
        <v>628</v>
      </c>
      <c r="D1190" s="376">
        <v>2021</v>
      </c>
      <c r="E1190" s="376">
        <v>2025</v>
      </c>
      <c r="F1190" s="376">
        <v>1</v>
      </c>
      <c r="G1190" s="376">
        <v>3817.0476478643659</v>
      </c>
      <c r="H1190" s="376">
        <v>0</v>
      </c>
      <c r="I1190" s="376">
        <v>1</v>
      </c>
    </row>
    <row r="1191" spans="1:9" x14ac:dyDescent="0.35">
      <c r="A1191" s="376" t="s">
        <v>1636</v>
      </c>
      <c r="B1191" s="376" t="s">
        <v>1609</v>
      </c>
      <c r="C1191" s="376" t="s">
        <v>1051</v>
      </c>
      <c r="D1191" s="376">
        <v>2021</v>
      </c>
      <c r="E1191" s="376">
        <v>2025</v>
      </c>
      <c r="F1191" s="376">
        <v>1</v>
      </c>
      <c r="G1191" s="376">
        <v>3817.0476478643659</v>
      </c>
      <c r="H1191" s="376">
        <v>0</v>
      </c>
      <c r="I1191" s="376">
        <v>1</v>
      </c>
    </row>
    <row r="1192" spans="1:9" x14ac:dyDescent="0.35">
      <c r="A1192" s="376" t="s">
        <v>1636</v>
      </c>
      <c r="B1192" s="376" t="s">
        <v>1609</v>
      </c>
      <c r="C1192" s="376" t="s">
        <v>1054</v>
      </c>
      <c r="D1192" s="376">
        <v>2021</v>
      </c>
      <c r="E1192" s="376">
        <v>2025</v>
      </c>
      <c r="F1192" s="376">
        <v>1</v>
      </c>
      <c r="G1192" s="376">
        <v>3817.0476478643659</v>
      </c>
      <c r="H1192" s="376">
        <v>0</v>
      </c>
      <c r="I1192" s="376">
        <v>1</v>
      </c>
    </row>
    <row r="1193" spans="1:9" x14ac:dyDescent="0.35">
      <c r="A1193" s="376" t="s">
        <v>1636</v>
      </c>
      <c r="B1193" s="376" t="s">
        <v>1609</v>
      </c>
      <c r="C1193" s="376" t="s">
        <v>1046</v>
      </c>
      <c r="D1193" s="376">
        <v>2021</v>
      </c>
      <c r="E1193" s="376">
        <v>2026</v>
      </c>
      <c r="F1193" s="376">
        <v>1</v>
      </c>
      <c r="G1193" s="376">
        <v>3817.0476478643659</v>
      </c>
      <c r="H1193" s="376">
        <v>0</v>
      </c>
      <c r="I1193" s="376">
        <v>1</v>
      </c>
    </row>
    <row r="1194" spans="1:9" x14ac:dyDescent="0.35">
      <c r="A1194" s="376" t="s">
        <v>1636</v>
      </c>
      <c r="B1194" s="376" t="s">
        <v>1609</v>
      </c>
      <c r="C1194" s="376" t="s">
        <v>644</v>
      </c>
      <c r="D1194" s="376">
        <v>2021</v>
      </c>
      <c r="E1194" s="376">
        <v>2026</v>
      </c>
      <c r="F1194" s="376">
        <v>1</v>
      </c>
      <c r="G1194" s="376">
        <v>3817.0476478643659</v>
      </c>
      <c r="H1194" s="376">
        <v>0</v>
      </c>
      <c r="I1194" s="376">
        <v>1</v>
      </c>
    </row>
    <row r="1195" spans="1:9" x14ac:dyDescent="0.35">
      <c r="A1195" s="376" t="s">
        <v>1636</v>
      </c>
      <c r="B1195" s="376" t="s">
        <v>1609</v>
      </c>
      <c r="C1195" s="376" t="s">
        <v>628</v>
      </c>
      <c r="D1195" s="376">
        <v>2021</v>
      </c>
      <c r="E1195" s="376">
        <v>2026</v>
      </c>
      <c r="F1195" s="376">
        <v>1</v>
      </c>
      <c r="G1195" s="376">
        <v>3817.0476478643659</v>
      </c>
      <c r="H1195" s="376">
        <v>0</v>
      </c>
      <c r="I1195" s="376">
        <v>1</v>
      </c>
    </row>
    <row r="1196" spans="1:9" x14ac:dyDescent="0.35">
      <c r="A1196" s="376" t="s">
        <v>1636</v>
      </c>
      <c r="B1196" s="376" t="s">
        <v>1609</v>
      </c>
      <c r="C1196" s="376" t="s">
        <v>1051</v>
      </c>
      <c r="D1196" s="376">
        <v>2021</v>
      </c>
      <c r="E1196" s="376">
        <v>2026</v>
      </c>
      <c r="F1196" s="376">
        <v>1</v>
      </c>
      <c r="G1196" s="376">
        <v>3817.0476478643659</v>
      </c>
      <c r="H1196" s="376">
        <v>0</v>
      </c>
      <c r="I1196" s="376">
        <v>1</v>
      </c>
    </row>
    <row r="1197" spans="1:9" x14ac:dyDescent="0.35">
      <c r="A1197" s="376" t="s">
        <v>1636</v>
      </c>
      <c r="B1197" s="376" t="s">
        <v>1609</v>
      </c>
      <c r="C1197" s="376" t="s">
        <v>1054</v>
      </c>
      <c r="D1197" s="376">
        <v>2021</v>
      </c>
      <c r="E1197" s="376">
        <v>2026</v>
      </c>
      <c r="F1197" s="376">
        <v>1</v>
      </c>
      <c r="G1197" s="376">
        <v>3817.0476478643659</v>
      </c>
      <c r="H1197" s="376">
        <v>0</v>
      </c>
      <c r="I1197" s="376">
        <v>1</v>
      </c>
    </row>
    <row r="1198" spans="1:9" x14ac:dyDescent="0.35">
      <c r="A1198" s="376" t="s">
        <v>1636</v>
      </c>
      <c r="B1198" s="376" t="s">
        <v>1609</v>
      </c>
      <c r="C1198" s="376" t="s">
        <v>1046</v>
      </c>
      <c r="D1198" s="376">
        <v>2021</v>
      </c>
      <c r="E1198" s="376">
        <v>2027</v>
      </c>
      <c r="F1198" s="376">
        <v>1</v>
      </c>
      <c r="G1198" s="376">
        <v>3817.0476478643659</v>
      </c>
      <c r="H1198" s="376">
        <v>0</v>
      </c>
      <c r="I1198" s="376">
        <v>1</v>
      </c>
    </row>
    <row r="1199" spans="1:9" x14ac:dyDescent="0.35">
      <c r="A1199" s="376" t="s">
        <v>1636</v>
      </c>
      <c r="B1199" s="376" t="s">
        <v>1609</v>
      </c>
      <c r="C1199" s="376" t="s">
        <v>644</v>
      </c>
      <c r="D1199" s="376">
        <v>2021</v>
      </c>
      <c r="E1199" s="376">
        <v>2027</v>
      </c>
      <c r="F1199" s="376">
        <v>1</v>
      </c>
      <c r="G1199" s="376">
        <v>3817.0476478643659</v>
      </c>
      <c r="H1199" s="376">
        <v>0</v>
      </c>
      <c r="I1199" s="376">
        <v>1</v>
      </c>
    </row>
    <row r="1200" spans="1:9" x14ac:dyDescent="0.35">
      <c r="A1200" s="376" t="s">
        <v>1636</v>
      </c>
      <c r="B1200" s="376" t="s">
        <v>1609</v>
      </c>
      <c r="C1200" s="376" t="s">
        <v>628</v>
      </c>
      <c r="D1200" s="376">
        <v>2021</v>
      </c>
      <c r="E1200" s="376">
        <v>2027</v>
      </c>
      <c r="F1200" s="376">
        <v>1</v>
      </c>
      <c r="G1200" s="376">
        <v>3817.0476478643659</v>
      </c>
      <c r="H1200" s="376">
        <v>0</v>
      </c>
      <c r="I1200" s="376">
        <v>1</v>
      </c>
    </row>
    <row r="1201" spans="1:9" x14ac:dyDescent="0.35">
      <c r="A1201" s="376" t="s">
        <v>1636</v>
      </c>
      <c r="B1201" s="376" t="s">
        <v>1609</v>
      </c>
      <c r="C1201" s="376" t="s">
        <v>1051</v>
      </c>
      <c r="D1201" s="376">
        <v>2021</v>
      </c>
      <c r="E1201" s="376">
        <v>2027</v>
      </c>
      <c r="F1201" s="376">
        <v>1</v>
      </c>
      <c r="G1201" s="376">
        <v>3817.0476478643659</v>
      </c>
      <c r="H1201" s="376">
        <v>0</v>
      </c>
      <c r="I1201" s="376">
        <v>1</v>
      </c>
    </row>
    <row r="1202" spans="1:9" x14ac:dyDescent="0.35">
      <c r="A1202" s="376" t="s">
        <v>1636</v>
      </c>
      <c r="B1202" s="376" t="s">
        <v>1609</v>
      </c>
      <c r="C1202" s="376" t="s">
        <v>1054</v>
      </c>
      <c r="D1202" s="376">
        <v>2021</v>
      </c>
      <c r="E1202" s="376">
        <v>2027</v>
      </c>
      <c r="F1202" s="376">
        <v>1</v>
      </c>
      <c r="G1202" s="376">
        <v>3817.0476478643659</v>
      </c>
      <c r="H1202" s="376">
        <v>0</v>
      </c>
      <c r="I1202" s="376">
        <v>1</v>
      </c>
    </row>
    <row r="1203" spans="1:9" x14ac:dyDescent="0.35">
      <c r="A1203" s="376" t="s">
        <v>1636</v>
      </c>
      <c r="B1203" s="376" t="s">
        <v>1609</v>
      </c>
      <c r="C1203" s="376" t="s">
        <v>1046</v>
      </c>
      <c r="D1203" s="376">
        <v>2021</v>
      </c>
      <c r="E1203" s="376">
        <v>2028</v>
      </c>
      <c r="F1203" s="376">
        <v>1</v>
      </c>
      <c r="G1203" s="376">
        <v>3817.0476478643659</v>
      </c>
      <c r="H1203" s="376">
        <v>0</v>
      </c>
      <c r="I1203" s="376">
        <v>1</v>
      </c>
    </row>
    <row r="1204" spans="1:9" x14ac:dyDescent="0.35">
      <c r="A1204" s="376" t="s">
        <v>1636</v>
      </c>
      <c r="B1204" s="376" t="s">
        <v>1609</v>
      </c>
      <c r="C1204" s="376" t="s">
        <v>644</v>
      </c>
      <c r="D1204" s="376">
        <v>2021</v>
      </c>
      <c r="E1204" s="376">
        <v>2028</v>
      </c>
      <c r="F1204" s="376">
        <v>1</v>
      </c>
      <c r="G1204" s="376">
        <v>3817.0476478643659</v>
      </c>
      <c r="H1204" s="376">
        <v>0</v>
      </c>
      <c r="I1204" s="376">
        <v>1</v>
      </c>
    </row>
    <row r="1205" spans="1:9" x14ac:dyDescent="0.35">
      <c r="A1205" s="376" t="s">
        <v>1636</v>
      </c>
      <c r="B1205" s="376" t="s">
        <v>1609</v>
      </c>
      <c r="C1205" s="376" t="s">
        <v>628</v>
      </c>
      <c r="D1205" s="376">
        <v>2021</v>
      </c>
      <c r="E1205" s="376">
        <v>2028</v>
      </c>
      <c r="F1205" s="376">
        <v>1</v>
      </c>
      <c r="G1205" s="376">
        <v>3817.0476478643659</v>
      </c>
      <c r="H1205" s="376">
        <v>0</v>
      </c>
      <c r="I1205" s="376">
        <v>1</v>
      </c>
    </row>
    <row r="1206" spans="1:9" x14ac:dyDescent="0.35">
      <c r="A1206" s="376" t="s">
        <v>1636</v>
      </c>
      <c r="B1206" s="376" t="s">
        <v>1609</v>
      </c>
      <c r="C1206" s="376" t="s">
        <v>1051</v>
      </c>
      <c r="D1206" s="376">
        <v>2021</v>
      </c>
      <c r="E1206" s="376">
        <v>2028</v>
      </c>
      <c r="F1206" s="376">
        <v>1</v>
      </c>
      <c r="G1206" s="376">
        <v>3817.0476478643659</v>
      </c>
      <c r="H1206" s="376">
        <v>0</v>
      </c>
      <c r="I1206" s="376">
        <v>1</v>
      </c>
    </row>
    <row r="1207" spans="1:9" x14ac:dyDescent="0.35">
      <c r="A1207" s="376" t="s">
        <v>1636</v>
      </c>
      <c r="B1207" s="376" t="s">
        <v>1609</v>
      </c>
      <c r="C1207" s="376" t="s">
        <v>1054</v>
      </c>
      <c r="D1207" s="376">
        <v>2021</v>
      </c>
      <c r="E1207" s="376">
        <v>2028</v>
      </c>
      <c r="F1207" s="376">
        <v>1</v>
      </c>
      <c r="G1207" s="376">
        <v>3817.0476478643659</v>
      </c>
      <c r="H1207" s="376">
        <v>0</v>
      </c>
      <c r="I1207" s="376">
        <v>1</v>
      </c>
    </row>
    <row r="1208" spans="1:9" x14ac:dyDescent="0.35">
      <c r="A1208" s="376" t="s">
        <v>1636</v>
      </c>
      <c r="B1208" s="376" t="s">
        <v>1609</v>
      </c>
      <c r="C1208" s="376" t="s">
        <v>1046</v>
      </c>
      <c r="D1208" s="376">
        <v>2021</v>
      </c>
      <c r="E1208" s="376">
        <v>2029</v>
      </c>
      <c r="F1208" s="376">
        <v>1</v>
      </c>
      <c r="G1208" s="376">
        <v>3817.0476478643659</v>
      </c>
      <c r="H1208" s="376">
        <v>0</v>
      </c>
      <c r="I1208" s="376">
        <v>1</v>
      </c>
    </row>
    <row r="1209" spans="1:9" x14ac:dyDescent="0.35">
      <c r="A1209" s="376" t="s">
        <v>1636</v>
      </c>
      <c r="B1209" s="376" t="s">
        <v>1609</v>
      </c>
      <c r="C1209" s="376" t="s">
        <v>644</v>
      </c>
      <c r="D1209" s="376">
        <v>2021</v>
      </c>
      <c r="E1209" s="376">
        <v>2029</v>
      </c>
      <c r="F1209" s="376">
        <v>1</v>
      </c>
      <c r="G1209" s="376">
        <v>3817.0476478643659</v>
      </c>
      <c r="H1209" s="376">
        <v>0</v>
      </c>
      <c r="I1209" s="376">
        <v>1</v>
      </c>
    </row>
    <row r="1210" spans="1:9" x14ac:dyDescent="0.35">
      <c r="A1210" s="376" t="s">
        <v>1636</v>
      </c>
      <c r="B1210" s="376" t="s">
        <v>1609</v>
      </c>
      <c r="C1210" s="376" t="s">
        <v>628</v>
      </c>
      <c r="D1210" s="376">
        <v>2021</v>
      </c>
      <c r="E1210" s="376">
        <v>2029</v>
      </c>
      <c r="F1210" s="376">
        <v>1</v>
      </c>
      <c r="G1210" s="376">
        <v>3817.0476478643659</v>
      </c>
      <c r="H1210" s="376">
        <v>0</v>
      </c>
      <c r="I1210" s="376">
        <v>1</v>
      </c>
    </row>
    <row r="1211" spans="1:9" x14ac:dyDescent="0.35">
      <c r="A1211" s="376" t="s">
        <v>1636</v>
      </c>
      <c r="B1211" s="376" t="s">
        <v>1609</v>
      </c>
      <c r="C1211" s="376" t="s">
        <v>1051</v>
      </c>
      <c r="D1211" s="376">
        <v>2021</v>
      </c>
      <c r="E1211" s="376">
        <v>2029</v>
      </c>
      <c r="F1211" s="376">
        <v>1</v>
      </c>
      <c r="G1211" s="376">
        <v>3817.0476478643659</v>
      </c>
      <c r="H1211" s="376">
        <v>0</v>
      </c>
      <c r="I1211" s="376">
        <v>1</v>
      </c>
    </row>
    <row r="1212" spans="1:9" x14ac:dyDescent="0.35">
      <c r="A1212" s="376" t="s">
        <v>1636</v>
      </c>
      <c r="B1212" s="376" t="s">
        <v>1609</v>
      </c>
      <c r="C1212" s="376" t="s">
        <v>1054</v>
      </c>
      <c r="D1212" s="376">
        <v>2021</v>
      </c>
      <c r="E1212" s="376">
        <v>2029</v>
      </c>
      <c r="F1212" s="376">
        <v>1</v>
      </c>
      <c r="G1212" s="376">
        <v>3817.0476478643659</v>
      </c>
      <c r="H1212" s="376">
        <v>0</v>
      </c>
      <c r="I1212" s="376">
        <v>1</v>
      </c>
    </row>
    <row r="1213" spans="1:9" x14ac:dyDescent="0.35">
      <c r="A1213" s="376" t="s">
        <v>1636</v>
      </c>
      <c r="B1213" s="376" t="s">
        <v>1609</v>
      </c>
      <c r="C1213" s="376" t="s">
        <v>1046</v>
      </c>
      <c r="D1213" s="376">
        <v>2021</v>
      </c>
      <c r="E1213" s="376">
        <v>2030</v>
      </c>
      <c r="F1213" s="376">
        <v>1</v>
      </c>
      <c r="G1213" s="376">
        <v>3817.0476478643659</v>
      </c>
      <c r="H1213" s="376">
        <v>0</v>
      </c>
      <c r="I1213" s="376">
        <v>1</v>
      </c>
    </row>
    <row r="1214" spans="1:9" x14ac:dyDescent="0.35">
      <c r="A1214" s="376" t="s">
        <v>1636</v>
      </c>
      <c r="B1214" s="376" t="s">
        <v>1609</v>
      </c>
      <c r="C1214" s="376" t="s">
        <v>644</v>
      </c>
      <c r="D1214" s="376">
        <v>2021</v>
      </c>
      <c r="E1214" s="376">
        <v>2030</v>
      </c>
      <c r="F1214" s="376">
        <v>1</v>
      </c>
      <c r="G1214" s="376">
        <v>3817.0476478643659</v>
      </c>
      <c r="H1214" s="376">
        <v>0</v>
      </c>
      <c r="I1214" s="376">
        <v>1</v>
      </c>
    </row>
    <row r="1215" spans="1:9" x14ac:dyDescent="0.35">
      <c r="A1215" s="376" t="s">
        <v>1636</v>
      </c>
      <c r="B1215" s="376" t="s">
        <v>1609</v>
      </c>
      <c r="C1215" s="376" t="s">
        <v>628</v>
      </c>
      <c r="D1215" s="376">
        <v>2021</v>
      </c>
      <c r="E1215" s="376">
        <v>2030</v>
      </c>
      <c r="F1215" s="376">
        <v>1</v>
      </c>
      <c r="G1215" s="376">
        <v>3817.0476478643659</v>
      </c>
      <c r="H1215" s="376">
        <v>0</v>
      </c>
      <c r="I1215" s="376">
        <v>1</v>
      </c>
    </row>
    <row r="1216" spans="1:9" x14ac:dyDescent="0.35">
      <c r="A1216" s="376" t="s">
        <v>1636</v>
      </c>
      <c r="B1216" s="376" t="s">
        <v>1609</v>
      </c>
      <c r="C1216" s="376" t="s">
        <v>1051</v>
      </c>
      <c r="D1216" s="376">
        <v>2021</v>
      </c>
      <c r="E1216" s="376">
        <v>2030</v>
      </c>
      <c r="F1216" s="376">
        <v>1</v>
      </c>
      <c r="G1216" s="376">
        <v>3817.0476478643659</v>
      </c>
      <c r="H1216" s="376">
        <v>0</v>
      </c>
      <c r="I1216" s="376">
        <v>1</v>
      </c>
    </row>
    <row r="1217" spans="1:9" x14ac:dyDescent="0.35">
      <c r="A1217" s="376" t="s">
        <v>1636</v>
      </c>
      <c r="B1217" s="376" t="s">
        <v>1609</v>
      </c>
      <c r="C1217" s="376" t="s">
        <v>1054</v>
      </c>
      <c r="D1217" s="376">
        <v>2021</v>
      </c>
      <c r="E1217" s="376">
        <v>2030</v>
      </c>
      <c r="F1217" s="376">
        <v>1</v>
      </c>
      <c r="G1217" s="376">
        <v>3817.0476478643659</v>
      </c>
      <c r="H1217" s="376">
        <v>0</v>
      </c>
      <c r="I1217" s="376">
        <v>1</v>
      </c>
    </row>
    <row r="1218" spans="1:9" x14ac:dyDescent="0.35">
      <c r="A1218" s="376" t="s">
        <v>1636</v>
      </c>
      <c r="B1218" s="376" t="s">
        <v>1609</v>
      </c>
      <c r="C1218" s="376" t="s">
        <v>1046</v>
      </c>
      <c r="D1218" s="376">
        <v>2021</v>
      </c>
      <c r="E1218" s="376">
        <v>2031</v>
      </c>
      <c r="F1218" s="376">
        <v>1</v>
      </c>
      <c r="G1218" s="376">
        <v>3817.0476478643659</v>
      </c>
      <c r="H1218" s="376">
        <v>0</v>
      </c>
      <c r="I1218" s="376">
        <v>1</v>
      </c>
    </row>
    <row r="1219" spans="1:9" x14ac:dyDescent="0.35">
      <c r="A1219" s="376" t="s">
        <v>1636</v>
      </c>
      <c r="B1219" s="376" t="s">
        <v>1609</v>
      </c>
      <c r="C1219" s="376" t="s">
        <v>644</v>
      </c>
      <c r="D1219" s="376">
        <v>2021</v>
      </c>
      <c r="E1219" s="376">
        <v>2031</v>
      </c>
      <c r="F1219" s="376">
        <v>1</v>
      </c>
      <c r="G1219" s="376">
        <v>3817.0476478643659</v>
      </c>
      <c r="H1219" s="376">
        <v>0</v>
      </c>
      <c r="I1219" s="376">
        <v>1</v>
      </c>
    </row>
    <row r="1220" spans="1:9" x14ac:dyDescent="0.35">
      <c r="A1220" s="376" t="s">
        <v>1636</v>
      </c>
      <c r="B1220" s="376" t="s">
        <v>1609</v>
      </c>
      <c r="C1220" s="376" t="s">
        <v>628</v>
      </c>
      <c r="D1220" s="376">
        <v>2021</v>
      </c>
      <c r="E1220" s="376">
        <v>2031</v>
      </c>
      <c r="F1220" s="376">
        <v>1</v>
      </c>
      <c r="G1220" s="376">
        <v>3817.0476478643659</v>
      </c>
      <c r="H1220" s="376">
        <v>0</v>
      </c>
      <c r="I1220" s="376">
        <v>1</v>
      </c>
    </row>
    <row r="1221" spans="1:9" x14ac:dyDescent="0.35">
      <c r="A1221" s="376" t="s">
        <v>1636</v>
      </c>
      <c r="B1221" s="376" t="s">
        <v>1609</v>
      </c>
      <c r="C1221" s="376" t="s">
        <v>1051</v>
      </c>
      <c r="D1221" s="376">
        <v>2021</v>
      </c>
      <c r="E1221" s="376">
        <v>2031</v>
      </c>
      <c r="F1221" s="376">
        <v>1</v>
      </c>
      <c r="G1221" s="376">
        <v>3817.0476478643659</v>
      </c>
      <c r="H1221" s="376">
        <v>0</v>
      </c>
      <c r="I1221" s="376">
        <v>1</v>
      </c>
    </row>
    <row r="1222" spans="1:9" x14ac:dyDescent="0.35">
      <c r="A1222" s="376" t="s">
        <v>1636</v>
      </c>
      <c r="B1222" s="376" t="s">
        <v>1609</v>
      </c>
      <c r="C1222" s="376" t="s">
        <v>1054</v>
      </c>
      <c r="D1222" s="376">
        <v>2021</v>
      </c>
      <c r="E1222" s="376">
        <v>2031</v>
      </c>
      <c r="F1222" s="376">
        <v>1</v>
      </c>
      <c r="G1222" s="376">
        <v>3817.0476478643659</v>
      </c>
      <c r="H1222" s="376">
        <v>0</v>
      </c>
      <c r="I1222" s="376">
        <v>1</v>
      </c>
    </row>
    <row r="1223" spans="1:9" x14ac:dyDescent="0.35">
      <c r="A1223" s="376" t="s">
        <v>1606</v>
      </c>
      <c r="B1223" s="376" t="s">
        <v>1609</v>
      </c>
      <c r="C1223" s="376" t="s">
        <v>1046</v>
      </c>
      <c r="D1223" s="376">
        <v>2021</v>
      </c>
      <c r="E1223" s="376">
        <v>2021</v>
      </c>
      <c r="F1223" s="376">
        <v>1</v>
      </c>
      <c r="G1223" s="376">
        <v>6176.8188824187309</v>
      </c>
      <c r="H1223" s="376">
        <v>0</v>
      </c>
      <c r="I1223" s="376">
        <v>1</v>
      </c>
    </row>
    <row r="1224" spans="1:9" x14ac:dyDescent="0.35">
      <c r="A1224" s="376" t="s">
        <v>1606</v>
      </c>
      <c r="B1224" s="376" t="s">
        <v>1609</v>
      </c>
      <c r="C1224" s="376" t="s">
        <v>644</v>
      </c>
      <c r="D1224" s="376">
        <v>2021</v>
      </c>
      <c r="E1224" s="376">
        <v>2021</v>
      </c>
      <c r="F1224" s="376">
        <v>1</v>
      </c>
      <c r="G1224" s="376">
        <v>6176.8188824187309</v>
      </c>
      <c r="H1224" s="376">
        <v>0</v>
      </c>
      <c r="I1224" s="376">
        <v>1</v>
      </c>
    </row>
    <row r="1225" spans="1:9" x14ac:dyDescent="0.35">
      <c r="A1225" s="376" t="s">
        <v>1606</v>
      </c>
      <c r="B1225" s="376" t="s">
        <v>1609</v>
      </c>
      <c r="C1225" s="376" t="s">
        <v>628</v>
      </c>
      <c r="D1225" s="376">
        <v>2021</v>
      </c>
      <c r="E1225" s="376">
        <v>2021</v>
      </c>
      <c r="F1225" s="376">
        <v>1</v>
      </c>
      <c r="G1225" s="376">
        <v>6176.8188824187309</v>
      </c>
      <c r="H1225" s="376">
        <v>0</v>
      </c>
      <c r="I1225" s="376">
        <v>1</v>
      </c>
    </row>
    <row r="1226" spans="1:9" x14ac:dyDescent="0.35">
      <c r="A1226" s="376" t="s">
        <v>1606</v>
      </c>
      <c r="B1226" s="376" t="s">
        <v>1609</v>
      </c>
      <c r="C1226" s="376" t="s">
        <v>1051</v>
      </c>
      <c r="D1226" s="376">
        <v>2021</v>
      </c>
      <c r="E1226" s="376">
        <v>2021</v>
      </c>
      <c r="F1226" s="376">
        <v>1</v>
      </c>
      <c r="G1226" s="376">
        <v>6176.8188824187309</v>
      </c>
      <c r="H1226" s="376">
        <v>0</v>
      </c>
      <c r="I1226" s="376">
        <v>1</v>
      </c>
    </row>
    <row r="1227" spans="1:9" x14ac:dyDescent="0.35">
      <c r="A1227" s="376" t="s">
        <v>1606</v>
      </c>
      <c r="B1227" s="376" t="s">
        <v>1609</v>
      </c>
      <c r="C1227" s="376" t="s">
        <v>1054</v>
      </c>
      <c r="D1227" s="376">
        <v>2021</v>
      </c>
      <c r="E1227" s="376">
        <v>2021</v>
      </c>
      <c r="F1227" s="376">
        <v>1</v>
      </c>
      <c r="G1227" s="376">
        <v>6176.8188824187309</v>
      </c>
      <c r="H1227" s="376">
        <v>0</v>
      </c>
      <c r="I1227" s="376">
        <v>1</v>
      </c>
    </row>
    <row r="1228" spans="1:9" x14ac:dyDescent="0.35">
      <c r="A1228" s="376" t="s">
        <v>1606</v>
      </c>
      <c r="B1228" s="376" t="s">
        <v>1609</v>
      </c>
      <c r="C1228" s="376" t="s">
        <v>1046</v>
      </c>
      <c r="D1228" s="376">
        <v>2021</v>
      </c>
      <c r="E1228" s="376">
        <v>2022</v>
      </c>
      <c r="F1228" s="376">
        <v>1</v>
      </c>
      <c r="G1228" s="376">
        <v>6176.8188824187309</v>
      </c>
      <c r="H1228" s="376">
        <v>0</v>
      </c>
      <c r="I1228" s="376">
        <v>1</v>
      </c>
    </row>
    <row r="1229" spans="1:9" x14ac:dyDescent="0.35">
      <c r="A1229" s="376" t="s">
        <v>1606</v>
      </c>
      <c r="B1229" s="376" t="s">
        <v>1609</v>
      </c>
      <c r="C1229" s="376" t="s">
        <v>644</v>
      </c>
      <c r="D1229" s="376">
        <v>2021</v>
      </c>
      <c r="E1229" s="376">
        <v>2022</v>
      </c>
      <c r="F1229" s="376">
        <v>1</v>
      </c>
      <c r="G1229" s="376">
        <v>6176.8188824187309</v>
      </c>
      <c r="H1229" s="376">
        <v>0</v>
      </c>
      <c r="I1229" s="376">
        <v>1</v>
      </c>
    </row>
    <row r="1230" spans="1:9" x14ac:dyDescent="0.35">
      <c r="A1230" s="376" t="s">
        <v>1606</v>
      </c>
      <c r="B1230" s="376" t="s">
        <v>1609</v>
      </c>
      <c r="C1230" s="376" t="s">
        <v>628</v>
      </c>
      <c r="D1230" s="376">
        <v>2021</v>
      </c>
      <c r="E1230" s="376">
        <v>2022</v>
      </c>
      <c r="F1230" s="376">
        <v>1</v>
      </c>
      <c r="G1230" s="376">
        <v>6176.8188824187309</v>
      </c>
      <c r="H1230" s="376">
        <v>0</v>
      </c>
      <c r="I1230" s="376">
        <v>1</v>
      </c>
    </row>
    <row r="1231" spans="1:9" x14ac:dyDescent="0.35">
      <c r="A1231" s="376" t="s">
        <v>1606</v>
      </c>
      <c r="B1231" s="376" t="s">
        <v>1609</v>
      </c>
      <c r="C1231" s="376" t="s">
        <v>1051</v>
      </c>
      <c r="D1231" s="376">
        <v>2021</v>
      </c>
      <c r="E1231" s="376">
        <v>2022</v>
      </c>
      <c r="F1231" s="376">
        <v>1</v>
      </c>
      <c r="G1231" s="376">
        <v>6176.8188824187309</v>
      </c>
      <c r="H1231" s="376">
        <v>0</v>
      </c>
      <c r="I1231" s="376">
        <v>1</v>
      </c>
    </row>
    <row r="1232" spans="1:9" x14ac:dyDescent="0.35">
      <c r="A1232" s="376" t="s">
        <v>1606</v>
      </c>
      <c r="B1232" s="376" t="s">
        <v>1609</v>
      </c>
      <c r="C1232" s="376" t="s">
        <v>1054</v>
      </c>
      <c r="D1232" s="376">
        <v>2021</v>
      </c>
      <c r="E1232" s="376">
        <v>2022</v>
      </c>
      <c r="F1232" s="376">
        <v>1</v>
      </c>
      <c r="G1232" s="376">
        <v>6176.8188824187309</v>
      </c>
      <c r="H1232" s="376">
        <v>0</v>
      </c>
      <c r="I1232" s="376">
        <v>1</v>
      </c>
    </row>
    <row r="1233" spans="1:9" x14ac:dyDescent="0.35">
      <c r="A1233" s="376" t="s">
        <v>1606</v>
      </c>
      <c r="B1233" s="376" t="s">
        <v>1609</v>
      </c>
      <c r="C1233" s="376" t="s">
        <v>1046</v>
      </c>
      <c r="D1233" s="376">
        <v>2021</v>
      </c>
      <c r="E1233" s="376">
        <v>2023</v>
      </c>
      <c r="F1233" s="376">
        <v>1</v>
      </c>
      <c r="G1233" s="376">
        <v>6176.8188824187309</v>
      </c>
      <c r="H1233" s="376">
        <v>0</v>
      </c>
      <c r="I1233" s="376">
        <v>1</v>
      </c>
    </row>
    <row r="1234" spans="1:9" x14ac:dyDescent="0.35">
      <c r="A1234" s="376" t="s">
        <v>1606</v>
      </c>
      <c r="B1234" s="376" t="s">
        <v>1609</v>
      </c>
      <c r="C1234" s="376" t="s">
        <v>644</v>
      </c>
      <c r="D1234" s="376">
        <v>2021</v>
      </c>
      <c r="E1234" s="376">
        <v>2023</v>
      </c>
      <c r="F1234" s="376">
        <v>1</v>
      </c>
      <c r="G1234" s="376">
        <v>6176.8188824187309</v>
      </c>
      <c r="H1234" s="376">
        <v>0</v>
      </c>
      <c r="I1234" s="376">
        <v>1</v>
      </c>
    </row>
    <row r="1235" spans="1:9" x14ac:dyDescent="0.35">
      <c r="A1235" s="376" t="s">
        <v>1606</v>
      </c>
      <c r="B1235" s="376" t="s">
        <v>1609</v>
      </c>
      <c r="C1235" s="376" t="s">
        <v>628</v>
      </c>
      <c r="D1235" s="376">
        <v>2021</v>
      </c>
      <c r="E1235" s="376">
        <v>2023</v>
      </c>
      <c r="F1235" s="376">
        <v>1</v>
      </c>
      <c r="G1235" s="376">
        <v>6176.8188824187309</v>
      </c>
      <c r="H1235" s="376">
        <v>0</v>
      </c>
      <c r="I1235" s="376">
        <v>1</v>
      </c>
    </row>
    <row r="1236" spans="1:9" x14ac:dyDescent="0.35">
      <c r="A1236" s="376" t="s">
        <v>1606</v>
      </c>
      <c r="B1236" s="376" t="s">
        <v>1609</v>
      </c>
      <c r="C1236" s="376" t="s">
        <v>1051</v>
      </c>
      <c r="D1236" s="376">
        <v>2021</v>
      </c>
      <c r="E1236" s="376">
        <v>2023</v>
      </c>
      <c r="F1236" s="376">
        <v>1</v>
      </c>
      <c r="G1236" s="376">
        <v>6176.8188824187309</v>
      </c>
      <c r="H1236" s="376">
        <v>0</v>
      </c>
      <c r="I1236" s="376">
        <v>1</v>
      </c>
    </row>
    <row r="1237" spans="1:9" x14ac:dyDescent="0.35">
      <c r="A1237" s="376" t="s">
        <v>1606</v>
      </c>
      <c r="B1237" s="376" t="s">
        <v>1609</v>
      </c>
      <c r="C1237" s="376" t="s">
        <v>1054</v>
      </c>
      <c r="D1237" s="376">
        <v>2021</v>
      </c>
      <c r="E1237" s="376">
        <v>2023</v>
      </c>
      <c r="F1237" s="376">
        <v>1</v>
      </c>
      <c r="G1237" s="376">
        <v>6176.8188824187309</v>
      </c>
      <c r="H1237" s="376">
        <v>0</v>
      </c>
      <c r="I1237" s="376">
        <v>1</v>
      </c>
    </row>
    <row r="1238" spans="1:9" x14ac:dyDescent="0.35">
      <c r="A1238" s="376" t="s">
        <v>1606</v>
      </c>
      <c r="B1238" s="376" t="s">
        <v>1609</v>
      </c>
      <c r="C1238" s="376" t="s">
        <v>1046</v>
      </c>
      <c r="D1238" s="376">
        <v>2021</v>
      </c>
      <c r="E1238" s="376">
        <v>2024</v>
      </c>
      <c r="F1238" s="376">
        <v>1</v>
      </c>
      <c r="G1238" s="376">
        <v>6176.8188824187309</v>
      </c>
      <c r="H1238" s="376">
        <v>0</v>
      </c>
      <c r="I1238" s="376">
        <v>1</v>
      </c>
    </row>
    <row r="1239" spans="1:9" x14ac:dyDescent="0.35">
      <c r="A1239" s="376" t="s">
        <v>1606</v>
      </c>
      <c r="B1239" s="376" t="s">
        <v>1609</v>
      </c>
      <c r="C1239" s="376" t="s">
        <v>644</v>
      </c>
      <c r="D1239" s="376">
        <v>2021</v>
      </c>
      <c r="E1239" s="376">
        <v>2024</v>
      </c>
      <c r="F1239" s="376">
        <v>1</v>
      </c>
      <c r="G1239" s="376">
        <v>6176.8188824187309</v>
      </c>
      <c r="H1239" s="376">
        <v>0</v>
      </c>
      <c r="I1239" s="376">
        <v>1</v>
      </c>
    </row>
    <row r="1240" spans="1:9" x14ac:dyDescent="0.35">
      <c r="A1240" s="376" t="s">
        <v>1606</v>
      </c>
      <c r="B1240" s="376" t="s">
        <v>1609</v>
      </c>
      <c r="C1240" s="376" t="s">
        <v>628</v>
      </c>
      <c r="D1240" s="376">
        <v>2021</v>
      </c>
      <c r="E1240" s="376">
        <v>2024</v>
      </c>
      <c r="F1240" s="376">
        <v>1</v>
      </c>
      <c r="G1240" s="376">
        <v>6176.8188824187309</v>
      </c>
      <c r="H1240" s="376">
        <v>0</v>
      </c>
      <c r="I1240" s="376">
        <v>1</v>
      </c>
    </row>
    <row r="1241" spans="1:9" x14ac:dyDescent="0.35">
      <c r="A1241" s="376" t="s">
        <v>1606</v>
      </c>
      <c r="B1241" s="376" t="s">
        <v>1609</v>
      </c>
      <c r="C1241" s="376" t="s">
        <v>1051</v>
      </c>
      <c r="D1241" s="376">
        <v>2021</v>
      </c>
      <c r="E1241" s="376">
        <v>2024</v>
      </c>
      <c r="F1241" s="376">
        <v>1</v>
      </c>
      <c r="G1241" s="376">
        <v>6176.8188824187309</v>
      </c>
      <c r="H1241" s="376">
        <v>0</v>
      </c>
      <c r="I1241" s="376">
        <v>1</v>
      </c>
    </row>
    <row r="1242" spans="1:9" x14ac:dyDescent="0.35">
      <c r="A1242" s="376" t="s">
        <v>1606</v>
      </c>
      <c r="B1242" s="376" t="s">
        <v>1609</v>
      </c>
      <c r="C1242" s="376" t="s">
        <v>1054</v>
      </c>
      <c r="D1242" s="376">
        <v>2021</v>
      </c>
      <c r="E1242" s="376">
        <v>2024</v>
      </c>
      <c r="F1242" s="376">
        <v>1</v>
      </c>
      <c r="G1242" s="376">
        <v>6176.8188824187309</v>
      </c>
      <c r="H1242" s="376">
        <v>0</v>
      </c>
      <c r="I1242" s="376">
        <v>1</v>
      </c>
    </row>
    <row r="1243" spans="1:9" x14ac:dyDescent="0.35">
      <c r="A1243" s="376" t="s">
        <v>1606</v>
      </c>
      <c r="B1243" s="376" t="s">
        <v>1609</v>
      </c>
      <c r="C1243" s="376" t="s">
        <v>1046</v>
      </c>
      <c r="D1243" s="376">
        <v>2021</v>
      </c>
      <c r="E1243" s="376">
        <v>2025</v>
      </c>
      <c r="F1243" s="376">
        <v>1</v>
      </c>
      <c r="G1243" s="376">
        <v>6176.8188824187309</v>
      </c>
      <c r="H1243" s="376">
        <v>0</v>
      </c>
      <c r="I1243" s="376">
        <v>1</v>
      </c>
    </row>
    <row r="1244" spans="1:9" x14ac:dyDescent="0.35">
      <c r="A1244" s="376" t="s">
        <v>1606</v>
      </c>
      <c r="B1244" s="376" t="s">
        <v>1609</v>
      </c>
      <c r="C1244" s="376" t="s">
        <v>644</v>
      </c>
      <c r="D1244" s="376">
        <v>2021</v>
      </c>
      <c r="E1244" s="376">
        <v>2025</v>
      </c>
      <c r="F1244" s="376">
        <v>1</v>
      </c>
      <c r="G1244" s="376">
        <v>6176.8188824187309</v>
      </c>
      <c r="H1244" s="376">
        <v>0</v>
      </c>
      <c r="I1244" s="376">
        <v>1</v>
      </c>
    </row>
    <row r="1245" spans="1:9" x14ac:dyDescent="0.35">
      <c r="A1245" s="376" t="s">
        <v>1606</v>
      </c>
      <c r="B1245" s="376" t="s">
        <v>1609</v>
      </c>
      <c r="C1245" s="376" t="s">
        <v>628</v>
      </c>
      <c r="D1245" s="376">
        <v>2021</v>
      </c>
      <c r="E1245" s="376">
        <v>2025</v>
      </c>
      <c r="F1245" s="376">
        <v>1</v>
      </c>
      <c r="G1245" s="376">
        <v>6176.8188824187309</v>
      </c>
      <c r="H1245" s="376">
        <v>0</v>
      </c>
      <c r="I1245" s="376">
        <v>1</v>
      </c>
    </row>
    <row r="1246" spans="1:9" x14ac:dyDescent="0.35">
      <c r="A1246" s="376" t="s">
        <v>1606</v>
      </c>
      <c r="B1246" s="376" t="s">
        <v>1609</v>
      </c>
      <c r="C1246" s="376" t="s">
        <v>1051</v>
      </c>
      <c r="D1246" s="376">
        <v>2021</v>
      </c>
      <c r="E1246" s="376">
        <v>2025</v>
      </c>
      <c r="F1246" s="376">
        <v>1</v>
      </c>
      <c r="G1246" s="376">
        <v>6176.8188824187309</v>
      </c>
      <c r="H1246" s="376">
        <v>0</v>
      </c>
      <c r="I1246" s="376">
        <v>1</v>
      </c>
    </row>
    <row r="1247" spans="1:9" x14ac:dyDescent="0.35">
      <c r="A1247" s="376" t="s">
        <v>1606</v>
      </c>
      <c r="B1247" s="376" t="s">
        <v>1609</v>
      </c>
      <c r="C1247" s="376" t="s">
        <v>1054</v>
      </c>
      <c r="D1247" s="376">
        <v>2021</v>
      </c>
      <c r="E1247" s="376">
        <v>2025</v>
      </c>
      <c r="F1247" s="376">
        <v>1</v>
      </c>
      <c r="G1247" s="376">
        <v>6176.8188824187309</v>
      </c>
      <c r="H1247" s="376">
        <v>0</v>
      </c>
      <c r="I1247" s="376">
        <v>1</v>
      </c>
    </row>
    <row r="1248" spans="1:9" x14ac:dyDescent="0.35">
      <c r="A1248" s="376" t="s">
        <v>1606</v>
      </c>
      <c r="B1248" s="376" t="s">
        <v>1609</v>
      </c>
      <c r="C1248" s="376" t="s">
        <v>1046</v>
      </c>
      <c r="D1248" s="376">
        <v>2021</v>
      </c>
      <c r="E1248" s="376">
        <v>2026</v>
      </c>
      <c r="F1248" s="376">
        <v>1</v>
      </c>
      <c r="G1248" s="376">
        <v>6176.8188824187309</v>
      </c>
      <c r="H1248" s="376">
        <v>0</v>
      </c>
      <c r="I1248" s="376">
        <v>1</v>
      </c>
    </row>
    <row r="1249" spans="1:9" x14ac:dyDescent="0.35">
      <c r="A1249" s="376" t="s">
        <v>1606</v>
      </c>
      <c r="B1249" s="376" t="s">
        <v>1609</v>
      </c>
      <c r="C1249" s="376" t="s">
        <v>644</v>
      </c>
      <c r="D1249" s="376">
        <v>2021</v>
      </c>
      <c r="E1249" s="376">
        <v>2026</v>
      </c>
      <c r="F1249" s="376">
        <v>1</v>
      </c>
      <c r="G1249" s="376">
        <v>6176.8188824187309</v>
      </c>
      <c r="H1249" s="376">
        <v>0</v>
      </c>
      <c r="I1249" s="376">
        <v>1</v>
      </c>
    </row>
    <row r="1250" spans="1:9" x14ac:dyDescent="0.35">
      <c r="A1250" s="376" t="s">
        <v>1606</v>
      </c>
      <c r="B1250" s="376" t="s">
        <v>1609</v>
      </c>
      <c r="C1250" s="376" t="s">
        <v>628</v>
      </c>
      <c r="D1250" s="376">
        <v>2021</v>
      </c>
      <c r="E1250" s="376">
        <v>2026</v>
      </c>
      <c r="F1250" s="376">
        <v>1</v>
      </c>
      <c r="G1250" s="376">
        <v>6176.8188824187309</v>
      </c>
      <c r="H1250" s="376">
        <v>0</v>
      </c>
      <c r="I1250" s="376">
        <v>1</v>
      </c>
    </row>
    <row r="1251" spans="1:9" x14ac:dyDescent="0.35">
      <c r="A1251" s="376" t="s">
        <v>1606</v>
      </c>
      <c r="B1251" s="376" t="s">
        <v>1609</v>
      </c>
      <c r="C1251" s="376" t="s">
        <v>1051</v>
      </c>
      <c r="D1251" s="376">
        <v>2021</v>
      </c>
      <c r="E1251" s="376">
        <v>2026</v>
      </c>
      <c r="F1251" s="376">
        <v>1</v>
      </c>
      <c r="G1251" s="376">
        <v>6176.8188824187309</v>
      </c>
      <c r="H1251" s="376">
        <v>0</v>
      </c>
      <c r="I1251" s="376">
        <v>1</v>
      </c>
    </row>
    <row r="1252" spans="1:9" x14ac:dyDescent="0.35">
      <c r="A1252" s="376" t="s">
        <v>1606</v>
      </c>
      <c r="B1252" s="376" t="s">
        <v>1609</v>
      </c>
      <c r="C1252" s="376" t="s">
        <v>1054</v>
      </c>
      <c r="D1252" s="376">
        <v>2021</v>
      </c>
      <c r="E1252" s="376">
        <v>2026</v>
      </c>
      <c r="F1252" s="376">
        <v>1</v>
      </c>
      <c r="G1252" s="376">
        <v>6176.8188824187309</v>
      </c>
      <c r="H1252" s="376">
        <v>0</v>
      </c>
      <c r="I1252" s="376">
        <v>1</v>
      </c>
    </row>
    <row r="1253" spans="1:9" x14ac:dyDescent="0.35">
      <c r="A1253" s="376" t="s">
        <v>1606</v>
      </c>
      <c r="B1253" s="376" t="s">
        <v>1609</v>
      </c>
      <c r="C1253" s="376" t="s">
        <v>1046</v>
      </c>
      <c r="D1253" s="376">
        <v>2021</v>
      </c>
      <c r="E1253" s="376">
        <v>2027</v>
      </c>
      <c r="F1253" s="376">
        <v>1</v>
      </c>
      <c r="G1253" s="376">
        <v>6176.8188824187309</v>
      </c>
      <c r="H1253" s="376">
        <v>0</v>
      </c>
      <c r="I1253" s="376">
        <v>1</v>
      </c>
    </row>
    <row r="1254" spans="1:9" x14ac:dyDescent="0.35">
      <c r="A1254" s="376" t="s">
        <v>1606</v>
      </c>
      <c r="B1254" s="376" t="s">
        <v>1609</v>
      </c>
      <c r="C1254" s="376" t="s">
        <v>644</v>
      </c>
      <c r="D1254" s="376">
        <v>2021</v>
      </c>
      <c r="E1254" s="376">
        <v>2027</v>
      </c>
      <c r="F1254" s="376">
        <v>1</v>
      </c>
      <c r="G1254" s="376">
        <v>6176.8188824187309</v>
      </c>
      <c r="H1254" s="376">
        <v>0</v>
      </c>
      <c r="I1254" s="376">
        <v>1</v>
      </c>
    </row>
    <row r="1255" spans="1:9" x14ac:dyDescent="0.35">
      <c r="A1255" s="376" t="s">
        <v>1606</v>
      </c>
      <c r="B1255" s="376" t="s">
        <v>1609</v>
      </c>
      <c r="C1255" s="376" t="s">
        <v>628</v>
      </c>
      <c r="D1255" s="376">
        <v>2021</v>
      </c>
      <c r="E1255" s="376">
        <v>2027</v>
      </c>
      <c r="F1255" s="376">
        <v>1</v>
      </c>
      <c r="G1255" s="376">
        <v>6176.8188824187309</v>
      </c>
      <c r="H1255" s="376">
        <v>0</v>
      </c>
      <c r="I1255" s="376">
        <v>1</v>
      </c>
    </row>
    <row r="1256" spans="1:9" x14ac:dyDescent="0.35">
      <c r="A1256" s="376" t="s">
        <v>1606</v>
      </c>
      <c r="B1256" s="376" t="s">
        <v>1609</v>
      </c>
      <c r="C1256" s="376" t="s">
        <v>1051</v>
      </c>
      <c r="D1256" s="376">
        <v>2021</v>
      </c>
      <c r="E1256" s="376">
        <v>2027</v>
      </c>
      <c r="F1256" s="376">
        <v>1</v>
      </c>
      <c r="G1256" s="376">
        <v>6176.8188824187309</v>
      </c>
      <c r="H1256" s="376">
        <v>0</v>
      </c>
      <c r="I1256" s="376">
        <v>1</v>
      </c>
    </row>
    <row r="1257" spans="1:9" x14ac:dyDescent="0.35">
      <c r="A1257" s="376" t="s">
        <v>1606</v>
      </c>
      <c r="B1257" s="376" t="s">
        <v>1609</v>
      </c>
      <c r="C1257" s="376" t="s">
        <v>1054</v>
      </c>
      <c r="D1257" s="376">
        <v>2021</v>
      </c>
      <c r="E1257" s="376">
        <v>2027</v>
      </c>
      <c r="F1257" s="376">
        <v>1</v>
      </c>
      <c r="G1257" s="376">
        <v>6176.8188824187309</v>
      </c>
      <c r="H1257" s="376">
        <v>0</v>
      </c>
      <c r="I1257" s="376">
        <v>1</v>
      </c>
    </row>
    <row r="1258" spans="1:9" x14ac:dyDescent="0.35">
      <c r="A1258" s="376" t="s">
        <v>1606</v>
      </c>
      <c r="B1258" s="376" t="s">
        <v>1609</v>
      </c>
      <c r="C1258" s="376" t="s">
        <v>1046</v>
      </c>
      <c r="D1258" s="376">
        <v>2021</v>
      </c>
      <c r="E1258" s="376">
        <v>2028</v>
      </c>
      <c r="F1258" s="376">
        <v>1</v>
      </c>
      <c r="G1258" s="376">
        <v>6176.8188824187309</v>
      </c>
      <c r="H1258" s="376">
        <v>0</v>
      </c>
      <c r="I1258" s="376">
        <v>1</v>
      </c>
    </row>
    <row r="1259" spans="1:9" x14ac:dyDescent="0.35">
      <c r="A1259" s="376" t="s">
        <v>1606</v>
      </c>
      <c r="B1259" s="376" t="s">
        <v>1609</v>
      </c>
      <c r="C1259" s="376" t="s">
        <v>644</v>
      </c>
      <c r="D1259" s="376">
        <v>2021</v>
      </c>
      <c r="E1259" s="376">
        <v>2028</v>
      </c>
      <c r="F1259" s="376">
        <v>1</v>
      </c>
      <c r="G1259" s="376">
        <v>6176.8188824187309</v>
      </c>
      <c r="H1259" s="376">
        <v>0</v>
      </c>
      <c r="I1259" s="376">
        <v>1</v>
      </c>
    </row>
    <row r="1260" spans="1:9" x14ac:dyDescent="0.35">
      <c r="A1260" s="376" t="s">
        <v>1606</v>
      </c>
      <c r="B1260" s="376" t="s">
        <v>1609</v>
      </c>
      <c r="C1260" s="376" t="s">
        <v>628</v>
      </c>
      <c r="D1260" s="376">
        <v>2021</v>
      </c>
      <c r="E1260" s="376">
        <v>2028</v>
      </c>
      <c r="F1260" s="376">
        <v>1</v>
      </c>
      <c r="G1260" s="376">
        <v>6176.8188824187309</v>
      </c>
      <c r="H1260" s="376">
        <v>0</v>
      </c>
      <c r="I1260" s="376">
        <v>1</v>
      </c>
    </row>
    <row r="1261" spans="1:9" x14ac:dyDescent="0.35">
      <c r="A1261" s="376" t="s">
        <v>1606</v>
      </c>
      <c r="B1261" s="376" t="s">
        <v>1609</v>
      </c>
      <c r="C1261" s="376" t="s">
        <v>1051</v>
      </c>
      <c r="D1261" s="376">
        <v>2021</v>
      </c>
      <c r="E1261" s="376">
        <v>2028</v>
      </c>
      <c r="F1261" s="376">
        <v>1</v>
      </c>
      <c r="G1261" s="376">
        <v>6176.8188824187309</v>
      </c>
      <c r="H1261" s="376">
        <v>0</v>
      </c>
      <c r="I1261" s="376">
        <v>1</v>
      </c>
    </row>
    <row r="1262" spans="1:9" x14ac:dyDescent="0.35">
      <c r="A1262" s="376" t="s">
        <v>1606</v>
      </c>
      <c r="B1262" s="376" t="s">
        <v>1609</v>
      </c>
      <c r="C1262" s="376" t="s">
        <v>1054</v>
      </c>
      <c r="D1262" s="376">
        <v>2021</v>
      </c>
      <c r="E1262" s="376">
        <v>2028</v>
      </c>
      <c r="F1262" s="376">
        <v>1</v>
      </c>
      <c r="G1262" s="376">
        <v>6176.8188824187309</v>
      </c>
      <c r="H1262" s="376">
        <v>0</v>
      </c>
      <c r="I1262" s="376">
        <v>1</v>
      </c>
    </row>
    <row r="1263" spans="1:9" x14ac:dyDescent="0.35">
      <c r="A1263" s="376" t="s">
        <v>1606</v>
      </c>
      <c r="B1263" s="376" t="s">
        <v>1609</v>
      </c>
      <c r="C1263" s="376" t="s">
        <v>1046</v>
      </c>
      <c r="D1263" s="376">
        <v>2021</v>
      </c>
      <c r="E1263" s="376">
        <v>2029</v>
      </c>
      <c r="F1263" s="376">
        <v>1</v>
      </c>
      <c r="G1263" s="376">
        <v>6176.8188824187309</v>
      </c>
      <c r="H1263" s="376">
        <v>0</v>
      </c>
      <c r="I1263" s="376">
        <v>1</v>
      </c>
    </row>
    <row r="1264" spans="1:9" x14ac:dyDescent="0.35">
      <c r="A1264" s="376" t="s">
        <v>1606</v>
      </c>
      <c r="B1264" s="376" t="s">
        <v>1609</v>
      </c>
      <c r="C1264" s="376" t="s">
        <v>644</v>
      </c>
      <c r="D1264" s="376">
        <v>2021</v>
      </c>
      <c r="E1264" s="376">
        <v>2029</v>
      </c>
      <c r="F1264" s="376">
        <v>1</v>
      </c>
      <c r="G1264" s="376">
        <v>6176.8188824187309</v>
      </c>
      <c r="H1264" s="376">
        <v>0</v>
      </c>
      <c r="I1264" s="376">
        <v>1</v>
      </c>
    </row>
    <row r="1265" spans="1:9" x14ac:dyDescent="0.35">
      <c r="A1265" s="376" t="s">
        <v>1606</v>
      </c>
      <c r="B1265" s="376" t="s">
        <v>1609</v>
      </c>
      <c r="C1265" s="376" t="s">
        <v>628</v>
      </c>
      <c r="D1265" s="376">
        <v>2021</v>
      </c>
      <c r="E1265" s="376">
        <v>2029</v>
      </c>
      <c r="F1265" s="376">
        <v>1</v>
      </c>
      <c r="G1265" s="376">
        <v>6176.8188824187309</v>
      </c>
      <c r="H1265" s="376">
        <v>0</v>
      </c>
      <c r="I1265" s="376">
        <v>1</v>
      </c>
    </row>
    <row r="1266" spans="1:9" x14ac:dyDescent="0.35">
      <c r="A1266" s="376" t="s">
        <v>1606</v>
      </c>
      <c r="B1266" s="376" t="s">
        <v>1609</v>
      </c>
      <c r="C1266" s="376" t="s">
        <v>1051</v>
      </c>
      <c r="D1266" s="376">
        <v>2021</v>
      </c>
      <c r="E1266" s="376">
        <v>2029</v>
      </c>
      <c r="F1266" s="376">
        <v>1</v>
      </c>
      <c r="G1266" s="376">
        <v>6176.8188824187309</v>
      </c>
      <c r="H1266" s="376">
        <v>0</v>
      </c>
      <c r="I1266" s="376">
        <v>1</v>
      </c>
    </row>
    <row r="1267" spans="1:9" x14ac:dyDescent="0.35">
      <c r="A1267" s="376" t="s">
        <v>1606</v>
      </c>
      <c r="B1267" s="376" t="s">
        <v>1609</v>
      </c>
      <c r="C1267" s="376" t="s">
        <v>1054</v>
      </c>
      <c r="D1267" s="376">
        <v>2021</v>
      </c>
      <c r="E1267" s="376">
        <v>2029</v>
      </c>
      <c r="F1267" s="376">
        <v>1</v>
      </c>
      <c r="G1267" s="376">
        <v>6176.8188824187309</v>
      </c>
      <c r="H1267" s="376">
        <v>0</v>
      </c>
      <c r="I1267" s="376">
        <v>1</v>
      </c>
    </row>
    <row r="1268" spans="1:9" x14ac:dyDescent="0.35">
      <c r="A1268" s="376" t="s">
        <v>1606</v>
      </c>
      <c r="B1268" s="376" t="s">
        <v>1609</v>
      </c>
      <c r="C1268" s="376" t="s">
        <v>1046</v>
      </c>
      <c r="D1268" s="376">
        <v>2021</v>
      </c>
      <c r="E1268" s="376">
        <v>2030</v>
      </c>
      <c r="F1268" s="376">
        <v>1</v>
      </c>
      <c r="G1268" s="376">
        <v>6176.8188824187309</v>
      </c>
      <c r="H1268" s="376">
        <v>0</v>
      </c>
      <c r="I1268" s="376">
        <v>1</v>
      </c>
    </row>
    <row r="1269" spans="1:9" x14ac:dyDescent="0.35">
      <c r="A1269" s="376" t="s">
        <v>1606</v>
      </c>
      <c r="B1269" s="376" t="s">
        <v>1609</v>
      </c>
      <c r="C1269" s="376" t="s">
        <v>644</v>
      </c>
      <c r="D1269" s="376">
        <v>2021</v>
      </c>
      <c r="E1269" s="376">
        <v>2030</v>
      </c>
      <c r="F1269" s="376">
        <v>1</v>
      </c>
      <c r="G1269" s="376">
        <v>6176.8188824187309</v>
      </c>
      <c r="H1269" s="376">
        <v>0</v>
      </c>
      <c r="I1269" s="376">
        <v>1</v>
      </c>
    </row>
    <row r="1270" spans="1:9" x14ac:dyDescent="0.35">
      <c r="A1270" s="376" t="s">
        <v>1606</v>
      </c>
      <c r="B1270" s="376" t="s">
        <v>1609</v>
      </c>
      <c r="C1270" s="376" t="s">
        <v>628</v>
      </c>
      <c r="D1270" s="376">
        <v>2021</v>
      </c>
      <c r="E1270" s="376">
        <v>2030</v>
      </c>
      <c r="F1270" s="376">
        <v>1</v>
      </c>
      <c r="G1270" s="376">
        <v>6176.8188824187309</v>
      </c>
      <c r="H1270" s="376">
        <v>0</v>
      </c>
      <c r="I1270" s="376">
        <v>1</v>
      </c>
    </row>
    <row r="1271" spans="1:9" x14ac:dyDescent="0.35">
      <c r="A1271" s="376" t="s">
        <v>1606</v>
      </c>
      <c r="B1271" s="376" t="s">
        <v>1609</v>
      </c>
      <c r="C1271" s="376" t="s">
        <v>1051</v>
      </c>
      <c r="D1271" s="376">
        <v>2021</v>
      </c>
      <c r="E1271" s="376">
        <v>2030</v>
      </c>
      <c r="F1271" s="376">
        <v>1</v>
      </c>
      <c r="G1271" s="376">
        <v>6176.8188824187309</v>
      </c>
      <c r="H1271" s="376">
        <v>0</v>
      </c>
      <c r="I1271" s="376">
        <v>1</v>
      </c>
    </row>
    <row r="1272" spans="1:9" x14ac:dyDescent="0.35">
      <c r="A1272" s="376" t="s">
        <v>1606</v>
      </c>
      <c r="B1272" s="376" t="s">
        <v>1609</v>
      </c>
      <c r="C1272" s="376" t="s">
        <v>1054</v>
      </c>
      <c r="D1272" s="376">
        <v>2021</v>
      </c>
      <c r="E1272" s="376">
        <v>2030</v>
      </c>
      <c r="F1272" s="376">
        <v>1</v>
      </c>
      <c r="G1272" s="376">
        <v>6176.8188824187309</v>
      </c>
      <c r="H1272" s="376">
        <v>0</v>
      </c>
      <c r="I1272" s="376">
        <v>1</v>
      </c>
    </row>
    <row r="1273" spans="1:9" x14ac:dyDescent="0.35">
      <c r="A1273" s="376" t="s">
        <v>1606</v>
      </c>
      <c r="B1273" s="376" t="s">
        <v>1609</v>
      </c>
      <c r="C1273" s="376" t="s">
        <v>1046</v>
      </c>
      <c r="D1273" s="376">
        <v>2021</v>
      </c>
      <c r="E1273" s="376">
        <v>2031</v>
      </c>
      <c r="F1273" s="376">
        <v>1</v>
      </c>
      <c r="G1273" s="376">
        <v>6176.8188824187309</v>
      </c>
      <c r="H1273" s="376">
        <v>0</v>
      </c>
      <c r="I1273" s="376">
        <v>1</v>
      </c>
    </row>
    <row r="1274" spans="1:9" x14ac:dyDescent="0.35">
      <c r="A1274" s="376" t="s">
        <v>1606</v>
      </c>
      <c r="B1274" s="376" t="s">
        <v>1609</v>
      </c>
      <c r="C1274" s="376" t="s">
        <v>644</v>
      </c>
      <c r="D1274" s="376">
        <v>2021</v>
      </c>
      <c r="E1274" s="376">
        <v>2031</v>
      </c>
      <c r="F1274" s="376">
        <v>1</v>
      </c>
      <c r="G1274" s="376">
        <v>6176.8188824187309</v>
      </c>
      <c r="H1274" s="376">
        <v>0</v>
      </c>
      <c r="I1274" s="376">
        <v>1</v>
      </c>
    </row>
    <row r="1275" spans="1:9" x14ac:dyDescent="0.35">
      <c r="A1275" s="376" t="s">
        <v>1606</v>
      </c>
      <c r="B1275" s="376" t="s">
        <v>1609</v>
      </c>
      <c r="C1275" s="376" t="s">
        <v>628</v>
      </c>
      <c r="D1275" s="376">
        <v>2021</v>
      </c>
      <c r="E1275" s="376">
        <v>2031</v>
      </c>
      <c r="F1275" s="376">
        <v>1</v>
      </c>
      <c r="G1275" s="376">
        <v>6176.8188824187309</v>
      </c>
      <c r="H1275" s="376">
        <v>0</v>
      </c>
      <c r="I1275" s="376">
        <v>1</v>
      </c>
    </row>
    <row r="1276" spans="1:9" x14ac:dyDescent="0.35">
      <c r="A1276" s="376" t="s">
        <v>1606</v>
      </c>
      <c r="B1276" s="376" t="s">
        <v>1609</v>
      </c>
      <c r="C1276" s="376" t="s">
        <v>1051</v>
      </c>
      <c r="D1276" s="376">
        <v>2021</v>
      </c>
      <c r="E1276" s="376">
        <v>2031</v>
      </c>
      <c r="F1276" s="376">
        <v>1</v>
      </c>
      <c r="G1276" s="376">
        <v>6176.8188824187309</v>
      </c>
      <c r="H1276" s="376">
        <v>0</v>
      </c>
      <c r="I1276" s="376">
        <v>1</v>
      </c>
    </row>
    <row r="1277" spans="1:9" x14ac:dyDescent="0.35">
      <c r="A1277" s="376" t="s">
        <v>1606</v>
      </c>
      <c r="B1277" s="376" t="s">
        <v>1609</v>
      </c>
      <c r="C1277" s="376" t="s">
        <v>1054</v>
      </c>
      <c r="D1277" s="376">
        <v>2021</v>
      </c>
      <c r="E1277" s="376">
        <v>2031</v>
      </c>
      <c r="F1277" s="376">
        <v>1</v>
      </c>
      <c r="G1277" s="376">
        <v>6176.8188824187309</v>
      </c>
      <c r="H1277" s="376">
        <v>0</v>
      </c>
      <c r="I1277" s="376">
        <v>1</v>
      </c>
    </row>
    <row r="1278" spans="1:9" x14ac:dyDescent="0.35">
      <c r="A1278" s="376" t="s">
        <v>1612</v>
      </c>
      <c r="B1278" s="376" t="s">
        <v>1609</v>
      </c>
      <c r="C1278" s="376" t="s">
        <v>1046</v>
      </c>
      <c r="D1278" s="376">
        <v>2022</v>
      </c>
      <c r="E1278" s="376">
        <v>2022</v>
      </c>
      <c r="F1278" s="376">
        <v>0.37384575124303709</v>
      </c>
      <c r="G1278" s="376">
        <v>9928.6887826901675</v>
      </c>
      <c r="H1278" s="376">
        <v>0.25839234885811596</v>
      </c>
      <c r="I1278" s="376">
        <v>0.85</v>
      </c>
    </row>
    <row r="1279" spans="1:9" x14ac:dyDescent="0.35">
      <c r="A1279" s="376" t="s">
        <v>1612</v>
      </c>
      <c r="B1279" s="376" t="s">
        <v>1609</v>
      </c>
      <c r="C1279" s="376" t="s">
        <v>644</v>
      </c>
      <c r="D1279" s="376">
        <v>2022</v>
      </c>
      <c r="E1279" s="376">
        <v>2022</v>
      </c>
      <c r="F1279" s="376">
        <v>0.37384575124303709</v>
      </c>
      <c r="G1279" s="376">
        <v>9928.6887826901675</v>
      </c>
      <c r="H1279" s="376">
        <v>0.25839234885811596</v>
      </c>
      <c r="I1279" s="376">
        <v>0.85</v>
      </c>
    </row>
    <row r="1280" spans="1:9" x14ac:dyDescent="0.35">
      <c r="A1280" s="376" t="s">
        <v>1612</v>
      </c>
      <c r="B1280" s="376" t="s">
        <v>1609</v>
      </c>
      <c r="C1280" s="376" t="s">
        <v>628</v>
      </c>
      <c r="D1280" s="376">
        <v>2022</v>
      </c>
      <c r="E1280" s="376">
        <v>2022</v>
      </c>
      <c r="F1280" s="376">
        <v>0.37384575124303709</v>
      </c>
      <c r="G1280" s="376">
        <v>9928.6887826901675</v>
      </c>
      <c r="H1280" s="376">
        <v>0.25839234885811596</v>
      </c>
      <c r="I1280" s="376">
        <v>0.85</v>
      </c>
    </row>
    <row r="1281" spans="1:9" x14ac:dyDescent="0.35">
      <c r="A1281" s="376" t="s">
        <v>1612</v>
      </c>
      <c r="B1281" s="376" t="s">
        <v>1609</v>
      </c>
      <c r="C1281" s="376" t="s">
        <v>1051</v>
      </c>
      <c r="D1281" s="376">
        <v>2022</v>
      </c>
      <c r="E1281" s="376">
        <v>2022</v>
      </c>
      <c r="F1281" s="376">
        <v>0.37384575124303709</v>
      </c>
      <c r="G1281" s="376">
        <v>9928.6887826901675</v>
      </c>
      <c r="H1281" s="376">
        <v>0.25839234885811596</v>
      </c>
      <c r="I1281" s="376">
        <v>0.85</v>
      </c>
    </row>
    <row r="1282" spans="1:9" x14ac:dyDescent="0.35">
      <c r="A1282" s="376" t="s">
        <v>1612</v>
      </c>
      <c r="B1282" s="376" t="s">
        <v>1609</v>
      </c>
      <c r="C1282" s="376" t="s">
        <v>1054</v>
      </c>
      <c r="D1282" s="376">
        <v>2022</v>
      </c>
      <c r="E1282" s="376">
        <v>2022</v>
      </c>
      <c r="F1282" s="376">
        <v>0.37384575124303709</v>
      </c>
      <c r="G1282" s="376">
        <v>9928.6887826901675</v>
      </c>
      <c r="H1282" s="376">
        <v>0.25839234885811596</v>
      </c>
      <c r="I1282" s="376">
        <v>0.85</v>
      </c>
    </row>
    <row r="1283" spans="1:9" x14ac:dyDescent="0.35">
      <c r="A1283" s="376" t="s">
        <v>1612</v>
      </c>
      <c r="B1283" s="376" t="s">
        <v>1609</v>
      </c>
      <c r="C1283" s="376" t="s">
        <v>1046</v>
      </c>
      <c r="D1283" s="376">
        <v>2022</v>
      </c>
      <c r="E1283" s="376">
        <v>2023</v>
      </c>
      <c r="F1283" s="376">
        <v>0.37384575124303709</v>
      </c>
      <c r="G1283" s="376">
        <v>9928.6887826901675</v>
      </c>
      <c r="H1283" s="376">
        <v>0.25839234885811596</v>
      </c>
      <c r="I1283" s="376">
        <v>0.85</v>
      </c>
    </row>
    <row r="1284" spans="1:9" x14ac:dyDescent="0.35">
      <c r="A1284" s="376" t="s">
        <v>1612</v>
      </c>
      <c r="B1284" s="376" t="s">
        <v>1609</v>
      </c>
      <c r="C1284" s="376" t="s">
        <v>644</v>
      </c>
      <c r="D1284" s="376">
        <v>2022</v>
      </c>
      <c r="E1284" s="376">
        <v>2023</v>
      </c>
      <c r="F1284" s="376">
        <v>0.37384575124303709</v>
      </c>
      <c r="G1284" s="376">
        <v>9928.6887826901675</v>
      </c>
      <c r="H1284" s="376">
        <v>0.25839234885811596</v>
      </c>
      <c r="I1284" s="376">
        <v>0.85</v>
      </c>
    </row>
    <row r="1285" spans="1:9" x14ac:dyDescent="0.35">
      <c r="A1285" s="376" t="s">
        <v>1612</v>
      </c>
      <c r="B1285" s="376" t="s">
        <v>1609</v>
      </c>
      <c r="C1285" s="376" t="s">
        <v>628</v>
      </c>
      <c r="D1285" s="376">
        <v>2022</v>
      </c>
      <c r="E1285" s="376">
        <v>2023</v>
      </c>
      <c r="F1285" s="376">
        <v>0.37384575124303709</v>
      </c>
      <c r="G1285" s="376">
        <v>9928.6887826901675</v>
      </c>
      <c r="H1285" s="376">
        <v>0.25839234885811596</v>
      </c>
      <c r="I1285" s="376">
        <v>0.85</v>
      </c>
    </row>
    <row r="1286" spans="1:9" x14ac:dyDescent="0.35">
      <c r="A1286" s="376" t="s">
        <v>1612</v>
      </c>
      <c r="B1286" s="376" t="s">
        <v>1609</v>
      </c>
      <c r="C1286" s="376" t="s">
        <v>1051</v>
      </c>
      <c r="D1286" s="376">
        <v>2022</v>
      </c>
      <c r="E1286" s="376">
        <v>2023</v>
      </c>
      <c r="F1286" s="376">
        <v>0.37384575124303709</v>
      </c>
      <c r="G1286" s="376">
        <v>9928.6887826901675</v>
      </c>
      <c r="H1286" s="376">
        <v>0.25839234885811596</v>
      </c>
      <c r="I1286" s="376">
        <v>0.85</v>
      </c>
    </row>
    <row r="1287" spans="1:9" x14ac:dyDescent="0.35">
      <c r="A1287" s="376" t="s">
        <v>1612</v>
      </c>
      <c r="B1287" s="376" t="s">
        <v>1609</v>
      </c>
      <c r="C1287" s="376" t="s">
        <v>1054</v>
      </c>
      <c r="D1287" s="376">
        <v>2022</v>
      </c>
      <c r="E1287" s="376">
        <v>2023</v>
      </c>
      <c r="F1287" s="376">
        <v>0.37384575124303709</v>
      </c>
      <c r="G1287" s="376">
        <v>9928.6887826901675</v>
      </c>
      <c r="H1287" s="376">
        <v>0.25839234885811596</v>
      </c>
      <c r="I1287" s="376">
        <v>0.85</v>
      </c>
    </row>
    <row r="1288" spans="1:9" x14ac:dyDescent="0.35">
      <c r="A1288" s="376" t="s">
        <v>1612</v>
      </c>
      <c r="B1288" s="376" t="s">
        <v>1609</v>
      </c>
      <c r="C1288" s="376" t="s">
        <v>1046</v>
      </c>
      <c r="D1288" s="376">
        <v>2022</v>
      </c>
      <c r="E1288" s="376">
        <v>2024</v>
      </c>
      <c r="F1288" s="376">
        <v>0.37384575124303709</v>
      </c>
      <c r="G1288" s="376">
        <v>9928.6887826901675</v>
      </c>
      <c r="H1288" s="376">
        <v>0.25839234885811596</v>
      </c>
      <c r="I1288" s="376">
        <v>0.85</v>
      </c>
    </row>
    <row r="1289" spans="1:9" x14ac:dyDescent="0.35">
      <c r="A1289" s="376" t="s">
        <v>1612</v>
      </c>
      <c r="B1289" s="376" t="s">
        <v>1609</v>
      </c>
      <c r="C1289" s="376" t="s">
        <v>644</v>
      </c>
      <c r="D1289" s="376">
        <v>2022</v>
      </c>
      <c r="E1289" s="376">
        <v>2024</v>
      </c>
      <c r="F1289" s="376">
        <v>0.37384575124303709</v>
      </c>
      <c r="G1289" s="376">
        <v>9928.6887826901675</v>
      </c>
      <c r="H1289" s="376">
        <v>0.25839234885811596</v>
      </c>
      <c r="I1289" s="376">
        <v>0.85</v>
      </c>
    </row>
    <row r="1290" spans="1:9" x14ac:dyDescent="0.35">
      <c r="A1290" s="376" t="s">
        <v>1612</v>
      </c>
      <c r="B1290" s="376" t="s">
        <v>1609</v>
      </c>
      <c r="C1290" s="376" t="s">
        <v>628</v>
      </c>
      <c r="D1290" s="376">
        <v>2022</v>
      </c>
      <c r="E1290" s="376">
        <v>2024</v>
      </c>
      <c r="F1290" s="376">
        <v>0.37384575124303709</v>
      </c>
      <c r="G1290" s="376">
        <v>9928.6887826901675</v>
      </c>
      <c r="H1290" s="376">
        <v>0.25839234885811596</v>
      </c>
      <c r="I1290" s="376">
        <v>0.85</v>
      </c>
    </row>
    <row r="1291" spans="1:9" x14ac:dyDescent="0.35">
      <c r="A1291" s="376" t="s">
        <v>1612</v>
      </c>
      <c r="B1291" s="376" t="s">
        <v>1609</v>
      </c>
      <c r="C1291" s="376" t="s">
        <v>1051</v>
      </c>
      <c r="D1291" s="376">
        <v>2022</v>
      </c>
      <c r="E1291" s="376">
        <v>2024</v>
      </c>
      <c r="F1291" s="376">
        <v>0.37384575124303709</v>
      </c>
      <c r="G1291" s="376">
        <v>9928.6887826901675</v>
      </c>
      <c r="H1291" s="376">
        <v>0.25839234885811596</v>
      </c>
      <c r="I1291" s="376">
        <v>0.85</v>
      </c>
    </row>
    <row r="1292" spans="1:9" x14ac:dyDescent="0.35">
      <c r="A1292" s="376" t="s">
        <v>1612</v>
      </c>
      <c r="B1292" s="376" t="s">
        <v>1609</v>
      </c>
      <c r="C1292" s="376" t="s">
        <v>1054</v>
      </c>
      <c r="D1292" s="376">
        <v>2022</v>
      </c>
      <c r="E1292" s="376">
        <v>2024</v>
      </c>
      <c r="F1292" s="376">
        <v>0.37384575124303709</v>
      </c>
      <c r="G1292" s="376">
        <v>9928.6887826901675</v>
      </c>
      <c r="H1292" s="376">
        <v>0.25839234885811596</v>
      </c>
      <c r="I1292" s="376">
        <v>0.85</v>
      </c>
    </row>
    <row r="1293" spans="1:9" x14ac:dyDescent="0.35">
      <c r="A1293" s="376" t="s">
        <v>1612</v>
      </c>
      <c r="B1293" s="376" t="s">
        <v>1609</v>
      </c>
      <c r="C1293" s="376" t="s">
        <v>1046</v>
      </c>
      <c r="D1293" s="376">
        <v>2022</v>
      </c>
      <c r="E1293" s="376">
        <v>2025</v>
      </c>
      <c r="F1293" s="376">
        <v>0.37384575124303709</v>
      </c>
      <c r="G1293" s="376">
        <v>9928.6887826901675</v>
      </c>
      <c r="H1293" s="376">
        <v>0.25839234885811596</v>
      </c>
      <c r="I1293" s="376">
        <v>0.85</v>
      </c>
    </row>
    <row r="1294" spans="1:9" x14ac:dyDescent="0.35">
      <c r="A1294" s="376" t="s">
        <v>1612</v>
      </c>
      <c r="B1294" s="376" t="s">
        <v>1609</v>
      </c>
      <c r="C1294" s="376" t="s">
        <v>644</v>
      </c>
      <c r="D1294" s="376">
        <v>2022</v>
      </c>
      <c r="E1294" s="376">
        <v>2025</v>
      </c>
      <c r="F1294" s="376">
        <v>0.37384575124303709</v>
      </c>
      <c r="G1294" s="376">
        <v>9928.6887826901675</v>
      </c>
      <c r="H1294" s="376">
        <v>0.25839234885811596</v>
      </c>
      <c r="I1294" s="376">
        <v>0.85</v>
      </c>
    </row>
    <row r="1295" spans="1:9" x14ac:dyDescent="0.35">
      <c r="A1295" s="376" t="s">
        <v>1612</v>
      </c>
      <c r="B1295" s="376" t="s">
        <v>1609</v>
      </c>
      <c r="C1295" s="376" t="s">
        <v>628</v>
      </c>
      <c r="D1295" s="376">
        <v>2022</v>
      </c>
      <c r="E1295" s="376">
        <v>2025</v>
      </c>
      <c r="F1295" s="376">
        <v>0.37384575124303709</v>
      </c>
      <c r="G1295" s="376">
        <v>9928.6887826901675</v>
      </c>
      <c r="H1295" s="376">
        <v>0.25839234885811596</v>
      </c>
      <c r="I1295" s="376">
        <v>0.85</v>
      </c>
    </row>
    <row r="1296" spans="1:9" x14ac:dyDescent="0.35">
      <c r="A1296" s="376" t="s">
        <v>1612</v>
      </c>
      <c r="B1296" s="376" t="s">
        <v>1609</v>
      </c>
      <c r="C1296" s="376" t="s">
        <v>1051</v>
      </c>
      <c r="D1296" s="376">
        <v>2022</v>
      </c>
      <c r="E1296" s="376">
        <v>2025</v>
      </c>
      <c r="F1296" s="376">
        <v>0.37384575124303709</v>
      </c>
      <c r="G1296" s="376">
        <v>9928.6887826901675</v>
      </c>
      <c r="H1296" s="376">
        <v>0.25839234885811596</v>
      </c>
      <c r="I1296" s="376">
        <v>0.85</v>
      </c>
    </row>
    <row r="1297" spans="1:9" x14ac:dyDescent="0.35">
      <c r="A1297" s="376" t="s">
        <v>1612</v>
      </c>
      <c r="B1297" s="376" t="s">
        <v>1609</v>
      </c>
      <c r="C1297" s="376" t="s">
        <v>1054</v>
      </c>
      <c r="D1297" s="376">
        <v>2022</v>
      </c>
      <c r="E1297" s="376">
        <v>2025</v>
      </c>
      <c r="F1297" s="376">
        <v>0.37384575124303709</v>
      </c>
      <c r="G1297" s="376">
        <v>9928.6887826901675</v>
      </c>
      <c r="H1297" s="376">
        <v>0.25839234885811596</v>
      </c>
      <c r="I1297" s="376">
        <v>0.85</v>
      </c>
    </row>
    <row r="1298" spans="1:9" x14ac:dyDescent="0.35">
      <c r="A1298" s="376" t="s">
        <v>1612</v>
      </c>
      <c r="B1298" s="376" t="s">
        <v>1609</v>
      </c>
      <c r="C1298" s="376" t="s">
        <v>1046</v>
      </c>
      <c r="D1298" s="376">
        <v>2022</v>
      </c>
      <c r="E1298" s="376">
        <v>2026</v>
      </c>
      <c r="F1298" s="376">
        <v>0.37384575124303709</v>
      </c>
      <c r="G1298" s="376">
        <v>9928.6887826901675</v>
      </c>
      <c r="H1298" s="376">
        <v>0.25839234885811596</v>
      </c>
      <c r="I1298" s="376">
        <v>0.85</v>
      </c>
    </row>
    <row r="1299" spans="1:9" x14ac:dyDescent="0.35">
      <c r="A1299" s="376" t="s">
        <v>1612</v>
      </c>
      <c r="B1299" s="376" t="s">
        <v>1609</v>
      </c>
      <c r="C1299" s="376" t="s">
        <v>644</v>
      </c>
      <c r="D1299" s="376">
        <v>2022</v>
      </c>
      <c r="E1299" s="376">
        <v>2026</v>
      </c>
      <c r="F1299" s="376">
        <v>0.37384575124303709</v>
      </c>
      <c r="G1299" s="376">
        <v>9928.6887826901675</v>
      </c>
      <c r="H1299" s="376">
        <v>0.25839234885811596</v>
      </c>
      <c r="I1299" s="376">
        <v>0.85</v>
      </c>
    </row>
    <row r="1300" spans="1:9" x14ac:dyDescent="0.35">
      <c r="A1300" s="376" t="s">
        <v>1612</v>
      </c>
      <c r="B1300" s="376" t="s">
        <v>1609</v>
      </c>
      <c r="C1300" s="376" t="s">
        <v>628</v>
      </c>
      <c r="D1300" s="376">
        <v>2022</v>
      </c>
      <c r="E1300" s="376">
        <v>2026</v>
      </c>
      <c r="F1300" s="376">
        <v>0.37384575124303709</v>
      </c>
      <c r="G1300" s="376">
        <v>9928.6887826901675</v>
      </c>
      <c r="H1300" s="376">
        <v>0.25839234885811596</v>
      </c>
      <c r="I1300" s="376">
        <v>0.85</v>
      </c>
    </row>
    <row r="1301" spans="1:9" x14ac:dyDescent="0.35">
      <c r="A1301" s="376" t="s">
        <v>1612</v>
      </c>
      <c r="B1301" s="376" t="s">
        <v>1609</v>
      </c>
      <c r="C1301" s="376" t="s">
        <v>1051</v>
      </c>
      <c r="D1301" s="376">
        <v>2022</v>
      </c>
      <c r="E1301" s="376">
        <v>2026</v>
      </c>
      <c r="F1301" s="376">
        <v>0.37384575124303709</v>
      </c>
      <c r="G1301" s="376">
        <v>9928.6887826901675</v>
      </c>
      <c r="H1301" s="376">
        <v>0.25839234885811596</v>
      </c>
      <c r="I1301" s="376">
        <v>0.85</v>
      </c>
    </row>
    <row r="1302" spans="1:9" x14ac:dyDescent="0.35">
      <c r="A1302" s="376" t="s">
        <v>1612</v>
      </c>
      <c r="B1302" s="376" t="s">
        <v>1609</v>
      </c>
      <c r="C1302" s="376" t="s">
        <v>1054</v>
      </c>
      <c r="D1302" s="376">
        <v>2022</v>
      </c>
      <c r="E1302" s="376">
        <v>2026</v>
      </c>
      <c r="F1302" s="376">
        <v>0.37384575124303709</v>
      </c>
      <c r="G1302" s="376">
        <v>9928.6887826901675</v>
      </c>
      <c r="H1302" s="376">
        <v>0.25839234885811596</v>
      </c>
      <c r="I1302" s="376">
        <v>0.85</v>
      </c>
    </row>
    <row r="1303" spans="1:9" x14ac:dyDescent="0.35">
      <c r="A1303" s="376" t="s">
        <v>1612</v>
      </c>
      <c r="B1303" s="376" t="s">
        <v>1609</v>
      </c>
      <c r="C1303" s="376" t="s">
        <v>1046</v>
      </c>
      <c r="D1303" s="376">
        <v>2022</v>
      </c>
      <c r="E1303" s="376">
        <v>2027</v>
      </c>
      <c r="F1303" s="376">
        <v>0.37384575124303709</v>
      </c>
      <c r="G1303" s="376">
        <v>9928.6887826901675</v>
      </c>
      <c r="H1303" s="376">
        <v>0.25839234885811596</v>
      </c>
      <c r="I1303" s="376">
        <v>0.85</v>
      </c>
    </row>
    <row r="1304" spans="1:9" x14ac:dyDescent="0.35">
      <c r="A1304" s="376" t="s">
        <v>1612</v>
      </c>
      <c r="B1304" s="376" t="s">
        <v>1609</v>
      </c>
      <c r="C1304" s="376" t="s">
        <v>644</v>
      </c>
      <c r="D1304" s="376">
        <v>2022</v>
      </c>
      <c r="E1304" s="376">
        <v>2027</v>
      </c>
      <c r="F1304" s="376">
        <v>0.37384575124303709</v>
      </c>
      <c r="G1304" s="376">
        <v>9928.6887826901675</v>
      </c>
      <c r="H1304" s="376">
        <v>0.25839234885811596</v>
      </c>
      <c r="I1304" s="376">
        <v>0.85</v>
      </c>
    </row>
    <row r="1305" spans="1:9" x14ac:dyDescent="0.35">
      <c r="A1305" s="376" t="s">
        <v>1612</v>
      </c>
      <c r="B1305" s="376" t="s">
        <v>1609</v>
      </c>
      <c r="C1305" s="376" t="s">
        <v>628</v>
      </c>
      <c r="D1305" s="376">
        <v>2022</v>
      </c>
      <c r="E1305" s="376">
        <v>2027</v>
      </c>
      <c r="F1305" s="376">
        <v>0.37384575124303709</v>
      </c>
      <c r="G1305" s="376">
        <v>9928.6887826901675</v>
      </c>
      <c r="H1305" s="376">
        <v>0.25839234885811596</v>
      </c>
      <c r="I1305" s="376">
        <v>0.85</v>
      </c>
    </row>
    <row r="1306" spans="1:9" x14ac:dyDescent="0.35">
      <c r="A1306" s="376" t="s">
        <v>1612</v>
      </c>
      <c r="B1306" s="376" t="s">
        <v>1609</v>
      </c>
      <c r="C1306" s="376" t="s">
        <v>1051</v>
      </c>
      <c r="D1306" s="376">
        <v>2022</v>
      </c>
      <c r="E1306" s="376">
        <v>2027</v>
      </c>
      <c r="F1306" s="376">
        <v>0.37384575124303709</v>
      </c>
      <c r="G1306" s="376">
        <v>9928.6887826901675</v>
      </c>
      <c r="H1306" s="376">
        <v>0.25839234885811596</v>
      </c>
      <c r="I1306" s="376">
        <v>0.85</v>
      </c>
    </row>
    <row r="1307" spans="1:9" x14ac:dyDescent="0.35">
      <c r="A1307" s="376" t="s">
        <v>1612</v>
      </c>
      <c r="B1307" s="376" t="s">
        <v>1609</v>
      </c>
      <c r="C1307" s="376" t="s">
        <v>1054</v>
      </c>
      <c r="D1307" s="376">
        <v>2022</v>
      </c>
      <c r="E1307" s="376">
        <v>2027</v>
      </c>
      <c r="F1307" s="376">
        <v>0.37384575124303709</v>
      </c>
      <c r="G1307" s="376">
        <v>9928.6887826901675</v>
      </c>
      <c r="H1307" s="376">
        <v>0.25839234885811596</v>
      </c>
      <c r="I1307" s="376">
        <v>0.85</v>
      </c>
    </row>
    <row r="1308" spans="1:9" x14ac:dyDescent="0.35">
      <c r="A1308" s="376" t="s">
        <v>1612</v>
      </c>
      <c r="B1308" s="376" t="s">
        <v>1609</v>
      </c>
      <c r="C1308" s="376" t="s">
        <v>1046</v>
      </c>
      <c r="D1308" s="376">
        <v>2022</v>
      </c>
      <c r="E1308" s="376">
        <v>2028</v>
      </c>
      <c r="F1308" s="376">
        <v>0.37384575124303709</v>
      </c>
      <c r="G1308" s="376">
        <v>9928.6887826901675</v>
      </c>
      <c r="H1308" s="376">
        <v>0.25839234885811596</v>
      </c>
      <c r="I1308" s="376">
        <v>0.85</v>
      </c>
    </row>
    <row r="1309" spans="1:9" x14ac:dyDescent="0.35">
      <c r="A1309" s="376" t="s">
        <v>1612</v>
      </c>
      <c r="B1309" s="376" t="s">
        <v>1609</v>
      </c>
      <c r="C1309" s="376" t="s">
        <v>644</v>
      </c>
      <c r="D1309" s="376">
        <v>2022</v>
      </c>
      <c r="E1309" s="376">
        <v>2028</v>
      </c>
      <c r="F1309" s="376">
        <v>0.37384575124303709</v>
      </c>
      <c r="G1309" s="376">
        <v>9928.6887826901675</v>
      </c>
      <c r="H1309" s="376">
        <v>0.25839234885811596</v>
      </c>
      <c r="I1309" s="376">
        <v>0.85</v>
      </c>
    </row>
    <row r="1310" spans="1:9" x14ac:dyDescent="0.35">
      <c r="A1310" s="376" t="s">
        <v>1612</v>
      </c>
      <c r="B1310" s="376" t="s">
        <v>1609</v>
      </c>
      <c r="C1310" s="376" t="s">
        <v>628</v>
      </c>
      <c r="D1310" s="376">
        <v>2022</v>
      </c>
      <c r="E1310" s="376">
        <v>2028</v>
      </c>
      <c r="F1310" s="376">
        <v>0.37384575124303709</v>
      </c>
      <c r="G1310" s="376">
        <v>9928.6887826901675</v>
      </c>
      <c r="H1310" s="376">
        <v>0.25839234885811596</v>
      </c>
      <c r="I1310" s="376">
        <v>0.85</v>
      </c>
    </row>
    <row r="1311" spans="1:9" x14ac:dyDescent="0.35">
      <c r="A1311" s="376" t="s">
        <v>1612</v>
      </c>
      <c r="B1311" s="376" t="s">
        <v>1609</v>
      </c>
      <c r="C1311" s="376" t="s">
        <v>1051</v>
      </c>
      <c r="D1311" s="376">
        <v>2022</v>
      </c>
      <c r="E1311" s="376">
        <v>2028</v>
      </c>
      <c r="F1311" s="376">
        <v>0.37384575124303709</v>
      </c>
      <c r="G1311" s="376">
        <v>9928.6887826901675</v>
      </c>
      <c r="H1311" s="376">
        <v>0.25839234885811596</v>
      </c>
      <c r="I1311" s="376">
        <v>0.85</v>
      </c>
    </row>
    <row r="1312" spans="1:9" x14ac:dyDescent="0.35">
      <c r="A1312" s="376" t="s">
        <v>1612</v>
      </c>
      <c r="B1312" s="376" t="s">
        <v>1609</v>
      </c>
      <c r="C1312" s="376" t="s">
        <v>1054</v>
      </c>
      <c r="D1312" s="376">
        <v>2022</v>
      </c>
      <c r="E1312" s="376">
        <v>2028</v>
      </c>
      <c r="F1312" s="376">
        <v>0.37384575124303709</v>
      </c>
      <c r="G1312" s="376">
        <v>9928.6887826901675</v>
      </c>
      <c r="H1312" s="376">
        <v>0.25839234885811596</v>
      </c>
      <c r="I1312" s="376">
        <v>0.85</v>
      </c>
    </row>
    <row r="1313" spans="1:9" x14ac:dyDescent="0.35">
      <c r="A1313" s="376" t="s">
        <v>1612</v>
      </c>
      <c r="B1313" s="376" t="s">
        <v>1609</v>
      </c>
      <c r="C1313" s="376" t="s">
        <v>1046</v>
      </c>
      <c r="D1313" s="376">
        <v>2022</v>
      </c>
      <c r="E1313" s="376">
        <v>2029</v>
      </c>
      <c r="F1313" s="376">
        <v>0.37384575124303709</v>
      </c>
      <c r="G1313" s="376">
        <v>9928.6887826901675</v>
      </c>
      <c r="H1313" s="376">
        <v>0.25839234885811596</v>
      </c>
      <c r="I1313" s="376">
        <v>0.85</v>
      </c>
    </row>
    <row r="1314" spans="1:9" x14ac:dyDescent="0.35">
      <c r="A1314" s="376" t="s">
        <v>1612</v>
      </c>
      <c r="B1314" s="376" t="s">
        <v>1609</v>
      </c>
      <c r="C1314" s="376" t="s">
        <v>644</v>
      </c>
      <c r="D1314" s="376">
        <v>2022</v>
      </c>
      <c r="E1314" s="376">
        <v>2029</v>
      </c>
      <c r="F1314" s="376">
        <v>0.37384575124303709</v>
      </c>
      <c r="G1314" s="376">
        <v>9928.6887826901675</v>
      </c>
      <c r="H1314" s="376">
        <v>0.25839234885811596</v>
      </c>
      <c r="I1314" s="376">
        <v>0.85</v>
      </c>
    </row>
    <row r="1315" spans="1:9" x14ac:dyDescent="0.35">
      <c r="A1315" s="376" t="s">
        <v>1612</v>
      </c>
      <c r="B1315" s="376" t="s">
        <v>1609</v>
      </c>
      <c r="C1315" s="376" t="s">
        <v>628</v>
      </c>
      <c r="D1315" s="376">
        <v>2022</v>
      </c>
      <c r="E1315" s="376">
        <v>2029</v>
      </c>
      <c r="F1315" s="376">
        <v>0.37384575124303709</v>
      </c>
      <c r="G1315" s="376">
        <v>9928.6887826901675</v>
      </c>
      <c r="H1315" s="376">
        <v>0.25839234885811596</v>
      </c>
      <c r="I1315" s="376">
        <v>0.85</v>
      </c>
    </row>
    <row r="1316" spans="1:9" x14ac:dyDescent="0.35">
      <c r="A1316" s="376" t="s">
        <v>1612</v>
      </c>
      <c r="B1316" s="376" t="s">
        <v>1609</v>
      </c>
      <c r="C1316" s="376" t="s">
        <v>1051</v>
      </c>
      <c r="D1316" s="376">
        <v>2022</v>
      </c>
      <c r="E1316" s="376">
        <v>2029</v>
      </c>
      <c r="F1316" s="376">
        <v>0.37384575124303709</v>
      </c>
      <c r="G1316" s="376">
        <v>9928.6887826901675</v>
      </c>
      <c r="H1316" s="376">
        <v>0.25839234885811596</v>
      </c>
      <c r="I1316" s="376">
        <v>0.85</v>
      </c>
    </row>
    <row r="1317" spans="1:9" x14ac:dyDescent="0.35">
      <c r="A1317" s="376" t="s">
        <v>1612</v>
      </c>
      <c r="B1317" s="376" t="s">
        <v>1609</v>
      </c>
      <c r="C1317" s="376" t="s">
        <v>1054</v>
      </c>
      <c r="D1317" s="376">
        <v>2022</v>
      </c>
      <c r="E1317" s="376">
        <v>2029</v>
      </c>
      <c r="F1317" s="376">
        <v>0.37384575124303709</v>
      </c>
      <c r="G1317" s="376">
        <v>9928.6887826901675</v>
      </c>
      <c r="H1317" s="376">
        <v>0.25839234885811596</v>
      </c>
      <c r="I1317" s="376">
        <v>0.85</v>
      </c>
    </row>
    <row r="1318" spans="1:9" x14ac:dyDescent="0.35">
      <c r="A1318" s="376" t="s">
        <v>1612</v>
      </c>
      <c r="B1318" s="376" t="s">
        <v>1609</v>
      </c>
      <c r="C1318" s="376" t="s">
        <v>1046</v>
      </c>
      <c r="D1318" s="376">
        <v>2022</v>
      </c>
      <c r="E1318" s="376">
        <v>2030</v>
      </c>
      <c r="F1318" s="376">
        <v>0.37384575124303709</v>
      </c>
      <c r="G1318" s="376">
        <v>9928.6887826901675</v>
      </c>
      <c r="H1318" s="376">
        <v>0.25839234885811596</v>
      </c>
      <c r="I1318" s="376">
        <v>0.85</v>
      </c>
    </row>
    <row r="1319" spans="1:9" x14ac:dyDescent="0.35">
      <c r="A1319" s="376" t="s">
        <v>1612</v>
      </c>
      <c r="B1319" s="376" t="s">
        <v>1609</v>
      </c>
      <c r="C1319" s="376" t="s">
        <v>644</v>
      </c>
      <c r="D1319" s="376">
        <v>2022</v>
      </c>
      <c r="E1319" s="376">
        <v>2030</v>
      </c>
      <c r="F1319" s="376">
        <v>0.37384575124303709</v>
      </c>
      <c r="G1319" s="376">
        <v>9928.6887826901675</v>
      </c>
      <c r="H1319" s="376">
        <v>0.25839234885811596</v>
      </c>
      <c r="I1319" s="376">
        <v>0.85</v>
      </c>
    </row>
    <row r="1320" spans="1:9" x14ac:dyDescent="0.35">
      <c r="A1320" s="376" t="s">
        <v>1612</v>
      </c>
      <c r="B1320" s="376" t="s">
        <v>1609</v>
      </c>
      <c r="C1320" s="376" t="s">
        <v>628</v>
      </c>
      <c r="D1320" s="376">
        <v>2022</v>
      </c>
      <c r="E1320" s="376">
        <v>2030</v>
      </c>
      <c r="F1320" s="376">
        <v>0.37384575124303709</v>
      </c>
      <c r="G1320" s="376">
        <v>9928.6887826901675</v>
      </c>
      <c r="H1320" s="376">
        <v>0.25839234885811596</v>
      </c>
      <c r="I1320" s="376">
        <v>0.85</v>
      </c>
    </row>
    <row r="1321" spans="1:9" x14ac:dyDescent="0.35">
      <c r="A1321" s="376" t="s">
        <v>1612</v>
      </c>
      <c r="B1321" s="376" t="s">
        <v>1609</v>
      </c>
      <c r="C1321" s="376" t="s">
        <v>1051</v>
      </c>
      <c r="D1321" s="376">
        <v>2022</v>
      </c>
      <c r="E1321" s="376">
        <v>2030</v>
      </c>
      <c r="F1321" s="376">
        <v>0.37384575124303709</v>
      </c>
      <c r="G1321" s="376">
        <v>9928.6887826901675</v>
      </c>
      <c r="H1321" s="376">
        <v>0.25839234885811596</v>
      </c>
      <c r="I1321" s="376">
        <v>0.85</v>
      </c>
    </row>
    <row r="1322" spans="1:9" x14ac:dyDescent="0.35">
      <c r="A1322" s="376" t="s">
        <v>1612</v>
      </c>
      <c r="B1322" s="376" t="s">
        <v>1609</v>
      </c>
      <c r="C1322" s="376" t="s">
        <v>1054</v>
      </c>
      <c r="D1322" s="376">
        <v>2022</v>
      </c>
      <c r="E1322" s="376">
        <v>2030</v>
      </c>
      <c r="F1322" s="376">
        <v>0.37384575124303709</v>
      </c>
      <c r="G1322" s="376">
        <v>9928.6887826901675</v>
      </c>
      <c r="H1322" s="376">
        <v>0.25839234885811596</v>
      </c>
      <c r="I1322" s="376">
        <v>0.85</v>
      </c>
    </row>
    <row r="1323" spans="1:9" x14ac:dyDescent="0.35">
      <c r="A1323" s="376" t="s">
        <v>1612</v>
      </c>
      <c r="B1323" s="376" t="s">
        <v>1609</v>
      </c>
      <c r="C1323" s="376" t="s">
        <v>1046</v>
      </c>
      <c r="D1323" s="376">
        <v>2022</v>
      </c>
      <c r="E1323" s="376">
        <v>2031</v>
      </c>
      <c r="F1323" s="376">
        <v>0.37384575124303709</v>
      </c>
      <c r="G1323" s="376">
        <v>9928.6887826901675</v>
      </c>
      <c r="H1323" s="376">
        <v>0.25839234885811596</v>
      </c>
      <c r="I1323" s="376">
        <v>0.85</v>
      </c>
    </row>
    <row r="1324" spans="1:9" x14ac:dyDescent="0.35">
      <c r="A1324" s="376" t="s">
        <v>1612</v>
      </c>
      <c r="B1324" s="376" t="s">
        <v>1609</v>
      </c>
      <c r="C1324" s="376" t="s">
        <v>644</v>
      </c>
      <c r="D1324" s="376">
        <v>2022</v>
      </c>
      <c r="E1324" s="376">
        <v>2031</v>
      </c>
      <c r="F1324" s="376">
        <v>0.37384575124303709</v>
      </c>
      <c r="G1324" s="376">
        <v>9928.6887826901675</v>
      </c>
      <c r="H1324" s="376">
        <v>0.25839234885811596</v>
      </c>
      <c r="I1324" s="376">
        <v>0.85</v>
      </c>
    </row>
    <row r="1325" spans="1:9" x14ac:dyDescent="0.35">
      <c r="A1325" s="376" t="s">
        <v>1612</v>
      </c>
      <c r="B1325" s="376" t="s">
        <v>1609</v>
      </c>
      <c r="C1325" s="376" t="s">
        <v>628</v>
      </c>
      <c r="D1325" s="376">
        <v>2022</v>
      </c>
      <c r="E1325" s="376">
        <v>2031</v>
      </c>
      <c r="F1325" s="376">
        <v>0.37384575124303709</v>
      </c>
      <c r="G1325" s="376">
        <v>9928.6887826901675</v>
      </c>
      <c r="H1325" s="376">
        <v>0.25839234885811596</v>
      </c>
      <c r="I1325" s="376">
        <v>0.85</v>
      </c>
    </row>
    <row r="1326" spans="1:9" x14ac:dyDescent="0.35">
      <c r="A1326" s="376" t="s">
        <v>1612</v>
      </c>
      <c r="B1326" s="376" t="s">
        <v>1609</v>
      </c>
      <c r="C1326" s="376" t="s">
        <v>1051</v>
      </c>
      <c r="D1326" s="376">
        <v>2022</v>
      </c>
      <c r="E1326" s="376">
        <v>2031</v>
      </c>
      <c r="F1326" s="376">
        <v>0.37384575124303709</v>
      </c>
      <c r="G1326" s="376">
        <v>9928.6887826901675</v>
      </c>
      <c r="H1326" s="376">
        <v>0.25839234885811596</v>
      </c>
      <c r="I1326" s="376">
        <v>0.85</v>
      </c>
    </row>
    <row r="1327" spans="1:9" x14ac:dyDescent="0.35">
      <c r="A1327" s="376" t="s">
        <v>1612</v>
      </c>
      <c r="B1327" s="376" t="s">
        <v>1609</v>
      </c>
      <c r="C1327" s="376" t="s">
        <v>1054</v>
      </c>
      <c r="D1327" s="376">
        <v>2022</v>
      </c>
      <c r="E1327" s="376">
        <v>2031</v>
      </c>
      <c r="F1327" s="376">
        <v>0.37384575124303709</v>
      </c>
      <c r="G1327" s="376">
        <v>9928.6887826901675</v>
      </c>
      <c r="H1327" s="376">
        <v>0.25839234885811596</v>
      </c>
      <c r="I1327" s="376">
        <v>0.85</v>
      </c>
    </row>
    <row r="1328" spans="1:9" x14ac:dyDescent="0.35">
      <c r="A1328" s="376" t="s">
        <v>1613</v>
      </c>
      <c r="B1328" s="376" t="s">
        <v>1609</v>
      </c>
      <c r="C1328" s="376" t="s">
        <v>1046</v>
      </c>
      <c r="D1328" s="376">
        <v>2022</v>
      </c>
      <c r="E1328" s="376">
        <v>2022</v>
      </c>
      <c r="F1328" s="376">
        <v>0.40444272241720852</v>
      </c>
      <c r="G1328" s="376">
        <v>8848.5269568257354</v>
      </c>
      <c r="H1328" s="376">
        <v>0.25601753086923207</v>
      </c>
      <c r="I1328" s="376">
        <v>0.85</v>
      </c>
    </row>
    <row r="1329" spans="1:9" x14ac:dyDescent="0.35">
      <c r="A1329" s="376" t="s">
        <v>1613</v>
      </c>
      <c r="B1329" s="376" t="s">
        <v>1609</v>
      </c>
      <c r="C1329" s="376" t="s">
        <v>644</v>
      </c>
      <c r="D1329" s="376">
        <v>2022</v>
      </c>
      <c r="E1329" s="376">
        <v>2022</v>
      </c>
      <c r="F1329" s="376">
        <v>0.40444272241720852</v>
      </c>
      <c r="G1329" s="376">
        <v>8848.5269568257354</v>
      </c>
      <c r="H1329" s="376">
        <v>0.25601753086923207</v>
      </c>
      <c r="I1329" s="376">
        <v>0.85</v>
      </c>
    </row>
    <row r="1330" spans="1:9" x14ac:dyDescent="0.35">
      <c r="A1330" s="376" t="s">
        <v>1613</v>
      </c>
      <c r="B1330" s="376" t="s">
        <v>1609</v>
      </c>
      <c r="C1330" s="376" t="s">
        <v>628</v>
      </c>
      <c r="D1330" s="376">
        <v>2022</v>
      </c>
      <c r="E1330" s="376">
        <v>2022</v>
      </c>
      <c r="F1330" s="376">
        <v>0.40444272241720852</v>
      </c>
      <c r="G1330" s="376">
        <v>8848.5269568257354</v>
      </c>
      <c r="H1330" s="376">
        <v>0.25601753086923207</v>
      </c>
      <c r="I1330" s="376">
        <v>0.85</v>
      </c>
    </row>
    <row r="1331" spans="1:9" x14ac:dyDescent="0.35">
      <c r="A1331" s="376" t="s">
        <v>1613</v>
      </c>
      <c r="B1331" s="376" t="s">
        <v>1609</v>
      </c>
      <c r="C1331" s="376" t="s">
        <v>1051</v>
      </c>
      <c r="D1331" s="376">
        <v>2022</v>
      </c>
      <c r="E1331" s="376">
        <v>2022</v>
      </c>
      <c r="F1331" s="376">
        <v>0.40444272241720852</v>
      </c>
      <c r="G1331" s="376">
        <v>8848.5269568257354</v>
      </c>
      <c r="H1331" s="376">
        <v>0.25601753086923207</v>
      </c>
      <c r="I1331" s="376">
        <v>0.85</v>
      </c>
    </row>
    <row r="1332" spans="1:9" x14ac:dyDescent="0.35">
      <c r="A1332" s="376" t="s">
        <v>1613</v>
      </c>
      <c r="B1332" s="376" t="s">
        <v>1609</v>
      </c>
      <c r="C1332" s="376" t="s">
        <v>1054</v>
      </c>
      <c r="D1332" s="376">
        <v>2022</v>
      </c>
      <c r="E1332" s="376">
        <v>2022</v>
      </c>
      <c r="F1332" s="376">
        <v>0.40444272241720852</v>
      </c>
      <c r="G1332" s="376">
        <v>8848.5269568257354</v>
      </c>
      <c r="H1332" s="376">
        <v>0.25601753086923207</v>
      </c>
      <c r="I1332" s="376">
        <v>0.85</v>
      </c>
    </row>
    <row r="1333" spans="1:9" x14ac:dyDescent="0.35">
      <c r="A1333" s="376" t="s">
        <v>1613</v>
      </c>
      <c r="B1333" s="376" t="s">
        <v>1609</v>
      </c>
      <c r="C1333" s="376" t="s">
        <v>1046</v>
      </c>
      <c r="D1333" s="376">
        <v>2022</v>
      </c>
      <c r="E1333" s="376">
        <v>2023</v>
      </c>
      <c r="F1333" s="376">
        <v>0.40444272241720852</v>
      </c>
      <c r="G1333" s="376">
        <v>8848.5269568257354</v>
      </c>
      <c r="H1333" s="376">
        <v>0.25601753086923207</v>
      </c>
      <c r="I1333" s="376">
        <v>0.85</v>
      </c>
    </row>
    <row r="1334" spans="1:9" x14ac:dyDescent="0.35">
      <c r="A1334" s="376" t="s">
        <v>1613</v>
      </c>
      <c r="B1334" s="376" t="s">
        <v>1609</v>
      </c>
      <c r="C1334" s="376" t="s">
        <v>644</v>
      </c>
      <c r="D1334" s="376">
        <v>2022</v>
      </c>
      <c r="E1334" s="376">
        <v>2023</v>
      </c>
      <c r="F1334" s="376">
        <v>0.40444272241720852</v>
      </c>
      <c r="G1334" s="376">
        <v>8848.5269568257354</v>
      </c>
      <c r="H1334" s="376">
        <v>0.25601753086923207</v>
      </c>
      <c r="I1334" s="376">
        <v>0.85</v>
      </c>
    </row>
    <row r="1335" spans="1:9" x14ac:dyDescent="0.35">
      <c r="A1335" s="376" t="s">
        <v>1613</v>
      </c>
      <c r="B1335" s="376" t="s">
        <v>1609</v>
      </c>
      <c r="C1335" s="376" t="s">
        <v>628</v>
      </c>
      <c r="D1335" s="376">
        <v>2022</v>
      </c>
      <c r="E1335" s="376">
        <v>2023</v>
      </c>
      <c r="F1335" s="376">
        <v>0.40444272241720852</v>
      </c>
      <c r="G1335" s="376">
        <v>8848.5269568257354</v>
      </c>
      <c r="H1335" s="376">
        <v>0.25601753086923207</v>
      </c>
      <c r="I1335" s="376">
        <v>0.85</v>
      </c>
    </row>
    <row r="1336" spans="1:9" x14ac:dyDescent="0.35">
      <c r="A1336" s="376" t="s">
        <v>1613</v>
      </c>
      <c r="B1336" s="376" t="s">
        <v>1609</v>
      </c>
      <c r="C1336" s="376" t="s">
        <v>1051</v>
      </c>
      <c r="D1336" s="376">
        <v>2022</v>
      </c>
      <c r="E1336" s="376">
        <v>2023</v>
      </c>
      <c r="F1336" s="376">
        <v>0.40444272241720852</v>
      </c>
      <c r="G1336" s="376">
        <v>8848.5269568257354</v>
      </c>
      <c r="H1336" s="376">
        <v>0.25601753086923207</v>
      </c>
      <c r="I1336" s="376">
        <v>0.85</v>
      </c>
    </row>
    <row r="1337" spans="1:9" x14ac:dyDescent="0.35">
      <c r="A1337" s="376" t="s">
        <v>1613</v>
      </c>
      <c r="B1337" s="376" t="s">
        <v>1609</v>
      </c>
      <c r="C1337" s="376" t="s">
        <v>1054</v>
      </c>
      <c r="D1337" s="376">
        <v>2022</v>
      </c>
      <c r="E1337" s="376">
        <v>2023</v>
      </c>
      <c r="F1337" s="376">
        <v>0.40444272241720852</v>
      </c>
      <c r="G1337" s="376">
        <v>8848.5269568257354</v>
      </c>
      <c r="H1337" s="376">
        <v>0.25601753086923207</v>
      </c>
      <c r="I1337" s="376">
        <v>0.85</v>
      </c>
    </row>
    <row r="1338" spans="1:9" x14ac:dyDescent="0.35">
      <c r="A1338" s="376" t="s">
        <v>1613</v>
      </c>
      <c r="B1338" s="376" t="s">
        <v>1609</v>
      </c>
      <c r="C1338" s="376" t="s">
        <v>1046</v>
      </c>
      <c r="D1338" s="376">
        <v>2022</v>
      </c>
      <c r="E1338" s="376">
        <v>2024</v>
      </c>
      <c r="F1338" s="376">
        <v>0.40444272241720852</v>
      </c>
      <c r="G1338" s="376">
        <v>8848.5269568257354</v>
      </c>
      <c r="H1338" s="376">
        <v>0.25601753086923207</v>
      </c>
      <c r="I1338" s="376">
        <v>0.85</v>
      </c>
    </row>
    <row r="1339" spans="1:9" x14ac:dyDescent="0.35">
      <c r="A1339" s="376" t="s">
        <v>1613</v>
      </c>
      <c r="B1339" s="376" t="s">
        <v>1609</v>
      </c>
      <c r="C1339" s="376" t="s">
        <v>644</v>
      </c>
      <c r="D1339" s="376">
        <v>2022</v>
      </c>
      <c r="E1339" s="376">
        <v>2024</v>
      </c>
      <c r="F1339" s="376">
        <v>0.40444272241720852</v>
      </c>
      <c r="G1339" s="376">
        <v>8848.5269568257354</v>
      </c>
      <c r="H1339" s="376">
        <v>0.25601753086923207</v>
      </c>
      <c r="I1339" s="376">
        <v>0.85</v>
      </c>
    </row>
    <row r="1340" spans="1:9" x14ac:dyDescent="0.35">
      <c r="A1340" s="376" t="s">
        <v>1613</v>
      </c>
      <c r="B1340" s="376" t="s">
        <v>1609</v>
      </c>
      <c r="C1340" s="376" t="s">
        <v>628</v>
      </c>
      <c r="D1340" s="376">
        <v>2022</v>
      </c>
      <c r="E1340" s="376">
        <v>2024</v>
      </c>
      <c r="F1340" s="376">
        <v>0.40444272241720852</v>
      </c>
      <c r="G1340" s="376">
        <v>8848.5269568257354</v>
      </c>
      <c r="H1340" s="376">
        <v>0.25601753086923207</v>
      </c>
      <c r="I1340" s="376">
        <v>0.85</v>
      </c>
    </row>
    <row r="1341" spans="1:9" x14ac:dyDescent="0.35">
      <c r="A1341" s="376" t="s">
        <v>1613</v>
      </c>
      <c r="B1341" s="376" t="s">
        <v>1609</v>
      </c>
      <c r="C1341" s="376" t="s">
        <v>1051</v>
      </c>
      <c r="D1341" s="376">
        <v>2022</v>
      </c>
      <c r="E1341" s="376">
        <v>2024</v>
      </c>
      <c r="F1341" s="376">
        <v>0.40444272241720852</v>
      </c>
      <c r="G1341" s="376">
        <v>8848.5269568257354</v>
      </c>
      <c r="H1341" s="376">
        <v>0.25601753086923207</v>
      </c>
      <c r="I1341" s="376">
        <v>0.85</v>
      </c>
    </row>
    <row r="1342" spans="1:9" x14ac:dyDescent="0.35">
      <c r="A1342" s="376" t="s">
        <v>1613</v>
      </c>
      <c r="B1342" s="376" t="s">
        <v>1609</v>
      </c>
      <c r="C1342" s="376" t="s">
        <v>1054</v>
      </c>
      <c r="D1342" s="376">
        <v>2022</v>
      </c>
      <c r="E1342" s="376">
        <v>2024</v>
      </c>
      <c r="F1342" s="376">
        <v>0.40444272241720852</v>
      </c>
      <c r="G1342" s="376">
        <v>8848.5269568257354</v>
      </c>
      <c r="H1342" s="376">
        <v>0.25601753086923207</v>
      </c>
      <c r="I1342" s="376">
        <v>0.85</v>
      </c>
    </row>
    <row r="1343" spans="1:9" x14ac:dyDescent="0.35">
      <c r="A1343" s="376" t="s">
        <v>1613</v>
      </c>
      <c r="B1343" s="376" t="s">
        <v>1609</v>
      </c>
      <c r="C1343" s="376" t="s">
        <v>1046</v>
      </c>
      <c r="D1343" s="376">
        <v>2022</v>
      </c>
      <c r="E1343" s="376">
        <v>2025</v>
      </c>
      <c r="F1343" s="376">
        <v>0.40444272241720852</v>
      </c>
      <c r="G1343" s="376">
        <v>8848.5269568257354</v>
      </c>
      <c r="H1343" s="376">
        <v>0.25601753086923207</v>
      </c>
      <c r="I1343" s="376">
        <v>0.85</v>
      </c>
    </row>
    <row r="1344" spans="1:9" x14ac:dyDescent="0.35">
      <c r="A1344" s="376" t="s">
        <v>1613</v>
      </c>
      <c r="B1344" s="376" t="s">
        <v>1609</v>
      </c>
      <c r="C1344" s="376" t="s">
        <v>644</v>
      </c>
      <c r="D1344" s="376">
        <v>2022</v>
      </c>
      <c r="E1344" s="376">
        <v>2025</v>
      </c>
      <c r="F1344" s="376">
        <v>0.40444272241720852</v>
      </c>
      <c r="G1344" s="376">
        <v>8848.5269568257354</v>
      </c>
      <c r="H1344" s="376">
        <v>0.25601753086923207</v>
      </c>
      <c r="I1344" s="376">
        <v>0.85</v>
      </c>
    </row>
    <row r="1345" spans="1:9" x14ac:dyDescent="0.35">
      <c r="A1345" s="376" t="s">
        <v>1613</v>
      </c>
      <c r="B1345" s="376" t="s">
        <v>1609</v>
      </c>
      <c r="C1345" s="376" t="s">
        <v>628</v>
      </c>
      <c r="D1345" s="376">
        <v>2022</v>
      </c>
      <c r="E1345" s="376">
        <v>2025</v>
      </c>
      <c r="F1345" s="376">
        <v>0.40444272241720852</v>
      </c>
      <c r="G1345" s="376">
        <v>8848.5269568257354</v>
      </c>
      <c r="H1345" s="376">
        <v>0.25601753086923207</v>
      </c>
      <c r="I1345" s="376">
        <v>0.85</v>
      </c>
    </row>
    <row r="1346" spans="1:9" x14ac:dyDescent="0.35">
      <c r="A1346" s="376" t="s">
        <v>1613</v>
      </c>
      <c r="B1346" s="376" t="s">
        <v>1609</v>
      </c>
      <c r="C1346" s="376" t="s">
        <v>1051</v>
      </c>
      <c r="D1346" s="376">
        <v>2022</v>
      </c>
      <c r="E1346" s="376">
        <v>2025</v>
      </c>
      <c r="F1346" s="376">
        <v>0.40444272241720852</v>
      </c>
      <c r="G1346" s="376">
        <v>8848.5269568257354</v>
      </c>
      <c r="H1346" s="376">
        <v>0.25601753086923207</v>
      </c>
      <c r="I1346" s="376">
        <v>0.85</v>
      </c>
    </row>
    <row r="1347" spans="1:9" x14ac:dyDescent="0.35">
      <c r="A1347" s="376" t="s">
        <v>1613</v>
      </c>
      <c r="B1347" s="376" t="s">
        <v>1609</v>
      </c>
      <c r="C1347" s="376" t="s">
        <v>1054</v>
      </c>
      <c r="D1347" s="376">
        <v>2022</v>
      </c>
      <c r="E1347" s="376">
        <v>2025</v>
      </c>
      <c r="F1347" s="376">
        <v>0.40444272241720852</v>
      </c>
      <c r="G1347" s="376">
        <v>8848.5269568257354</v>
      </c>
      <c r="H1347" s="376">
        <v>0.25601753086923207</v>
      </c>
      <c r="I1347" s="376">
        <v>0.85</v>
      </c>
    </row>
    <row r="1348" spans="1:9" x14ac:dyDescent="0.35">
      <c r="A1348" s="376" t="s">
        <v>1613</v>
      </c>
      <c r="B1348" s="376" t="s">
        <v>1609</v>
      </c>
      <c r="C1348" s="376" t="s">
        <v>1046</v>
      </c>
      <c r="D1348" s="376">
        <v>2022</v>
      </c>
      <c r="E1348" s="376">
        <v>2026</v>
      </c>
      <c r="F1348" s="376">
        <v>0.40444272241720852</v>
      </c>
      <c r="G1348" s="376">
        <v>8848.5269568257354</v>
      </c>
      <c r="H1348" s="376">
        <v>0.25601753086923207</v>
      </c>
      <c r="I1348" s="376">
        <v>0.85</v>
      </c>
    </row>
    <row r="1349" spans="1:9" x14ac:dyDescent="0.35">
      <c r="A1349" s="376" t="s">
        <v>1613</v>
      </c>
      <c r="B1349" s="376" t="s">
        <v>1609</v>
      </c>
      <c r="C1349" s="376" t="s">
        <v>644</v>
      </c>
      <c r="D1349" s="376">
        <v>2022</v>
      </c>
      <c r="E1349" s="376">
        <v>2026</v>
      </c>
      <c r="F1349" s="376">
        <v>0.40444272241720852</v>
      </c>
      <c r="G1349" s="376">
        <v>8848.5269568257354</v>
      </c>
      <c r="H1349" s="376">
        <v>0.25601753086923207</v>
      </c>
      <c r="I1349" s="376">
        <v>0.85</v>
      </c>
    </row>
    <row r="1350" spans="1:9" x14ac:dyDescent="0.35">
      <c r="A1350" s="376" t="s">
        <v>1613</v>
      </c>
      <c r="B1350" s="376" t="s">
        <v>1609</v>
      </c>
      <c r="C1350" s="376" t="s">
        <v>628</v>
      </c>
      <c r="D1350" s="376">
        <v>2022</v>
      </c>
      <c r="E1350" s="376">
        <v>2026</v>
      </c>
      <c r="F1350" s="376">
        <v>0.40444272241720852</v>
      </c>
      <c r="G1350" s="376">
        <v>8848.5269568257354</v>
      </c>
      <c r="H1350" s="376">
        <v>0.25601753086923207</v>
      </c>
      <c r="I1350" s="376">
        <v>0.85</v>
      </c>
    </row>
    <row r="1351" spans="1:9" x14ac:dyDescent="0.35">
      <c r="A1351" s="376" t="s">
        <v>1613</v>
      </c>
      <c r="B1351" s="376" t="s">
        <v>1609</v>
      </c>
      <c r="C1351" s="376" t="s">
        <v>1051</v>
      </c>
      <c r="D1351" s="376">
        <v>2022</v>
      </c>
      <c r="E1351" s="376">
        <v>2026</v>
      </c>
      <c r="F1351" s="376">
        <v>0.40444272241720852</v>
      </c>
      <c r="G1351" s="376">
        <v>8848.5269568257354</v>
      </c>
      <c r="H1351" s="376">
        <v>0.25601753086923207</v>
      </c>
      <c r="I1351" s="376">
        <v>0.85</v>
      </c>
    </row>
    <row r="1352" spans="1:9" x14ac:dyDescent="0.35">
      <c r="A1352" s="376" t="s">
        <v>1613</v>
      </c>
      <c r="B1352" s="376" t="s">
        <v>1609</v>
      </c>
      <c r="C1352" s="376" t="s">
        <v>1054</v>
      </c>
      <c r="D1352" s="376">
        <v>2022</v>
      </c>
      <c r="E1352" s="376">
        <v>2026</v>
      </c>
      <c r="F1352" s="376">
        <v>0.40444272241720852</v>
      </c>
      <c r="G1352" s="376">
        <v>8848.5269568257354</v>
      </c>
      <c r="H1352" s="376">
        <v>0.25601753086923207</v>
      </c>
      <c r="I1352" s="376">
        <v>0.85</v>
      </c>
    </row>
    <row r="1353" spans="1:9" x14ac:dyDescent="0.35">
      <c r="A1353" s="376" t="s">
        <v>1613</v>
      </c>
      <c r="B1353" s="376" t="s">
        <v>1609</v>
      </c>
      <c r="C1353" s="376" t="s">
        <v>1046</v>
      </c>
      <c r="D1353" s="376">
        <v>2022</v>
      </c>
      <c r="E1353" s="376">
        <v>2027</v>
      </c>
      <c r="F1353" s="376">
        <v>0.40444272241720852</v>
      </c>
      <c r="G1353" s="376">
        <v>8848.5269568257354</v>
      </c>
      <c r="H1353" s="376">
        <v>0.25601753086923207</v>
      </c>
      <c r="I1353" s="376">
        <v>0.85</v>
      </c>
    </row>
    <row r="1354" spans="1:9" x14ac:dyDescent="0.35">
      <c r="A1354" s="376" t="s">
        <v>1613</v>
      </c>
      <c r="B1354" s="376" t="s">
        <v>1609</v>
      </c>
      <c r="C1354" s="376" t="s">
        <v>644</v>
      </c>
      <c r="D1354" s="376">
        <v>2022</v>
      </c>
      <c r="E1354" s="376">
        <v>2027</v>
      </c>
      <c r="F1354" s="376">
        <v>0.40444272241720852</v>
      </c>
      <c r="G1354" s="376">
        <v>8848.5269568257354</v>
      </c>
      <c r="H1354" s="376">
        <v>0.25601753086923207</v>
      </c>
      <c r="I1354" s="376">
        <v>0.85</v>
      </c>
    </row>
    <row r="1355" spans="1:9" x14ac:dyDescent="0.35">
      <c r="A1355" s="376" t="s">
        <v>1613</v>
      </c>
      <c r="B1355" s="376" t="s">
        <v>1609</v>
      </c>
      <c r="C1355" s="376" t="s">
        <v>628</v>
      </c>
      <c r="D1355" s="376">
        <v>2022</v>
      </c>
      <c r="E1355" s="376">
        <v>2027</v>
      </c>
      <c r="F1355" s="376">
        <v>0.40444272241720852</v>
      </c>
      <c r="G1355" s="376">
        <v>8848.5269568257354</v>
      </c>
      <c r="H1355" s="376">
        <v>0.25601753086923207</v>
      </c>
      <c r="I1355" s="376">
        <v>0.85</v>
      </c>
    </row>
    <row r="1356" spans="1:9" x14ac:dyDescent="0.35">
      <c r="A1356" s="376" t="s">
        <v>1613</v>
      </c>
      <c r="B1356" s="376" t="s">
        <v>1609</v>
      </c>
      <c r="C1356" s="376" t="s">
        <v>1051</v>
      </c>
      <c r="D1356" s="376">
        <v>2022</v>
      </c>
      <c r="E1356" s="376">
        <v>2027</v>
      </c>
      <c r="F1356" s="376">
        <v>0.40444272241720852</v>
      </c>
      <c r="G1356" s="376">
        <v>8848.5269568257354</v>
      </c>
      <c r="H1356" s="376">
        <v>0.25601753086923207</v>
      </c>
      <c r="I1356" s="376">
        <v>0.85</v>
      </c>
    </row>
    <row r="1357" spans="1:9" x14ac:dyDescent="0.35">
      <c r="A1357" s="376" t="s">
        <v>1613</v>
      </c>
      <c r="B1357" s="376" t="s">
        <v>1609</v>
      </c>
      <c r="C1357" s="376" t="s">
        <v>1054</v>
      </c>
      <c r="D1357" s="376">
        <v>2022</v>
      </c>
      <c r="E1357" s="376">
        <v>2027</v>
      </c>
      <c r="F1357" s="376">
        <v>0.40444272241720852</v>
      </c>
      <c r="G1357" s="376">
        <v>8848.5269568257354</v>
      </c>
      <c r="H1357" s="376">
        <v>0.25601753086923207</v>
      </c>
      <c r="I1357" s="376">
        <v>0.85</v>
      </c>
    </row>
    <row r="1358" spans="1:9" x14ac:dyDescent="0.35">
      <c r="A1358" s="376" t="s">
        <v>1613</v>
      </c>
      <c r="B1358" s="376" t="s">
        <v>1609</v>
      </c>
      <c r="C1358" s="376" t="s">
        <v>1046</v>
      </c>
      <c r="D1358" s="376">
        <v>2022</v>
      </c>
      <c r="E1358" s="376">
        <v>2028</v>
      </c>
      <c r="F1358" s="376">
        <v>0.40444272241720852</v>
      </c>
      <c r="G1358" s="376">
        <v>8848.5269568257354</v>
      </c>
      <c r="H1358" s="376">
        <v>0.25601753086923207</v>
      </c>
      <c r="I1358" s="376">
        <v>0.85</v>
      </c>
    </row>
    <row r="1359" spans="1:9" x14ac:dyDescent="0.35">
      <c r="A1359" s="376" t="s">
        <v>1613</v>
      </c>
      <c r="B1359" s="376" t="s">
        <v>1609</v>
      </c>
      <c r="C1359" s="376" t="s">
        <v>644</v>
      </c>
      <c r="D1359" s="376">
        <v>2022</v>
      </c>
      <c r="E1359" s="376">
        <v>2028</v>
      </c>
      <c r="F1359" s="376">
        <v>0.40444272241720852</v>
      </c>
      <c r="G1359" s="376">
        <v>8848.5269568257354</v>
      </c>
      <c r="H1359" s="376">
        <v>0.25601753086923207</v>
      </c>
      <c r="I1359" s="376">
        <v>0.85</v>
      </c>
    </row>
    <row r="1360" spans="1:9" x14ac:dyDescent="0.35">
      <c r="A1360" s="376" t="s">
        <v>1613</v>
      </c>
      <c r="B1360" s="376" t="s">
        <v>1609</v>
      </c>
      <c r="C1360" s="376" t="s">
        <v>628</v>
      </c>
      <c r="D1360" s="376">
        <v>2022</v>
      </c>
      <c r="E1360" s="376">
        <v>2028</v>
      </c>
      <c r="F1360" s="376">
        <v>0.40444272241720852</v>
      </c>
      <c r="G1360" s="376">
        <v>8848.5269568257354</v>
      </c>
      <c r="H1360" s="376">
        <v>0.25601753086923207</v>
      </c>
      <c r="I1360" s="376">
        <v>0.85</v>
      </c>
    </row>
    <row r="1361" spans="1:9" x14ac:dyDescent="0.35">
      <c r="A1361" s="376" t="s">
        <v>1613</v>
      </c>
      <c r="B1361" s="376" t="s">
        <v>1609</v>
      </c>
      <c r="C1361" s="376" t="s">
        <v>1051</v>
      </c>
      <c r="D1361" s="376">
        <v>2022</v>
      </c>
      <c r="E1361" s="376">
        <v>2028</v>
      </c>
      <c r="F1361" s="376">
        <v>0.40444272241720852</v>
      </c>
      <c r="G1361" s="376">
        <v>8848.5269568257354</v>
      </c>
      <c r="H1361" s="376">
        <v>0.25601753086923207</v>
      </c>
      <c r="I1361" s="376">
        <v>0.85</v>
      </c>
    </row>
    <row r="1362" spans="1:9" x14ac:dyDescent="0.35">
      <c r="A1362" s="376" t="s">
        <v>1613</v>
      </c>
      <c r="B1362" s="376" t="s">
        <v>1609</v>
      </c>
      <c r="C1362" s="376" t="s">
        <v>1054</v>
      </c>
      <c r="D1362" s="376">
        <v>2022</v>
      </c>
      <c r="E1362" s="376">
        <v>2028</v>
      </c>
      <c r="F1362" s="376">
        <v>0.40444272241720852</v>
      </c>
      <c r="G1362" s="376">
        <v>8848.5269568257354</v>
      </c>
      <c r="H1362" s="376">
        <v>0.25601753086923207</v>
      </c>
      <c r="I1362" s="376">
        <v>0.85</v>
      </c>
    </row>
    <row r="1363" spans="1:9" x14ac:dyDescent="0.35">
      <c r="A1363" s="376" t="s">
        <v>1613</v>
      </c>
      <c r="B1363" s="376" t="s">
        <v>1609</v>
      </c>
      <c r="C1363" s="376" t="s">
        <v>1046</v>
      </c>
      <c r="D1363" s="376">
        <v>2022</v>
      </c>
      <c r="E1363" s="376">
        <v>2029</v>
      </c>
      <c r="F1363" s="376">
        <v>0.40444272241720852</v>
      </c>
      <c r="G1363" s="376">
        <v>8848.5269568257354</v>
      </c>
      <c r="H1363" s="376">
        <v>0.25601753086923207</v>
      </c>
      <c r="I1363" s="376">
        <v>0.85</v>
      </c>
    </row>
    <row r="1364" spans="1:9" x14ac:dyDescent="0.35">
      <c r="A1364" s="376" t="s">
        <v>1613</v>
      </c>
      <c r="B1364" s="376" t="s">
        <v>1609</v>
      </c>
      <c r="C1364" s="376" t="s">
        <v>644</v>
      </c>
      <c r="D1364" s="376">
        <v>2022</v>
      </c>
      <c r="E1364" s="376">
        <v>2029</v>
      </c>
      <c r="F1364" s="376">
        <v>0.40444272241720852</v>
      </c>
      <c r="G1364" s="376">
        <v>8848.5269568257354</v>
      </c>
      <c r="H1364" s="376">
        <v>0.25601753086923207</v>
      </c>
      <c r="I1364" s="376">
        <v>0.85</v>
      </c>
    </row>
    <row r="1365" spans="1:9" x14ac:dyDescent="0.35">
      <c r="A1365" s="376" t="s">
        <v>1613</v>
      </c>
      <c r="B1365" s="376" t="s">
        <v>1609</v>
      </c>
      <c r="C1365" s="376" t="s">
        <v>628</v>
      </c>
      <c r="D1365" s="376">
        <v>2022</v>
      </c>
      <c r="E1365" s="376">
        <v>2029</v>
      </c>
      <c r="F1365" s="376">
        <v>0.40444272241720852</v>
      </c>
      <c r="G1365" s="376">
        <v>8848.5269568257354</v>
      </c>
      <c r="H1365" s="376">
        <v>0.25601753086923207</v>
      </c>
      <c r="I1365" s="376">
        <v>0.85</v>
      </c>
    </row>
    <row r="1366" spans="1:9" x14ac:dyDescent="0.35">
      <c r="A1366" s="376" t="s">
        <v>1613</v>
      </c>
      <c r="B1366" s="376" t="s">
        <v>1609</v>
      </c>
      <c r="C1366" s="376" t="s">
        <v>1051</v>
      </c>
      <c r="D1366" s="376">
        <v>2022</v>
      </c>
      <c r="E1366" s="376">
        <v>2029</v>
      </c>
      <c r="F1366" s="376">
        <v>0.40444272241720852</v>
      </c>
      <c r="G1366" s="376">
        <v>8848.5269568257354</v>
      </c>
      <c r="H1366" s="376">
        <v>0.25601753086923207</v>
      </c>
      <c r="I1366" s="376">
        <v>0.85</v>
      </c>
    </row>
    <row r="1367" spans="1:9" x14ac:dyDescent="0.35">
      <c r="A1367" s="376" t="s">
        <v>1613</v>
      </c>
      <c r="B1367" s="376" t="s">
        <v>1609</v>
      </c>
      <c r="C1367" s="376" t="s">
        <v>1054</v>
      </c>
      <c r="D1367" s="376">
        <v>2022</v>
      </c>
      <c r="E1367" s="376">
        <v>2029</v>
      </c>
      <c r="F1367" s="376">
        <v>0.40444272241720852</v>
      </c>
      <c r="G1367" s="376">
        <v>8848.5269568257354</v>
      </c>
      <c r="H1367" s="376">
        <v>0.25601753086923207</v>
      </c>
      <c r="I1367" s="376">
        <v>0.85</v>
      </c>
    </row>
    <row r="1368" spans="1:9" x14ac:dyDescent="0.35">
      <c r="A1368" s="376" t="s">
        <v>1613</v>
      </c>
      <c r="B1368" s="376" t="s">
        <v>1609</v>
      </c>
      <c r="C1368" s="376" t="s">
        <v>1046</v>
      </c>
      <c r="D1368" s="376">
        <v>2022</v>
      </c>
      <c r="E1368" s="376">
        <v>2030</v>
      </c>
      <c r="F1368" s="376">
        <v>0.40444272241720852</v>
      </c>
      <c r="G1368" s="376">
        <v>8848.5269568257354</v>
      </c>
      <c r="H1368" s="376">
        <v>0.25601753086923207</v>
      </c>
      <c r="I1368" s="376">
        <v>0.85</v>
      </c>
    </row>
    <row r="1369" spans="1:9" x14ac:dyDescent="0.35">
      <c r="A1369" s="376" t="s">
        <v>1613</v>
      </c>
      <c r="B1369" s="376" t="s">
        <v>1609</v>
      </c>
      <c r="C1369" s="376" t="s">
        <v>644</v>
      </c>
      <c r="D1369" s="376">
        <v>2022</v>
      </c>
      <c r="E1369" s="376">
        <v>2030</v>
      </c>
      <c r="F1369" s="376">
        <v>0.40444272241720852</v>
      </c>
      <c r="G1369" s="376">
        <v>8848.5269568257354</v>
      </c>
      <c r="H1369" s="376">
        <v>0.25601753086923207</v>
      </c>
      <c r="I1369" s="376">
        <v>0.85</v>
      </c>
    </row>
    <row r="1370" spans="1:9" x14ac:dyDescent="0.35">
      <c r="A1370" s="376" t="s">
        <v>1613</v>
      </c>
      <c r="B1370" s="376" t="s">
        <v>1609</v>
      </c>
      <c r="C1370" s="376" t="s">
        <v>628</v>
      </c>
      <c r="D1370" s="376">
        <v>2022</v>
      </c>
      <c r="E1370" s="376">
        <v>2030</v>
      </c>
      <c r="F1370" s="376">
        <v>0.40444272241720852</v>
      </c>
      <c r="G1370" s="376">
        <v>8848.5269568257354</v>
      </c>
      <c r="H1370" s="376">
        <v>0.25601753086923207</v>
      </c>
      <c r="I1370" s="376">
        <v>0.85</v>
      </c>
    </row>
    <row r="1371" spans="1:9" x14ac:dyDescent="0.35">
      <c r="A1371" s="376" t="s">
        <v>1613</v>
      </c>
      <c r="B1371" s="376" t="s">
        <v>1609</v>
      </c>
      <c r="C1371" s="376" t="s">
        <v>1051</v>
      </c>
      <c r="D1371" s="376">
        <v>2022</v>
      </c>
      <c r="E1371" s="376">
        <v>2030</v>
      </c>
      <c r="F1371" s="376">
        <v>0.40444272241720852</v>
      </c>
      <c r="G1371" s="376">
        <v>8848.5269568257354</v>
      </c>
      <c r="H1371" s="376">
        <v>0.25601753086923207</v>
      </c>
      <c r="I1371" s="376">
        <v>0.85</v>
      </c>
    </row>
    <row r="1372" spans="1:9" x14ac:dyDescent="0.35">
      <c r="A1372" s="376" t="s">
        <v>1613</v>
      </c>
      <c r="B1372" s="376" t="s">
        <v>1609</v>
      </c>
      <c r="C1372" s="376" t="s">
        <v>1054</v>
      </c>
      <c r="D1372" s="376">
        <v>2022</v>
      </c>
      <c r="E1372" s="376">
        <v>2030</v>
      </c>
      <c r="F1372" s="376">
        <v>0.40444272241720852</v>
      </c>
      <c r="G1372" s="376">
        <v>8848.5269568257354</v>
      </c>
      <c r="H1372" s="376">
        <v>0.25601753086923207</v>
      </c>
      <c r="I1372" s="376">
        <v>0.85</v>
      </c>
    </row>
    <row r="1373" spans="1:9" x14ac:dyDescent="0.35">
      <c r="A1373" s="376" t="s">
        <v>1613</v>
      </c>
      <c r="B1373" s="376" t="s">
        <v>1609</v>
      </c>
      <c r="C1373" s="376" t="s">
        <v>1046</v>
      </c>
      <c r="D1373" s="376">
        <v>2022</v>
      </c>
      <c r="E1373" s="376">
        <v>2031</v>
      </c>
      <c r="F1373" s="376">
        <v>0.40444272241720852</v>
      </c>
      <c r="G1373" s="376">
        <v>8848.5269568257354</v>
      </c>
      <c r="H1373" s="376">
        <v>0.25601753086923207</v>
      </c>
      <c r="I1373" s="376">
        <v>0.85</v>
      </c>
    </row>
    <row r="1374" spans="1:9" x14ac:dyDescent="0.35">
      <c r="A1374" s="376" t="s">
        <v>1613</v>
      </c>
      <c r="B1374" s="376" t="s">
        <v>1609</v>
      </c>
      <c r="C1374" s="376" t="s">
        <v>644</v>
      </c>
      <c r="D1374" s="376">
        <v>2022</v>
      </c>
      <c r="E1374" s="376">
        <v>2031</v>
      </c>
      <c r="F1374" s="376">
        <v>0.40444272241720852</v>
      </c>
      <c r="G1374" s="376">
        <v>8848.5269568257354</v>
      </c>
      <c r="H1374" s="376">
        <v>0.25601753086923207</v>
      </c>
      <c r="I1374" s="376">
        <v>0.85</v>
      </c>
    </row>
    <row r="1375" spans="1:9" x14ac:dyDescent="0.35">
      <c r="A1375" s="376" t="s">
        <v>1613</v>
      </c>
      <c r="B1375" s="376" t="s">
        <v>1609</v>
      </c>
      <c r="C1375" s="376" t="s">
        <v>628</v>
      </c>
      <c r="D1375" s="376">
        <v>2022</v>
      </c>
      <c r="E1375" s="376">
        <v>2031</v>
      </c>
      <c r="F1375" s="376">
        <v>0.40444272241720852</v>
      </c>
      <c r="G1375" s="376">
        <v>8848.5269568257354</v>
      </c>
      <c r="H1375" s="376">
        <v>0.25601753086923207</v>
      </c>
      <c r="I1375" s="376">
        <v>0.85</v>
      </c>
    </row>
    <row r="1376" spans="1:9" x14ac:dyDescent="0.35">
      <c r="A1376" s="376" t="s">
        <v>1613</v>
      </c>
      <c r="B1376" s="376" t="s">
        <v>1609</v>
      </c>
      <c r="C1376" s="376" t="s">
        <v>1051</v>
      </c>
      <c r="D1376" s="376">
        <v>2022</v>
      </c>
      <c r="E1376" s="376">
        <v>2031</v>
      </c>
      <c r="F1376" s="376">
        <v>0.40444272241720852</v>
      </c>
      <c r="G1376" s="376">
        <v>8848.5269568257354</v>
      </c>
      <c r="H1376" s="376">
        <v>0.25601753086923207</v>
      </c>
      <c r="I1376" s="376">
        <v>0.85</v>
      </c>
    </row>
    <row r="1377" spans="1:9" x14ac:dyDescent="0.35">
      <c r="A1377" s="376" t="s">
        <v>1613</v>
      </c>
      <c r="B1377" s="376" t="s">
        <v>1609</v>
      </c>
      <c r="C1377" s="376" t="s">
        <v>1054</v>
      </c>
      <c r="D1377" s="376">
        <v>2022</v>
      </c>
      <c r="E1377" s="376">
        <v>2031</v>
      </c>
      <c r="F1377" s="376">
        <v>0.40444272241720852</v>
      </c>
      <c r="G1377" s="376">
        <v>8848.5269568257354</v>
      </c>
      <c r="H1377" s="376">
        <v>0.25601753086923207</v>
      </c>
      <c r="I1377" s="376">
        <v>0.85</v>
      </c>
    </row>
    <row r="1378" spans="1:9" x14ac:dyDescent="0.35">
      <c r="A1378" s="376" t="s">
        <v>1614</v>
      </c>
      <c r="B1378" s="376" t="s">
        <v>1609</v>
      </c>
      <c r="C1378" s="376" t="s">
        <v>1046</v>
      </c>
      <c r="D1378" s="376">
        <v>2022</v>
      </c>
      <c r="E1378" s="376">
        <v>2022</v>
      </c>
      <c r="F1378" s="376">
        <v>0.28070162831646173</v>
      </c>
      <c r="G1378" s="376">
        <v>6454.3984013550207</v>
      </c>
      <c r="H1378" s="376">
        <v>0.25601753086923207</v>
      </c>
      <c r="I1378" s="376">
        <v>0.85</v>
      </c>
    </row>
    <row r="1379" spans="1:9" x14ac:dyDescent="0.35">
      <c r="A1379" s="376" t="s">
        <v>1614</v>
      </c>
      <c r="B1379" s="376" t="s">
        <v>1609</v>
      </c>
      <c r="C1379" s="376" t="s">
        <v>644</v>
      </c>
      <c r="D1379" s="376">
        <v>2022</v>
      </c>
      <c r="E1379" s="376">
        <v>2022</v>
      </c>
      <c r="F1379" s="376">
        <v>0.28070162831646173</v>
      </c>
      <c r="G1379" s="376">
        <v>6454.3984013550207</v>
      </c>
      <c r="H1379" s="376">
        <v>0.25601753086923207</v>
      </c>
      <c r="I1379" s="376">
        <v>0.85</v>
      </c>
    </row>
    <row r="1380" spans="1:9" x14ac:dyDescent="0.35">
      <c r="A1380" s="376" t="s">
        <v>1614</v>
      </c>
      <c r="B1380" s="376" t="s">
        <v>1609</v>
      </c>
      <c r="C1380" s="376" t="s">
        <v>628</v>
      </c>
      <c r="D1380" s="376">
        <v>2022</v>
      </c>
      <c r="E1380" s="376">
        <v>2022</v>
      </c>
      <c r="F1380" s="376">
        <v>0.28070162831646173</v>
      </c>
      <c r="G1380" s="376">
        <v>6454.3984013550207</v>
      </c>
      <c r="H1380" s="376">
        <v>0.25601753086923207</v>
      </c>
      <c r="I1380" s="376">
        <v>0.85</v>
      </c>
    </row>
    <row r="1381" spans="1:9" x14ac:dyDescent="0.35">
      <c r="A1381" s="376" t="s">
        <v>1614</v>
      </c>
      <c r="B1381" s="376" t="s">
        <v>1609</v>
      </c>
      <c r="C1381" s="376" t="s">
        <v>1051</v>
      </c>
      <c r="D1381" s="376">
        <v>2022</v>
      </c>
      <c r="E1381" s="376">
        <v>2022</v>
      </c>
      <c r="F1381" s="376">
        <v>0.28070162831646173</v>
      </c>
      <c r="G1381" s="376">
        <v>6454.3984013550207</v>
      </c>
      <c r="H1381" s="376">
        <v>0.25601753086923207</v>
      </c>
      <c r="I1381" s="376">
        <v>0.85</v>
      </c>
    </row>
    <row r="1382" spans="1:9" x14ac:dyDescent="0.35">
      <c r="A1382" s="376" t="s">
        <v>1614</v>
      </c>
      <c r="B1382" s="376" t="s">
        <v>1609</v>
      </c>
      <c r="C1382" s="376" t="s">
        <v>1054</v>
      </c>
      <c r="D1382" s="376">
        <v>2022</v>
      </c>
      <c r="E1382" s="376">
        <v>2022</v>
      </c>
      <c r="F1382" s="376">
        <v>0.28070162831646173</v>
      </c>
      <c r="G1382" s="376">
        <v>6454.3984013550207</v>
      </c>
      <c r="H1382" s="376">
        <v>0.25601753086923207</v>
      </c>
      <c r="I1382" s="376">
        <v>0.85</v>
      </c>
    </row>
    <row r="1383" spans="1:9" x14ac:dyDescent="0.35">
      <c r="A1383" s="376" t="s">
        <v>1614</v>
      </c>
      <c r="B1383" s="376" t="s">
        <v>1609</v>
      </c>
      <c r="C1383" s="376" t="s">
        <v>1046</v>
      </c>
      <c r="D1383" s="376">
        <v>2022</v>
      </c>
      <c r="E1383" s="376">
        <v>2023</v>
      </c>
      <c r="F1383" s="376">
        <v>0.28070162831646173</v>
      </c>
      <c r="G1383" s="376">
        <v>6454.3984013550207</v>
      </c>
      <c r="H1383" s="376">
        <v>0.25601753086923207</v>
      </c>
      <c r="I1383" s="376">
        <v>0.85</v>
      </c>
    </row>
    <row r="1384" spans="1:9" x14ac:dyDescent="0.35">
      <c r="A1384" s="376" t="s">
        <v>1614</v>
      </c>
      <c r="B1384" s="376" t="s">
        <v>1609</v>
      </c>
      <c r="C1384" s="376" t="s">
        <v>644</v>
      </c>
      <c r="D1384" s="376">
        <v>2022</v>
      </c>
      <c r="E1384" s="376">
        <v>2023</v>
      </c>
      <c r="F1384" s="376">
        <v>0.28070162831646173</v>
      </c>
      <c r="G1384" s="376">
        <v>6454.3984013550207</v>
      </c>
      <c r="H1384" s="376">
        <v>0.25601753086923207</v>
      </c>
      <c r="I1384" s="376">
        <v>0.85</v>
      </c>
    </row>
    <row r="1385" spans="1:9" x14ac:dyDescent="0.35">
      <c r="A1385" s="376" t="s">
        <v>1614</v>
      </c>
      <c r="B1385" s="376" t="s">
        <v>1609</v>
      </c>
      <c r="C1385" s="376" t="s">
        <v>628</v>
      </c>
      <c r="D1385" s="376">
        <v>2022</v>
      </c>
      <c r="E1385" s="376">
        <v>2023</v>
      </c>
      <c r="F1385" s="376">
        <v>0.28070162831646173</v>
      </c>
      <c r="G1385" s="376">
        <v>6454.3984013550207</v>
      </c>
      <c r="H1385" s="376">
        <v>0.25601753086923207</v>
      </c>
      <c r="I1385" s="376">
        <v>0.85</v>
      </c>
    </row>
    <row r="1386" spans="1:9" x14ac:dyDescent="0.35">
      <c r="A1386" s="376" t="s">
        <v>1614</v>
      </c>
      <c r="B1386" s="376" t="s">
        <v>1609</v>
      </c>
      <c r="C1386" s="376" t="s">
        <v>1051</v>
      </c>
      <c r="D1386" s="376">
        <v>2022</v>
      </c>
      <c r="E1386" s="376">
        <v>2023</v>
      </c>
      <c r="F1386" s="376">
        <v>0.28070162831646173</v>
      </c>
      <c r="G1386" s="376">
        <v>6454.3984013550207</v>
      </c>
      <c r="H1386" s="376">
        <v>0.25601753086923207</v>
      </c>
      <c r="I1386" s="376">
        <v>0.85</v>
      </c>
    </row>
    <row r="1387" spans="1:9" x14ac:dyDescent="0.35">
      <c r="A1387" s="376" t="s">
        <v>1614</v>
      </c>
      <c r="B1387" s="376" t="s">
        <v>1609</v>
      </c>
      <c r="C1387" s="376" t="s">
        <v>1054</v>
      </c>
      <c r="D1387" s="376">
        <v>2022</v>
      </c>
      <c r="E1387" s="376">
        <v>2023</v>
      </c>
      <c r="F1387" s="376">
        <v>0.28070162831646173</v>
      </c>
      <c r="G1387" s="376">
        <v>6454.3984013550207</v>
      </c>
      <c r="H1387" s="376">
        <v>0.25601753086923207</v>
      </c>
      <c r="I1387" s="376">
        <v>0.85</v>
      </c>
    </row>
    <row r="1388" spans="1:9" x14ac:dyDescent="0.35">
      <c r="A1388" s="376" t="s">
        <v>1614</v>
      </c>
      <c r="B1388" s="376" t="s">
        <v>1609</v>
      </c>
      <c r="C1388" s="376" t="s">
        <v>1046</v>
      </c>
      <c r="D1388" s="376">
        <v>2022</v>
      </c>
      <c r="E1388" s="376">
        <v>2024</v>
      </c>
      <c r="F1388" s="376">
        <v>0.28070162831646173</v>
      </c>
      <c r="G1388" s="376">
        <v>6454.3984013550207</v>
      </c>
      <c r="H1388" s="376">
        <v>0.25601753086923207</v>
      </c>
      <c r="I1388" s="376">
        <v>0.85</v>
      </c>
    </row>
    <row r="1389" spans="1:9" x14ac:dyDescent="0.35">
      <c r="A1389" s="376" t="s">
        <v>1614</v>
      </c>
      <c r="B1389" s="376" t="s">
        <v>1609</v>
      </c>
      <c r="C1389" s="376" t="s">
        <v>644</v>
      </c>
      <c r="D1389" s="376">
        <v>2022</v>
      </c>
      <c r="E1389" s="376">
        <v>2024</v>
      </c>
      <c r="F1389" s="376">
        <v>0.28070162831646173</v>
      </c>
      <c r="G1389" s="376">
        <v>6454.3984013550207</v>
      </c>
      <c r="H1389" s="376">
        <v>0.25601753086923207</v>
      </c>
      <c r="I1389" s="376">
        <v>0.85</v>
      </c>
    </row>
    <row r="1390" spans="1:9" x14ac:dyDescent="0.35">
      <c r="A1390" s="376" t="s">
        <v>1614</v>
      </c>
      <c r="B1390" s="376" t="s">
        <v>1609</v>
      </c>
      <c r="C1390" s="376" t="s">
        <v>628</v>
      </c>
      <c r="D1390" s="376">
        <v>2022</v>
      </c>
      <c r="E1390" s="376">
        <v>2024</v>
      </c>
      <c r="F1390" s="376">
        <v>0.28070162831646173</v>
      </c>
      <c r="G1390" s="376">
        <v>6454.3984013550207</v>
      </c>
      <c r="H1390" s="376">
        <v>0.25601753086923207</v>
      </c>
      <c r="I1390" s="376">
        <v>0.85</v>
      </c>
    </row>
    <row r="1391" spans="1:9" x14ac:dyDescent="0.35">
      <c r="A1391" s="376" t="s">
        <v>1614</v>
      </c>
      <c r="B1391" s="376" t="s">
        <v>1609</v>
      </c>
      <c r="C1391" s="376" t="s">
        <v>1051</v>
      </c>
      <c r="D1391" s="376">
        <v>2022</v>
      </c>
      <c r="E1391" s="376">
        <v>2024</v>
      </c>
      <c r="F1391" s="376">
        <v>0.28070162831646173</v>
      </c>
      <c r="G1391" s="376">
        <v>6454.3984013550207</v>
      </c>
      <c r="H1391" s="376">
        <v>0.25601753086923207</v>
      </c>
      <c r="I1391" s="376">
        <v>0.85</v>
      </c>
    </row>
    <row r="1392" spans="1:9" x14ac:dyDescent="0.35">
      <c r="A1392" s="376" t="s">
        <v>1614</v>
      </c>
      <c r="B1392" s="376" t="s">
        <v>1609</v>
      </c>
      <c r="C1392" s="376" t="s">
        <v>1054</v>
      </c>
      <c r="D1392" s="376">
        <v>2022</v>
      </c>
      <c r="E1392" s="376">
        <v>2024</v>
      </c>
      <c r="F1392" s="376">
        <v>0.28070162831646173</v>
      </c>
      <c r="G1392" s="376">
        <v>6454.3984013550207</v>
      </c>
      <c r="H1392" s="376">
        <v>0.25601753086923207</v>
      </c>
      <c r="I1392" s="376">
        <v>0.85</v>
      </c>
    </row>
    <row r="1393" spans="1:9" x14ac:dyDescent="0.35">
      <c r="A1393" s="376" t="s">
        <v>1614</v>
      </c>
      <c r="B1393" s="376" t="s">
        <v>1609</v>
      </c>
      <c r="C1393" s="376" t="s">
        <v>1046</v>
      </c>
      <c r="D1393" s="376">
        <v>2022</v>
      </c>
      <c r="E1393" s="376">
        <v>2025</v>
      </c>
      <c r="F1393" s="376">
        <v>0.28070162831646173</v>
      </c>
      <c r="G1393" s="376">
        <v>6454.3984013550207</v>
      </c>
      <c r="H1393" s="376">
        <v>0.25601753086923207</v>
      </c>
      <c r="I1393" s="376">
        <v>0.85</v>
      </c>
    </row>
    <row r="1394" spans="1:9" x14ac:dyDescent="0.35">
      <c r="A1394" s="376" t="s">
        <v>1614</v>
      </c>
      <c r="B1394" s="376" t="s">
        <v>1609</v>
      </c>
      <c r="C1394" s="376" t="s">
        <v>644</v>
      </c>
      <c r="D1394" s="376">
        <v>2022</v>
      </c>
      <c r="E1394" s="376">
        <v>2025</v>
      </c>
      <c r="F1394" s="376">
        <v>0.28070162831646173</v>
      </c>
      <c r="G1394" s="376">
        <v>6454.3984013550207</v>
      </c>
      <c r="H1394" s="376">
        <v>0.25601753086923207</v>
      </c>
      <c r="I1394" s="376">
        <v>0.85</v>
      </c>
    </row>
    <row r="1395" spans="1:9" x14ac:dyDescent="0.35">
      <c r="A1395" s="376" t="s">
        <v>1614</v>
      </c>
      <c r="B1395" s="376" t="s">
        <v>1609</v>
      </c>
      <c r="C1395" s="376" t="s">
        <v>628</v>
      </c>
      <c r="D1395" s="376">
        <v>2022</v>
      </c>
      <c r="E1395" s="376">
        <v>2025</v>
      </c>
      <c r="F1395" s="376">
        <v>0.28070162831646173</v>
      </c>
      <c r="G1395" s="376">
        <v>6454.3984013550207</v>
      </c>
      <c r="H1395" s="376">
        <v>0.25601753086923207</v>
      </c>
      <c r="I1395" s="376">
        <v>0.85</v>
      </c>
    </row>
    <row r="1396" spans="1:9" x14ac:dyDescent="0.35">
      <c r="A1396" s="376" t="s">
        <v>1614</v>
      </c>
      <c r="B1396" s="376" t="s">
        <v>1609</v>
      </c>
      <c r="C1396" s="376" t="s">
        <v>1051</v>
      </c>
      <c r="D1396" s="376">
        <v>2022</v>
      </c>
      <c r="E1396" s="376">
        <v>2025</v>
      </c>
      <c r="F1396" s="376">
        <v>0.28070162831646173</v>
      </c>
      <c r="G1396" s="376">
        <v>6454.3984013550207</v>
      </c>
      <c r="H1396" s="376">
        <v>0.25601753086923207</v>
      </c>
      <c r="I1396" s="376">
        <v>0.85</v>
      </c>
    </row>
    <row r="1397" spans="1:9" x14ac:dyDescent="0.35">
      <c r="A1397" s="376" t="s">
        <v>1614</v>
      </c>
      <c r="B1397" s="376" t="s">
        <v>1609</v>
      </c>
      <c r="C1397" s="376" t="s">
        <v>1054</v>
      </c>
      <c r="D1397" s="376">
        <v>2022</v>
      </c>
      <c r="E1397" s="376">
        <v>2025</v>
      </c>
      <c r="F1397" s="376">
        <v>0.28070162831646173</v>
      </c>
      <c r="G1397" s="376">
        <v>6454.3984013550207</v>
      </c>
      <c r="H1397" s="376">
        <v>0.25601753086923207</v>
      </c>
      <c r="I1397" s="376">
        <v>0.85</v>
      </c>
    </row>
    <row r="1398" spans="1:9" x14ac:dyDescent="0.35">
      <c r="A1398" s="376" t="s">
        <v>1614</v>
      </c>
      <c r="B1398" s="376" t="s">
        <v>1609</v>
      </c>
      <c r="C1398" s="376" t="s">
        <v>1046</v>
      </c>
      <c r="D1398" s="376">
        <v>2022</v>
      </c>
      <c r="E1398" s="376">
        <v>2026</v>
      </c>
      <c r="F1398" s="376">
        <v>0.28070162831646173</v>
      </c>
      <c r="G1398" s="376">
        <v>6454.3984013550207</v>
      </c>
      <c r="H1398" s="376">
        <v>0.25601753086923207</v>
      </c>
      <c r="I1398" s="376">
        <v>0.85</v>
      </c>
    </row>
    <row r="1399" spans="1:9" x14ac:dyDescent="0.35">
      <c r="A1399" s="376" t="s">
        <v>1614</v>
      </c>
      <c r="B1399" s="376" t="s">
        <v>1609</v>
      </c>
      <c r="C1399" s="376" t="s">
        <v>644</v>
      </c>
      <c r="D1399" s="376">
        <v>2022</v>
      </c>
      <c r="E1399" s="376">
        <v>2026</v>
      </c>
      <c r="F1399" s="376">
        <v>0.28070162831646173</v>
      </c>
      <c r="G1399" s="376">
        <v>6454.3984013550207</v>
      </c>
      <c r="H1399" s="376">
        <v>0.25601753086923207</v>
      </c>
      <c r="I1399" s="376">
        <v>0.85</v>
      </c>
    </row>
    <row r="1400" spans="1:9" x14ac:dyDescent="0.35">
      <c r="A1400" s="376" t="s">
        <v>1614</v>
      </c>
      <c r="B1400" s="376" t="s">
        <v>1609</v>
      </c>
      <c r="C1400" s="376" t="s">
        <v>628</v>
      </c>
      <c r="D1400" s="376">
        <v>2022</v>
      </c>
      <c r="E1400" s="376">
        <v>2026</v>
      </c>
      <c r="F1400" s="376">
        <v>0.28070162831646173</v>
      </c>
      <c r="G1400" s="376">
        <v>6454.3984013550207</v>
      </c>
      <c r="H1400" s="376">
        <v>0.25601753086923207</v>
      </c>
      <c r="I1400" s="376">
        <v>0.85</v>
      </c>
    </row>
    <row r="1401" spans="1:9" x14ac:dyDescent="0.35">
      <c r="A1401" s="376" t="s">
        <v>1614</v>
      </c>
      <c r="B1401" s="376" t="s">
        <v>1609</v>
      </c>
      <c r="C1401" s="376" t="s">
        <v>1051</v>
      </c>
      <c r="D1401" s="376">
        <v>2022</v>
      </c>
      <c r="E1401" s="376">
        <v>2026</v>
      </c>
      <c r="F1401" s="376">
        <v>0.28070162831646173</v>
      </c>
      <c r="G1401" s="376">
        <v>6454.3984013550207</v>
      </c>
      <c r="H1401" s="376">
        <v>0.25601753086923207</v>
      </c>
      <c r="I1401" s="376">
        <v>0.85</v>
      </c>
    </row>
    <row r="1402" spans="1:9" x14ac:dyDescent="0.35">
      <c r="A1402" s="376" t="s">
        <v>1614</v>
      </c>
      <c r="B1402" s="376" t="s">
        <v>1609</v>
      </c>
      <c r="C1402" s="376" t="s">
        <v>1054</v>
      </c>
      <c r="D1402" s="376">
        <v>2022</v>
      </c>
      <c r="E1402" s="376">
        <v>2026</v>
      </c>
      <c r="F1402" s="376">
        <v>0.28070162831646173</v>
      </c>
      <c r="G1402" s="376">
        <v>6454.3984013550207</v>
      </c>
      <c r="H1402" s="376">
        <v>0.25601753086923207</v>
      </c>
      <c r="I1402" s="376">
        <v>0.85</v>
      </c>
    </row>
    <row r="1403" spans="1:9" x14ac:dyDescent="0.35">
      <c r="A1403" s="376" t="s">
        <v>1614</v>
      </c>
      <c r="B1403" s="376" t="s">
        <v>1609</v>
      </c>
      <c r="C1403" s="376" t="s">
        <v>1046</v>
      </c>
      <c r="D1403" s="376">
        <v>2022</v>
      </c>
      <c r="E1403" s="376">
        <v>2027</v>
      </c>
      <c r="F1403" s="376">
        <v>0.28070162831646173</v>
      </c>
      <c r="G1403" s="376">
        <v>6454.3984013550207</v>
      </c>
      <c r="H1403" s="376">
        <v>0.25601753086923207</v>
      </c>
      <c r="I1403" s="376">
        <v>0.85</v>
      </c>
    </row>
    <row r="1404" spans="1:9" x14ac:dyDescent="0.35">
      <c r="A1404" s="376" t="s">
        <v>1614</v>
      </c>
      <c r="B1404" s="376" t="s">
        <v>1609</v>
      </c>
      <c r="C1404" s="376" t="s">
        <v>644</v>
      </c>
      <c r="D1404" s="376">
        <v>2022</v>
      </c>
      <c r="E1404" s="376">
        <v>2027</v>
      </c>
      <c r="F1404" s="376">
        <v>0.28070162831646173</v>
      </c>
      <c r="G1404" s="376">
        <v>6454.3984013550207</v>
      </c>
      <c r="H1404" s="376">
        <v>0.25601753086923207</v>
      </c>
      <c r="I1404" s="376">
        <v>0.85</v>
      </c>
    </row>
    <row r="1405" spans="1:9" x14ac:dyDescent="0.35">
      <c r="A1405" s="376" t="s">
        <v>1614</v>
      </c>
      <c r="B1405" s="376" t="s">
        <v>1609</v>
      </c>
      <c r="C1405" s="376" t="s">
        <v>628</v>
      </c>
      <c r="D1405" s="376">
        <v>2022</v>
      </c>
      <c r="E1405" s="376">
        <v>2027</v>
      </c>
      <c r="F1405" s="376">
        <v>0.28070162831646173</v>
      </c>
      <c r="G1405" s="376">
        <v>6454.3984013550207</v>
      </c>
      <c r="H1405" s="376">
        <v>0.25601753086923207</v>
      </c>
      <c r="I1405" s="376">
        <v>0.85</v>
      </c>
    </row>
    <row r="1406" spans="1:9" x14ac:dyDescent="0.35">
      <c r="A1406" s="376" t="s">
        <v>1614</v>
      </c>
      <c r="B1406" s="376" t="s">
        <v>1609</v>
      </c>
      <c r="C1406" s="376" t="s">
        <v>1051</v>
      </c>
      <c r="D1406" s="376">
        <v>2022</v>
      </c>
      <c r="E1406" s="376">
        <v>2027</v>
      </c>
      <c r="F1406" s="376">
        <v>0.28070162831646173</v>
      </c>
      <c r="G1406" s="376">
        <v>6454.3984013550207</v>
      </c>
      <c r="H1406" s="376">
        <v>0.25601753086923207</v>
      </c>
      <c r="I1406" s="376">
        <v>0.85</v>
      </c>
    </row>
    <row r="1407" spans="1:9" x14ac:dyDescent="0.35">
      <c r="A1407" s="376" t="s">
        <v>1614</v>
      </c>
      <c r="B1407" s="376" t="s">
        <v>1609</v>
      </c>
      <c r="C1407" s="376" t="s">
        <v>1054</v>
      </c>
      <c r="D1407" s="376">
        <v>2022</v>
      </c>
      <c r="E1407" s="376">
        <v>2027</v>
      </c>
      <c r="F1407" s="376">
        <v>0.28070162831646173</v>
      </c>
      <c r="G1407" s="376">
        <v>6454.3984013550207</v>
      </c>
      <c r="H1407" s="376">
        <v>0.25601753086923207</v>
      </c>
      <c r="I1407" s="376">
        <v>0.85</v>
      </c>
    </row>
    <row r="1408" spans="1:9" x14ac:dyDescent="0.35">
      <c r="A1408" s="376" t="s">
        <v>1614</v>
      </c>
      <c r="B1408" s="376" t="s">
        <v>1609</v>
      </c>
      <c r="C1408" s="376" t="s">
        <v>1046</v>
      </c>
      <c r="D1408" s="376">
        <v>2022</v>
      </c>
      <c r="E1408" s="376">
        <v>2028</v>
      </c>
      <c r="F1408" s="376">
        <v>0.28070162831646173</v>
      </c>
      <c r="G1408" s="376">
        <v>6454.3984013550207</v>
      </c>
      <c r="H1408" s="376">
        <v>0.25601753086923207</v>
      </c>
      <c r="I1408" s="376">
        <v>0.85</v>
      </c>
    </row>
    <row r="1409" spans="1:9" x14ac:dyDescent="0.35">
      <c r="A1409" s="376" t="s">
        <v>1614</v>
      </c>
      <c r="B1409" s="376" t="s">
        <v>1609</v>
      </c>
      <c r="C1409" s="376" t="s">
        <v>644</v>
      </c>
      <c r="D1409" s="376">
        <v>2022</v>
      </c>
      <c r="E1409" s="376">
        <v>2028</v>
      </c>
      <c r="F1409" s="376">
        <v>0.28070162831646173</v>
      </c>
      <c r="G1409" s="376">
        <v>6454.3984013550207</v>
      </c>
      <c r="H1409" s="376">
        <v>0.25601753086923207</v>
      </c>
      <c r="I1409" s="376">
        <v>0.85</v>
      </c>
    </row>
    <row r="1410" spans="1:9" x14ac:dyDescent="0.35">
      <c r="A1410" s="376" t="s">
        <v>1614</v>
      </c>
      <c r="B1410" s="376" t="s">
        <v>1609</v>
      </c>
      <c r="C1410" s="376" t="s">
        <v>628</v>
      </c>
      <c r="D1410" s="376">
        <v>2022</v>
      </c>
      <c r="E1410" s="376">
        <v>2028</v>
      </c>
      <c r="F1410" s="376">
        <v>0.28070162831646173</v>
      </c>
      <c r="G1410" s="376">
        <v>6454.3984013550207</v>
      </c>
      <c r="H1410" s="376">
        <v>0.25601753086923207</v>
      </c>
      <c r="I1410" s="376">
        <v>0.85</v>
      </c>
    </row>
    <row r="1411" spans="1:9" x14ac:dyDescent="0.35">
      <c r="A1411" s="376" t="s">
        <v>1614</v>
      </c>
      <c r="B1411" s="376" t="s">
        <v>1609</v>
      </c>
      <c r="C1411" s="376" t="s">
        <v>1051</v>
      </c>
      <c r="D1411" s="376">
        <v>2022</v>
      </c>
      <c r="E1411" s="376">
        <v>2028</v>
      </c>
      <c r="F1411" s="376">
        <v>0.28070162831646173</v>
      </c>
      <c r="G1411" s="376">
        <v>6454.3984013550207</v>
      </c>
      <c r="H1411" s="376">
        <v>0.25601753086923207</v>
      </c>
      <c r="I1411" s="376">
        <v>0.85</v>
      </c>
    </row>
    <row r="1412" spans="1:9" x14ac:dyDescent="0.35">
      <c r="A1412" s="376" t="s">
        <v>1614</v>
      </c>
      <c r="B1412" s="376" t="s">
        <v>1609</v>
      </c>
      <c r="C1412" s="376" t="s">
        <v>1054</v>
      </c>
      <c r="D1412" s="376">
        <v>2022</v>
      </c>
      <c r="E1412" s="376">
        <v>2028</v>
      </c>
      <c r="F1412" s="376">
        <v>0.28070162831646173</v>
      </c>
      <c r="G1412" s="376">
        <v>6454.3984013550207</v>
      </c>
      <c r="H1412" s="376">
        <v>0.25601753086923207</v>
      </c>
      <c r="I1412" s="376">
        <v>0.85</v>
      </c>
    </row>
    <row r="1413" spans="1:9" x14ac:dyDescent="0.35">
      <c r="A1413" s="376" t="s">
        <v>1614</v>
      </c>
      <c r="B1413" s="376" t="s">
        <v>1609</v>
      </c>
      <c r="C1413" s="376" t="s">
        <v>1046</v>
      </c>
      <c r="D1413" s="376">
        <v>2022</v>
      </c>
      <c r="E1413" s="376">
        <v>2029</v>
      </c>
      <c r="F1413" s="376">
        <v>0.28070162831646173</v>
      </c>
      <c r="G1413" s="376">
        <v>6454.3984013550207</v>
      </c>
      <c r="H1413" s="376">
        <v>0.25601753086923207</v>
      </c>
      <c r="I1413" s="376">
        <v>0.85</v>
      </c>
    </row>
    <row r="1414" spans="1:9" x14ac:dyDescent="0.35">
      <c r="A1414" s="376" t="s">
        <v>1614</v>
      </c>
      <c r="B1414" s="376" t="s">
        <v>1609</v>
      </c>
      <c r="C1414" s="376" t="s">
        <v>644</v>
      </c>
      <c r="D1414" s="376">
        <v>2022</v>
      </c>
      <c r="E1414" s="376">
        <v>2029</v>
      </c>
      <c r="F1414" s="376">
        <v>0.28070162831646173</v>
      </c>
      <c r="G1414" s="376">
        <v>6454.3984013550207</v>
      </c>
      <c r="H1414" s="376">
        <v>0.25601753086923207</v>
      </c>
      <c r="I1414" s="376">
        <v>0.85</v>
      </c>
    </row>
    <row r="1415" spans="1:9" x14ac:dyDescent="0.35">
      <c r="A1415" s="376" t="s">
        <v>1614</v>
      </c>
      <c r="B1415" s="376" t="s">
        <v>1609</v>
      </c>
      <c r="C1415" s="376" t="s">
        <v>628</v>
      </c>
      <c r="D1415" s="376">
        <v>2022</v>
      </c>
      <c r="E1415" s="376">
        <v>2029</v>
      </c>
      <c r="F1415" s="376">
        <v>0.28070162831646173</v>
      </c>
      <c r="G1415" s="376">
        <v>6454.3984013550207</v>
      </c>
      <c r="H1415" s="376">
        <v>0.25601753086923207</v>
      </c>
      <c r="I1415" s="376">
        <v>0.85</v>
      </c>
    </row>
    <row r="1416" spans="1:9" x14ac:dyDescent="0.35">
      <c r="A1416" s="376" t="s">
        <v>1614</v>
      </c>
      <c r="B1416" s="376" t="s">
        <v>1609</v>
      </c>
      <c r="C1416" s="376" t="s">
        <v>1051</v>
      </c>
      <c r="D1416" s="376">
        <v>2022</v>
      </c>
      <c r="E1416" s="376">
        <v>2029</v>
      </c>
      <c r="F1416" s="376">
        <v>0.28070162831646173</v>
      </c>
      <c r="G1416" s="376">
        <v>6454.3984013550207</v>
      </c>
      <c r="H1416" s="376">
        <v>0.25601753086923207</v>
      </c>
      <c r="I1416" s="376">
        <v>0.85</v>
      </c>
    </row>
    <row r="1417" spans="1:9" x14ac:dyDescent="0.35">
      <c r="A1417" s="376" t="s">
        <v>1614</v>
      </c>
      <c r="B1417" s="376" t="s">
        <v>1609</v>
      </c>
      <c r="C1417" s="376" t="s">
        <v>1054</v>
      </c>
      <c r="D1417" s="376">
        <v>2022</v>
      </c>
      <c r="E1417" s="376">
        <v>2029</v>
      </c>
      <c r="F1417" s="376">
        <v>0.28070162831646173</v>
      </c>
      <c r="G1417" s="376">
        <v>6454.3984013550207</v>
      </c>
      <c r="H1417" s="376">
        <v>0.25601753086923207</v>
      </c>
      <c r="I1417" s="376">
        <v>0.85</v>
      </c>
    </row>
    <row r="1418" spans="1:9" x14ac:dyDescent="0.35">
      <c r="A1418" s="376" t="s">
        <v>1614</v>
      </c>
      <c r="B1418" s="376" t="s">
        <v>1609</v>
      </c>
      <c r="C1418" s="376" t="s">
        <v>1046</v>
      </c>
      <c r="D1418" s="376">
        <v>2022</v>
      </c>
      <c r="E1418" s="376">
        <v>2030</v>
      </c>
      <c r="F1418" s="376">
        <v>0.28070162831646173</v>
      </c>
      <c r="G1418" s="376">
        <v>6454.3984013550207</v>
      </c>
      <c r="H1418" s="376">
        <v>0.25601753086923207</v>
      </c>
      <c r="I1418" s="376">
        <v>0.85</v>
      </c>
    </row>
    <row r="1419" spans="1:9" x14ac:dyDescent="0.35">
      <c r="A1419" s="376" t="s">
        <v>1614</v>
      </c>
      <c r="B1419" s="376" t="s">
        <v>1609</v>
      </c>
      <c r="C1419" s="376" t="s">
        <v>644</v>
      </c>
      <c r="D1419" s="376">
        <v>2022</v>
      </c>
      <c r="E1419" s="376">
        <v>2030</v>
      </c>
      <c r="F1419" s="376">
        <v>0.28070162831646173</v>
      </c>
      <c r="G1419" s="376">
        <v>6454.3984013550207</v>
      </c>
      <c r="H1419" s="376">
        <v>0.25601753086923207</v>
      </c>
      <c r="I1419" s="376">
        <v>0.85</v>
      </c>
    </row>
    <row r="1420" spans="1:9" x14ac:dyDescent="0.35">
      <c r="A1420" s="376" t="s">
        <v>1614</v>
      </c>
      <c r="B1420" s="376" t="s">
        <v>1609</v>
      </c>
      <c r="C1420" s="376" t="s">
        <v>628</v>
      </c>
      <c r="D1420" s="376">
        <v>2022</v>
      </c>
      <c r="E1420" s="376">
        <v>2030</v>
      </c>
      <c r="F1420" s="376">
        <v>0.28070162831646173</v>
      </c>
      <c r="G1420" s="376">
        <v>6454.3984013550207</v>
      </c>
      <c r="H1420" s="376">
        <v>0.25601753086923207</v>
      </c>
      <c r="I1420" s="376">
        <v>0.85</v>
      </c>
    </row>
    <row r="1421" spans="1:9" x14ac:dyDescent="0.35">
      <c r="A1421" s="376" t="s">
        <v>1614</v>
      </c>
      <c r="B1421" s="376" t="s">
        <v>1609</v>
      </c>
      <c r="C1421" s="376" t="s">
        <v>1051</v>
      </c>
      <c r="D1421" s="376">
        <v>2022</v>
      </c>
      <c r="E1421" s="376">
        <v>2030</v>
      </c>
      <c r="F1421" s="376">
        <v>0.28070162831646173</v>
      </c>
      <c r="G1421" s="376">
        <v>6454.3984013550207</v>
      </c>
      <c r="H1421" s="376">
        <v>0.25601753086923207</v>
      </c>
      <c r="I1421" s="376">
        <v>0.85</v>
      </c>
    </row>
    <row r="1422" spans="1:9" x14ac:dyDescent="0.35">
      <c r="A1422" s="376" t="s">
        <v>1614</v>
      </c>
      <c r="B1422" s="376" t="s">
        <v>1609</v>
      </c>
      <c r="C1422" s="376" t="s">
        <v>1054</v>
      </c>
      <c r="D1422" s="376">
        <v>2022</v>
      </c>
      <c r="E1422" s="376">
        <v>2030</v>
      </c>
      <c r="F1422" s="376">
        <v>0.28070162831646173</v>
      </c>
      <c r="G1422" s="376">
        <v>6454.3984013550207</v>
      </c>
      <c r="H1422" s="376">
        <v>0.25601753086923207</v>
      </c>
      <c r="I1422" s="376">
        <v>0.85</v>
      </c>
    </row>
    <row r="1423" spans="1:9" x14ac:dyDescent="0.35">
      <c r="A1423" s="376" t="s">
        <v>1614</v>
      </c>
      <c r="B1423" s="376" t="s">
        <v>1609</v>
      </c>
      <c r="C1423" s="376" t="s">
        <v>1046</v>
      </c>
      <c r="D1423" s="376">
        <v>2022</v>
      </c>
      <c r="E1423" s="376">
        <v>2031</v>
      </c>
      <c r="F1423" s="376">
        <v>0.28070162831646173</v>
      </c>
      <c r="G1423" s="376">
        <v>6454.3984013550207</v>
      </c>
      <c r="H1423" s="376">
        <v>0.25601753086923207</v>
      </c>
      <c r="I1423" s="376">
        <v>0.85</v>
      </c>
    </row>
    <row r="1424" spans="1:9" x14ac:dyDescent="0.35">
      <c r="A1424" s="376" t="s">
        <v>1614</v>
      </c>
      <c r="B1424" s="376" t="s">
        <v>1609</v>
      </c>
      <c r="C1424" s="376" t="s">
        <v>644</v>
      </c>
      <c r="D1424" s="376">
        <v>2022</v>
      </c>
      <c r="E1424" s="376">
        <v>2031</v>
      </c>
      <c r="F1424" s="376">
        <v>0.28070162831646173</v>
      </c>
      <c r="G1424" s="376">
        <v>6454.3984013550207</v>
      </c>
      <c r="H1424" s="376">
        <v>0.25601753086923207</v>
      </c>
      <c r="I1424" s="376">
        <v>0.85</v>
      </c>
    </row>
    <row r="1425" spans="1:9" x14ac:dyDescent="0.35">
      <c r="A1425" s="376" t="s">
        <v>1614</v>
      </c>
      <c r="B1425" s="376" t="s">
        <v>1609</v>
      </c>
      <c r="C1425" s="376" t="s">
        <v>628</v>
      </c>
      <c r="D1425" s="376">
        <v>2022</v>
      </c>
      <c r="E1425" s="376">
        <v>2031</v>
      </c>
      <c r="F1425" s="376">
        <v>0.28070162831646173</v>
      </c>
      <c r="G1425" s="376">
        <v>6454.3984013550207</v>
      </c>
      <c r="H1425" s="376">
        <v>0.25601753086923207</v>
      </c>
      <c r="I1425" s="376">
        <v>0.85</v>
      </c>
    </row>
    <row r="1426" spans="1:9" x14ac:dyDescent="0.35">
      <c r="A1426" s="376" t="s">
        <v>1614</v>
      </c>
      <c r="B1426" s="376" t="s">
        <v>1609</v>
      </c>
      <c r="C1426" s="376" t="s">
        <v>1051</v>
      </c>
      <c r="D1426" s="376">
        <v>2022</v>
      </c>
      <c r="E1426" s="376">
        <v>2031</v>
      </c>
      <c r="F1426" s="376">
        <v>0.28070162831646173</v>
      </c>
      <c r="G1426" s="376">
        <v>6454.3984013550207</v>
      </c>
      <c r="H1426" s="376">
        <v>0.25601753086923207</v>
      </c>
      <c r="I1426" s="376">
        <v>0.85</v>
      </c>
    </row>
    <row r="1427" spans="1:9" x14ac:dyDescent="0.35">
      <c r="A1427" s="376" t="s">
        <v>1614</v>
      </c>
      <c r="B1427" s="376" t="s">
        <v>1609</v>
      </c>
      <c r="C1427" s="376" t="s">
        <v>1054</v>
      </c>
      <c r="D1427" s="376">
        <v>2022</v>
      </c>
      <c r="E1427" s="376">
        <v>2031</v>
      </c>
      <c r="F1427" s="376">
        <v>0.28070162831646173</v>
      </c>
      <c r="G1427" s="376">
        <v>6454.3984013550207</v>
      </c>
      <c r="H1427" s="376">
        <v>0.25601753086923207</v>
      </c>
      <c r="I1427" s="376">
        <v>0.85</v>
      </c>
    </row>
    <row r="1428" spans="1:9" x14ac:dyDescent="0.35">
      <c r="A1428" s="376" t="s">
        <v>1604</v>
      </c>
      <c r="B1428" s="376" t="s">
        <v>1609</v>
      </c>
      <c r="C1428" s="376" t="s">
        <v>1046</v>
      </c>
      <c r="D1428" s="376">
        <v>2022</v>
      </c>
      <c r="E1428" s="376">
        <v>2022</v>
      </c>
      <c r="F1428" s="376">
        <v>1</v>
      </c>
      <c r="G1428" s="376">
        <v>10872.741503138899</v>
      </c>
      <c r="H1428" s="376">
        <v>0</v>
      </c>
      <c r="I1428" s="376">
        <v>1</v>
      </c>
    </row>
    <row r="1429" spans="1:9" x14ac:dyDescent="0.35">
      <c r="A1429" s="376" t="s">
        <v>1604</v>
      </c>
      <c r="B1429" s="376" t="s">
        <v>1609</v>
      </c>
      <c r="C1429" s="376" t="s">
        <v>644</v>
      </c>
      <c r="D1429" s="376">
        <v>2022</v>
      </c>
      <c r="E1429" s="376">
        <v>2022</v>
      </c>
      <c r="F1429" s="376">
        <v>1</v>
      </c>
      <c r="G1429" s="376">
        <v>10872.741503138899</v>
      </c>
      <c r="H1429" s="376">
        <v>0</v>
      </c>
      <c r="I1429" s="376">
        <v>1</v>
      </c>
    </row>
    <row r="1430" spans="1:9" x14ac:dyDescent="0.35">
      <c r="A1430" s="376" t="s">
        <v>1604</v>
      </c>
      <c r="B1430" s="376" t="s">
        <v>1609</v>
      </c>
      <c r="C1430" s="376" t="s">
        <v>628</v>
      </c>
      <c r="D1430" s="376">
        <v>2022</v>
      </c>
      <c r="E1430" s="376">
        <v>2022</v>
      </c>
      <c r="F1430" s="376">
        <v>1</v>
      </c>
      <c r="G1430" s="376">
        <v>10872.741503138899</v>
      </c>
      <c r="H1430" s="376">
        <v>0</v>
      </c>
      <c r="I1430" s="376">
        <v>1</v>
      </c>
    </row>
    <row r="1431" spans="1:9" x14ac:dyDescent="0.35">
      <c r="A1431" s="376" t="s">
        <v>1604</v>
      </c>
      <c r="B1431" s="376" t="s">
        <v>1609</v>
      </c>
      <c r="C1431" s="376" t="s">
        <v>1051</v>
      </c>
      <c r="D1431" s="376">
        <v>2022</v>
      </c>
      <c r="E1431" s="376">
        <v>2022</v>
      </c>
      <c r="F1431" s="376">
        <v>1</v>
      </c>
      <c r="G1431" s="376">
        <v>10872.741503138899</v>
      </c>
      <c r="H1431" s="376">
        <v>0</v>
      </c>
      <c r="I1431" s="376">
        <v>1</v>
      </c>
    </row>
    <row r="1432" spans="1:9" x14ac:dyDescent="0.35">
      <c r="A1432" s="376" t="s">
        <v>1604</v>
      </c>
      <c r="B1432" s="376" t="s">
        <v>1609</v>
      </c>
      <c r="C1432" s="376" t="s">
        <v>1054</v>
      </c>
      <c r="D1432" s="376">
        <v>2022</v>
      </c>
      <c r="E1432" s="376">
        <v>2022</v>
      </c>
      <c r="F1432" s="376">
        <v>1</v>
      </c>
      <c r="G1432" s="376">
        <v>10872.741503138899</v>
      </c>
      <c r="H1432" s="376">
        <v>0</v>
      </c>
      <c r="I1432" s="376">
        <v>1</v>
      </c>
    </row>
    <row r="1433" spans="1:9" x14ac:dyDescent="0.35">
      <c r="A1433" s="376" t="s">
        <v>1604</v>
      </c>
      <c r="B1433" s="376" t="s">
        <v>1609</v>
      </c>
      <c r="C1433" s="376" t="s">
        <v>1046</v>
      </c>
      <c r="D1433" s="376">
        <v>2022</v>
      </c>
      <c r="E1433" s="376">
        <v>2023</v>
      </c>
      <c r="F1433" s="376">
        <v>1</v>
      </c>
      <c r="G1433" s="376">
        <v>10872.741503138899</v>
      </c>
      <c r="H1433" s="376">
        <v>0</v>
      </c>
      <c r="I1433" s="376">
        <v>1</v>
      </c>
    </row>
    <row r="1434" spans="1:9" x14ac:dyDescent="0.35">
      <c r="A1434" s="376" t="s">
        <v>1604</v>
      </c>
      <c r="B1434" s="376" t="s">
        <v>1609</v>
      </c>
      <c r="C1434" s="376" t="s">
        <v>644</v>
      </c>
      <c r="D1434" s="376">
        <v>2022</v>
      </c>
      <c r="E1434" s="376">
        <v>2023</v>
      </c>
      <c r="F1434" s="376">
        <v>1</v>
      </c>
      <c r="G1434" s="376">
        <v>10872.741503138899</v>
      </c>
      <c r="H1434" s="376">
        <v>0</v>
      </c>
      <c r="I1434" s="376">
        <v>1</v>
      </c>
    </row>
    <row r="1435" spans="1:9" x14ac:dyDescent="0.35">
      <c r="A1435" s="376" t="s">
        <v>1604</v>
      </c>
      <c r="B1435" s="376" t="s">
        <v>1609</v>
      </c>
      <c r="C1435" s="376" t="s">
        <v>628</v>
      </c>
      <c r="D1435" s="376">
        <v>2022</v>
      </c>
      <c r="E1435" s="376">
        <v>2023</v>
      </c>
      <c r="F1435" s="376">
        <v>1</v>
      </c>
      <c r="G1435" s="376">
        <v>10872.741503138899</v>
      </c>
      <c r="H1435" s="376">
        <v>0</v>
      </c>
      <c r="I1435" s="376">
        <v>1</v>
      </c>
    </row>
    <row r="1436" spans="1:9" x14ac:dyDescent="0.35">
      <c r="A1436" s="376" t="s">
        <v>1604</v>
      </c>
      <c r="B1436" s="376" t="s">
        <v>1609</v>
      </c>
      <c r="C1436" s="376" t="s">
        <v>1051</v>
      </c>
      <c r="D1436" s="376">
        <v>2022</v>
      </c>
      <c r="E1436" s="376">
        <v>2023</v>
      </c>
      <c r="F1436" s="376">
        <v>1</v>
      </c>
      <c r="G1436" s="376">
        <v>10872.741503138899</v>
      </c>
      <c r="H1436" s="376">
        <v>0</v>
      </c>
      <c r="I1436" s="376">
        <v>1</v>
      </c>
    </row>
    <row r="1437" spans="1:9" x14ac:dyDescent="0.35">
      <c r="A1437" s="376" t="s">
        <v>1604</v>
      </c>
      <c r="B1437" s="376" t="s">
        <v>1609</v>
      </c>
      <c r="C1437" s="376" t="s">
        <v>1054</v>
      </c>
      <c r="D1437" s="376">
        <v>2022</v>
      </c>
      <c r="E1437" s="376">
        <v>2023</v>
      </c>
      <c r="F1437" s="376">
        <v>1</v>
      </c>
      <c r="G1437" s="376">
        <v>10872.741503138899</v>
      </c>
      <c r="H1437" s="376">
        <v>0</v>
      </c>
      <c r="I1437" s="376">
        <v>1</v>
      </c>
    </row>
    <row r="1438" spans="1:9" x14ac:dyDescent="0.35">
      <c r="A1438" s="376" t="s">
        <v>1604</v>
      </c>
      <c r="B1438" s="376" t="s">
        <v>1609</v>
      </c>
      <c r="C1438" s="376" t="s">
        <v>1046</v>
      </c>
      <c r="D1438" s="376">
        <v>2022</v>
      </c>
      <c r="E1438" s="376">
        <v>2024</v>
      </c>
      <c r="F1438" s="376">
        <v>1</v>
      </c>
      <c r="G1438" s="376">
        <v>10872.741503138899</v>
      </c>
      <c r="H1438" s="376">
        <v>0</v>
      </c>
      <c r="I1438" s="376">
        <v>1</v>
      </c>
    </row>
    <row r="1439" spans="1:9" x14ac:dyDescent="0.35">
      <c r="A1439" s="376" t="s">
        <v>1604</v>
      </c>
      <c r="B1439" s="376" t="s">
        <v>1609</v>
      </c>
      <c r="C1439" s="376" t="s">
        <v>644</v>
      </c>
      <c r="D1439" s="376">
        <v>2022</v>
      </c>
      <c r="E1439" s="376">
        <v>2024</v>
      </c>
      <c r="F1439" s="376">
        <v>1</v>
      </c>
      <c r="G1439" s="376">
        <v>10872.741503138899</v>
      </c>
      <c r="H1439" s="376">
        <v>0</v>
      </c>
      <c r="I1439" s="376">
        <v>1</v>
      </c>
    </row>
    <row r="1440" spans="1:9" x14ac:dyDescent="0.35">
      <c r="A1440" s="376" t="s">
        <v>1604</v>
      </c>
      <c r="B1440" s="376" t="s">
        <v>1609</v>
      </c>
      <c r="C1440" s="376" t="s">
        <v>628</v>
      </c>
      <c r="D1440" s="376">
        <v>2022</v>
      </c>
      <c r="E1440" s="376">
        <v>2024</v>
      </c>
      <c r="F1440" s="376">
        <v>1</v>
      </c>
      <c r="G1440" s="376">
        <v>10872.741503138899</v>
      </c>
      <c r="H1440" s="376">
        <v>0</v>
      </c>
      <c r="I1440" s="376">
        <v>1</v>
      </c>
    </row>
    <row r="1441" spans="1:9" x14ac:dyDescent="0.35">
      <c r="A1441" s="376" t="s">
        <v>1604</v>
      </c>
      <c r="B1441" s="376" t="s">
        <v>1609</v>
      </c>
      <c r="C1441" s="376" t="s">
        <v>1051</v>
      </c>
      <c r="D1441" s="376">
        <v>2022</v>
      </c>
      <c r="E1441" s="376">
        <v>2024</v>
      </c>
      <c r="F1441" s="376">
        <v>1</v>
      </c>
      <c r="G1441" s="376">
        <v>10872.741503138899</v>
      </c>
      <c r="H1441" s="376">
        <v>0</v>
      </c>
      <c r="I1441" s="376">
        <v>1</v>
      </c>
    </row>
    <row r="1442" spans="1:9" x14ac:dyDescent="0.35">
      <c r="A1442" s="376" t="s">
        <v>1604</v>
      </c>
      <c r="B1442" s="376" t="s">
        <v>1609</v>
      </c>
      <c r="C1442" s="376" t="s">
        <v>1054</v>
      </c>
      <c r="D1442" s="376">
        <v>2022</v>
      </c>
      <c r="E1442" s="376">
        <v>2024</v>
      </c>
      <c r="F1442" s="376">
        <v>1</v>
      </c>
      <c r="G1442" s="376">
        <v>10872.741503138899</v>
      </c>
      <c r="H1442" s="376">
        <v>0</v>
      </c>
      <c r="I1442" s="376">
        <v>1</v>
      </c>
    </row>
    <row r="1443" spans="1:9" x14ac:dyDescent="0.35">
      <c r="A1443" s="376" t="s">
        <v>1604</v>
      </c>
      <c r="B1443" s="376" t="s">
        <v>1609</v>
      </c>
      <c r="C1443" s="376" t="s">
        <v>1046</v>
      </c>
      <c r="D1443" s="376">
        <v>2022</v>
      </c>
      <c r="E1443" s="376">
        <v>2025</v>
      </c>
      <c r="F1443" s="376">
        <v>1</v>
      </c>
      <c r="G1443" s="376">
        <v>10872.741503138899</v>
      </c>
      <c r="H1443" s="376">
        <v>0</v>
      </c>
      <c r="I1443" s="376">
        <v>1</v>
      </c>
    </row>
    <row r="1444" spans="1:9" x14ac:dyDescent="0.35">
      <c r="A1444" s="376" t="s">
        <v>1604</v>
      </c>
      <c r="B1444" s="376" t="s">
        <v>1609</v>
      </c>
      <c r="C1444" s="376" t="s">
        <v>644</v>
      </c>
      <c r="D1444" s="376">
        <v>2022</v>
      </c>
      <c r="E1444" s="376">
        <v>2025</v>
      </c>
      <c r="F1444" s="376">
        <v>1</v>
      </c>
      <c r="G1444" s="376">
        <v>10872.741503138899</v>
      </c>
      <c r="H1444" s="376">
        <v>0</v>
      </c>
      <c r="I1444" s="376">
        <v>1</v>
      </c>
    </row>
    <row r="1445" spans="1:9" x14ac:dyDescent="0.35">
      <c r="A1445" s="376" t="s">
        <v>1604</v>
      </c>
      <c r="B1445" s="376" t="s">
        <v>1609</v>
      </c>
      <c r="C1445" s="376" t="s">
        <v>628</v>
      </c>
      <c r="D1445" s="376">
        <v>2022</v>
      </c>
      <c r="E1445" s="376">
        <v>2025</v>
      </c>
      <c r="F1445" s="376">
        <v>1</v>
      </c>
      <c r="G1445" s="376">
        <v>10872.741503138899</v>
      </c>
      <c r="H1445" s="376">
        <v>0</v>
      </c>
      <c r="I1445" s="376">
        <v>1</v>
      </c>
    </row>
    <row r="1446" spans="1:9" x14ac:dyDescent="0.35">
      <c r="A1446" s="376" t="s">
        <v>1604</v>
      </c>
      <c r="B1446" s="376" t="s">
        <v>1609</v>
      </c>
      <c r="C1446" s="376" t="s">
        <v>1051</v>
      </c>
      <c r="D1446" s="376">
        <v>2022</v>
      </c>
      <c r="E1446" s="376">
        <v>2025</v>
      </c>
      <c r="F1446" s="376">
        <v>1</v>
      </c>
      <c r="G1446" s="376">
        <v>10872.741503138899</v>
      </c>
      <c r="H1446" s="376">
        <v>0</v>
      </c>
      <c r="I1446" s="376">
        <v>1</v>
      </c>
    </row>
    <row r="1447" spans="1:9" x14ac:dyDescent="0.35">
      <c r="A1447" s="376" t="s">
        <v>1604</v>
      </c>
      <c r="B1447" s="376" t="s">
        <v>1609</v>
      </c>
      <c r="C1447" s="376" t="s">
        <v>1054</v>
      </c>
      <c r="D1447" s="376">
        <v>2022</v>
      </c>
      <c r="E1447" s="376">
        <v>2025</v>
      </c>
      <c r="F1447" s="376">
        <v>1</v>
      </c>
      <c r="G1447" s="376">
        <v>10872.741503138899</v>
      </c>
      <c r="H1447" s="376">
        <v>0</v>
      </c>
      <c r="I1447" s="376">
        <v>1</v>
      </c>
    </row>
    <row r="1448" spans="1:9" x14ac:dyDescent="0.35">
      <c r="A1448" s="376" t="s">
        <v>1604</v>
      </c>
      <c r="B1448" s="376" t="s">
        <v>1609</v>
      </c>
      <c r="C1448" s="376" t="s">
        <v>1046</v>
      </c>
      <c r="D1448" s="376">
        <v>2022</v>
      </c>
      <c r="E1448" s="376">
        <v>2026</v>
      </c>
      <c r="F1448" s="376">
        <v>1</v>
      </c>
      <c r="G1448" s="376">
        <v>10872.741503138899</v>
      </c>
      <c r="H1448" s="376">
        <v>0</v>
      </c>
      <c r="I1448" s="376">
        <v>1</v>
      </c>
    </row>
    <row r="1449" spans="1:9" x14ac:dyDescent="0.35">
      <c r="A1449" s="376" t="s">
        <v>1604</v>
      </c>
      <c r="B1449" s="376" t="s">
        <v>1609</v>
      </c>
      <c r="C1449" s="376" t="s">
        <v>644</v>
      </c>
      <c r="D1449" s="376">
        <v>2022</v>
      </c>
      <c r="E1449" s="376">
        <v>2026</v>
      </c>
      <c r="F1449" s="376">
        <v>1</v>
      </c>
      <c r="G1449" s="376">
        <v>10872.741503138899</v>
      </c>
      <c r="H1449" s="376">
        <v>0</v>
      </c>
      <c r="I1449" s="376">
        <v>1</v>
      </c>
    </row>
    <row r="1450" spans="1:9" x14ac:dyDescent="0.35">
      <c r="A1450" s="376" t="s">
        <v>1604</v>
      </c>
      <c r="B1450" s="376" t="s">
        <v>1609</v>
      </c>
      <c r="C1450" s="376" t="s">
        <v>628</v>
      </c>
      <c r="D1450" s="376">
        <v>2022</v>
      </c>
      <c r="E1450" s="376">
        <v>2026</v>
      </c>
      <c r="F1450" s="376">
        <v>1</v>
      </c>
      <c r="G1450" s="376">
        <v>10872.741503138899</v>
      </c>
      <c r="H1450" s="376">
        <v>0</v>
      </c>
      <c r="I1450" s="376">
        <v>1</v>
      </c>
    </row>
    <row r="1451" spans="1:9" x14ac:dyDescent="0.35">
      <c r="A1451" s="376" t="s">
        <v>1604</v>
      </c>
      <c r="B1451" s="376" t="s">
        <v>1609</v>
      </c>
      <c r="C1451" s="376" t="s">
        <v>1051</v>
      </c>
      <c r="D1451" s="376">
        <v>2022</v>
      </c>
      <c r="E1451" s="376">
        <v>2026</v>
      </c>
      <c r="F1451" s="376">
        <v>1</v>
      </c>
      <c r="G1451" s="376">
        <v>10872.741503138899</v>
      </c>
      <c r="H1451" s="376">
        <v>0</v>
      </c>
      <c r="I1451" s="376">
        <v>1</v>
      </c>
    </row>
    <row r="1452" spans="1:9" x14ac:dyDescent="0.35">
      <c r="A1452" s="376" t="s">
        <v>1604</v>
      </c>
      <c r="B1452" s="376" t="s">
        <v>1609</v>
      </c>
      <c r="C1452" s="376" t="s">
        <v>1054</v>
      </c>
      <c r="D1452" s="376">
        <v>2022</v>
      </c>
      <c r="E1452" s="376">
        <v>2026</v>
      </c>
      <c r="F1452" s="376">
        <v>1</v>
      </c>
      <c r="G1452" s="376">
        <v>10872.741503138899</v>
      </c>
      <c r="H1452" s="376">
        <v>0</v>
      </c>
      <c r="I1452" s="376">
        <v>1</v>
      </c>
    </row>
    <row r="1453" spans="1:9" x14ac:dyDescent="0.35">
      <c r="A1453" s="376" t="s">
        <v>1604</v>
      </c>
      <c r="B1453" s="376" t="s">
        <v>1609</v>
      </c>
      <c r="C1453" s="376" t="s">
        <v>1046</v>
      </c>
      <c r="D1453" s="376">
        <v>2022</v>
      </c>
      <c r="E1453" s="376">
        <v>2027</v>
      </c>
      <c r="F1453" s="376">
        <v>1</v>
      </c>
      <c r="G1453" s="376">
        <v>10872.741503138899</v>
      </c>
      <c r="H1453" s="376">
        <v>0</v>
      </c>
      <c r="I1453" s="376">
        <v>1</v>
      </c>
    </row>
    <row r="1454" spans="1:9" x14ac:dyDescent="0.35">
      <c r="A1454" s="376" t="s">
        <v>1604</v>
      </c>
      <c r="B1454" s="376" t="s">
        <v>1609</v>
      </c>
      <c r="C1454" s="376" t="s">
        <v>644</v>
      </c>
      <c r="D1454" s="376">
        <v>2022</v>
      </c>
      <c r="E1454" s="376">
        <v>2027</v>
      </c>
      <c r="F1454" s="376">
        <v>1</v>
      </c>
      <c r="G1454" s="376">
        <v>10872.741503138899</v>
      </c>
      <c r="H1454" s="376">
        <v>0</v>
      </c>
      <c r="I1454" s="376">
        <v>1</v>
      </c>
    </row>
    <row r="1455" spans="1:9" x14ac:dyDescent="0.35">
      <c r="A1455" s="376" t="s">
        <v>1604</v>
      </c>
      <c r="B1455" s="376" t="s">
        <v>1609</v>
      </c>
      <c r="C1455" s="376" t="s">
        <v>628</v>
      </c>
      <c r="D1455" s="376">
        <v>2022</v>
      </c>
      <c r="E1455" s="376">
        <v>2027</v>
      </c>
      <c r="F1455" s="376">
        <v>1</v>
      </c>
      <c r="G1455" s="376">
        <v>10872.741503138899</v>
      </c>
      <c r="H1455" s="376">
        <v>0</v>
      </c>
      <c r="I1455" s="376">
        <v>1</v>
      </c>
    </row>
    <row r="1456" spans="1:9" x14ac:dyDescent="0.35">
      <c r="A1456" s="376" t="s">
        <v>1604</v>
      </c>
      <c r="B1456" s="376" t="s">
        <v>1609</v>
      </c>
      <c r="C1456" s="376" t="s">
        <v>1051</v>
      </c>
      <c r="D1456" s="376">
        <v>2022</v>
      </c>
      <c r="E1456" s="376">
        <v>2027</v>
      </c>
      <c r="F1456" s="376">
        <v>1</v>
      </c>
      <c r="G1456" s="376">
        <v>10872.741503138899</v>
      </c>
      <c r="H1456" s="376">
        <v>0</v>
      </c>
      <c r="I1456" s="376">
        <v>1</v>
      </c>
    </row>
    <row r="1457" spans="1:9" x14ac:dyDescent="0.35">
      <c r="A1457" s="376" t="s">
        <v>1604</v>
      </c>
      <c r="B1457" s="376" t="s">
        <v>1609</v>
      </c>
      <c r="C1457" s="376" t="s">
        <v>1054</v>
      </c>
      <c r="D1457" s="376">
        <v>2022</v>
      </c>
      <c r="E1457" s="376">
        <v>2027</v>
      </c>
      <c r="F1457" s="376">
        <v>1</v>
      </c>
      <c r="G1457" s="376">
        <v>10872.741503138899</v>
      </c>
      <c r="H1457" s="376">
        <v>0</v>
      </c>
      <c r="I1457" s="376">
        <v>1</v>
      </c>
    </row>
    <row r="1458" spans="1:9" x14ac:dyDescent="0.35">
      <c r="A1458" s="376" t="s">
        <v>1604</v>
      </c>
      <c r="B1458" s="376" t="s">
        <v>1609</v>
      </c>
      <c r="C1458" s="376" t="s">
        <v>1046</v>
      </c>
      <c r="D1458" s="376">
        <v>2022</v>
      </c>
      <c r="E1458" s="376">
        <v>2028</v>
      </c>
      <c r="F1458" s="376">
        <v>1</v>
      </c>
      <c r="G1458" s="376">
        <v>10872.741503138899</v>
      </c>
      <c r="H1458" s="376">
        <v>0</v>
      </c>
      <c r="I1458" s="376">
        <v>1</v>
      </c>
    </row>
    <row r="1459" spans="1:9" x14ac:dyDescent="0.35">
      <c r="A1459" s="376" t="s">
        <v>1604</v>
      </c>
      <c r="B1459" s="376" t="s">
        <v>1609</v>
      </c>
      <c r="C1459" s="376" t="s">
        <v>644</v>
      </c>
      <c r="D1459" s="376">
        <v>2022</v>
      </c>
      <c r="E1459" s="376">
        <v>2028</v>
      </c>
      <c r="F1459" s="376">
        <v>1</v>
      </c>
      <c r="G1459" s="376">
        <v>10872.741503138899</v>
      </c>
      <c r="H1459" s="376">
        <v>0</v>
      </c>
      <c r="I1459" s="376">
        <v>1</v>
      </c>
    </row>
    <row r="1460" spans="1:9" x14ac:dyDescent="0.35">
      <c r="A1460" s="376" t="s">
        <v>1604</v>
      </c>
      <c r="B1460" s="376" t="s">
        <v>1609</v>
      </c>
      <c r="C1460" s="376" t="s">
        <v>628</v>
      </c>
      <c r="D1460" s="376">
        <v>2022</v>
      </c>
      <c r="E1460" s="376">
        <v>2028</v>
      </c>
      <c r="F1460" s="376">
        <v>1</v>
      </c>
      <c r="G1460" s="376">
        <v>10872.741503138899</v>
      </c>
      <c r="H1460" s="376">
        <v>0</v>
      </c>
      <c r="I1460" s="376">
        <v>1</v>
      </c>
    </row>
    <row r="1461" spans="1:9" x14ac:dyDescent="0.35">
      <c r="A1461" s="376" t="s">
        <v>1604</v>
      </c>
      <c r="B1461" s="376" t="s">
        <v>1609</v>
      </c>
      <c r="C1461" s="376" t="s">
        <v>1051</v>
      </c>
      <c r="D1461" s="376">
        <v>2022</v>
      </c>
      <c r="E1461" s="376">
        <v>2028</v>
      </c>
      <c r="F1461" s="376">
        <v>1</v>
      </c>
      <c r="G1461" s="376">
        <v>10872.741503138899</v>
      </c>
      <c r="H1461" s="376">
        <v>0</v>
      </c>
      <c r="I1461" s="376">
        <v>1</v>
      </c>
    </row>
    <row r="1462" spans="1:9" x14ac:dyDescent="0.35">
      <c r="A1462" s="376" t="s">
        <v>1604</v>
      </c>
      <c r="B1462" s="376" t="s">
        <v>1609</v>
      </c>
      <c r="C1462" s="376" t="s">
        <v>1054</v>
      </c>
      <c r="D1462" s="376">
        <v>2022</v>
      </c>
      <c r="E1462" s="376">
        <v>2028</v>
      </c>
      <c r="F1462" s="376">
        <v>1</v>
      </c>
      <c r="G1462" s="376">
        <v>10872.741503138899</v>
      </c>
      <c r="H1462" s="376">
        <v>0</v>
      </c>
      <c r="I1462" s="376">
        <v>1</v>
      </c>
    </row>
    <row r="1463" spans="1:9" x14ac:dyDescent="0.35">
      <c r="A1463" s="376" t="s">
        <v>1604</v>
      </c>
      <c r="B1463" s="376" t="s">
        <v>1609</v>
      </c>
      <c r="C1463" s="376" t="s">
        <v>1046</v>
      </c>
      <c r="D1463" s="376">
        <v>2022</v>
      </c>
      <c r="E1463" s="376">
        <v>2029</v>
      </c>
      <c r="F1463" s="376">
        <v>1</v>
      </c>
      <c r="G1463" s="376">
        <v>10872.741503138899</v>
      </c>
      <c r="H1463" s="376">
        <v>0</v>
      </c>
      <c r="I1463" s="376">
        <v>1</v>
      </c>
    </row>
    <row r="1464" spans="1:9" x14ac:dyDescent="0.35">
      <c r="A1464" s="376" t="s">
        <v>1604</v>
      </c>
      <c r="B1464" s="376" t="s">
        <v>1609</v>
      </c>
      <c r="C1464" s="376" t="s">
        <v>644</v>
      </c>
      <c r="D1464" s="376">
        <v>2022</v>
      </c>
      <c r="E1464" s="376">
        <v>2029</v>
      </c>
      <c r="F1464" s="376">
        <v>1</v>
      </c>
      <c r="G1464" s="376">
        <v>10872.741503138899</v>
      </c>
      <c r="H1464" s="376">
        <v>0</v>
      </c>
      <c r="I1464" s="376">
        <v>1</v>
      </c>
    </row>
    <row r="1465" spans="1:9" x14ac:dyDescent="0.35">
      <c r="A1465" s="376" t="s">
        <v>1604</v>
      </c>
      <c r="B1465" s="376" t="s">
        <v>1609</v>
      </c>
      <c r="C1465" s="376" t="s">
        <v>628</v>
      </c>
      <c r="D1465" s="376">
        <v>2022</v>
      </c>
      <c r="E1465" s="376">
        <v>2029</v>
      </c>
      <c r="F1465" s="376">
        <v>1</v>
      </c>
      <c r="G1465" s="376">
        <v>10872.741503138899</v>
      </c>
      <c r="H1465" s="376">
        <v>0</v>
      </c>
      <c r="I1465" s="376">
        <v>1</v>
      </c>
    </row>
    <row r="1466" spans="1:9" x14ac:dyDescent="0.35">
      <c r="A1466" s="376" t="s">
        <v>1604</v>
      </c>
      <c r="B1466" s="376" t="s">
        <v>1609</v>
      </c>
      <c r="C1466" s="376" t="s">
        <v>1051</v>
      </c>
      <c r="D1466" s="376">
        <v>2022</v>
      </c>
      <c r="E1466" s="376">
        <v>2029</v>
      </c>
      <c r="F1466" s="376">
        <v>1</v>
      </c>
      <c r="G1466" s="376">
        <v>10872.741503138899</v>
      </c>
      <c r="H1466" s="376">
        <v>0</v>
      </c>
      <c r="I1466" s="376">
        <v>1</v>
      </c>
    </row>
    <row r="1467" spans="1:9" x14ac:dyDescent="0.35">
      <c r="A1467" s="376" t="s">
        <v>1604</v>
      </c>
      <c r="B1467" s="376" t="s">
        <v>1609</v>
      </c>
      <c r="C1467" s="376" t="s">
        <v>1054</v>
      </c>
      <c r="D1467" s="376">
        <v>2022</v>
      </c>
      <c r="E1467" s="376">
        <v>2029</v>
      </c>
      <c r="F1467" s="376">
        <v>1</v>
      </c>
      <c r="G1467" s="376">
        <v>10872.741503138899</v>
      </c>
      <c r="H1467" s="376">
        <v>0</v>
      </c>
      <c r="I1467" s="376">
        <v>1</v>
      </c>
    </row>
    <row r="1468" spans="1:9" x14ac:dyDescent="0.35">
      <c r="A1468" s="376" t="s">
        <v>1604</v>
      </c>
      <c r="B1468" s="376" t="s">
        <v>1609</v>
      </c>
      <c r="C1468" s="376" t="s">
        <v>1046</v>
      </c>
      <c r="D1468" s="376">
        <v>2022</v>
      </c>
      <c r="E1468" s="376">
        <v>2030</v>
      </c>
      <c r="F1468" s="376">
        <v>1</v>
      </c>
      <c r="G1468" s="376">
        <v>10872.741503138899</v>
      </c>
      <c r="H1468" s="376">
        <v>0</v>
      </c>
      <c r="I1468" s="376">
        <v>1</v>
      </c>
    </row>
    <row r="1469" spans="1:9" x14ac:dyDescent="0.35">
      <c r="A1469" s="376" t="s">
        <v>1604</v>
      </c>
      <c r="B1469" s="376" t="s">
        <v>1609</v>
      </c>
      <c r="C1469" s="376" t="s">
        <v>644</v>
      </c>
      <c r="D1469" s="376">
        <v>2022</v>
      </c>
      <c r="E1469" s="376">
        <v>2030</v>
      </c>
      <c r="F1469" s="376">
        <v>1</v>
      </c>
      <c r="G1469" s="376">
        <v>10872.741503138899</v>
      </c>
      <c r="H1469" s="376">
        <v>0</v>
      </c>
      <c r="I1469" s="376">
        <v>1</v>
      </c>
    </row>
    <row r="1470" spans="1:9" x14ac:dyDescent="0.35">
      <c r="A1470" s="376" t="s">
        <v>1604</v>
      </c>
      <c r="B1470" s="376" t="s">
        <v>1609</v>
      </c>
      <c r="C1470" s="376" t="s">
        <v>628</v>
      </c>
      <c r="D1470" s="376">
        <v>2022</v>
      </c>
      <c r="E1470" s="376">
        <v>2030</v>
      </c>
      <c r="F1470" s="376">
        <v>1</v>
      </c>
      <c r="G1470" s="376">
        <v>10872.741503138899</v>
      </c>
      <c r="H1470" s="376">
        <v>0</v>
      </c>
      <c r="I1470" s="376">
        <v>1</v>
      </c>
    </row>
    <row r="1471" spans="1:9" x14ac:dyDescent="0.35">
      <c r="A1471" s="376" t="s">
        <v>1604</v>
      </c>
      <c r="B1471" s="376" t="s">
        <v>1609</v>
      </c>
      <c r="C1471" s="376" t="s">
        <v>1051</v>
      </c>
      <c r="D1471" s="376">
        <v>2022</v>
      </c>
      <c r="E1471" s="376">
        <v>2030</v>
      </c>
      <c r="F1471" s="376">
        <v>1</v>
      </c>
      <c r="G1471" s="376">
        <v>10872.741503138899</v>
      </c>
      <c r="H1471" s="376">
        <v>0</v>
      </c>
      <c r="I1471" s="376">
        <v>1</v>
      </c>
    </row>
    <row r="1472" spans="1:9" x14ac:dyDescent="0.35">
      <c r="A1472" s="376" t="s">
        <v>1604</v>
      </c>
      <c r="B1472" s="376" t="s">
        <v>1609</v>
      </c>
      <c r="C1472" s="376" t="s">
        <v>1054</v>
      </c>
      <c r="D1472" s="376">
        <v>2022</v>
      </c>
      <c r="E1472" s="376">
        <v>2030</v>
      </c>
      <c r="F1472" s="376">
        <v>1</v>
      </c>
      <c r="G1472" s="376">
        <v>10872.741503138899</v>
      </c>
      <c r="H1472" s="376">
        <v>0</v>
      </c>
      <c r="I1472" s="376">
        <v>1</v>
      </c>
    </row>
    <row r="1473" spans="1:9" x14ac:dyDescent="0.35">
      <c r="A1473" s="376" t="s">
        <v>1604</v>
      </c>
      <c r="B1473" s="376" t="s">
        <v>1609</v>
      </c>
      <c r="C1473" s="376" t="s">
        <v>1046</v>
      </c>
      <c r="D1473" s="376">
        <v>2022</v>
      </c>
      <c r="E1473" s="376">
        <v>2031</v>
      </c>
      <c r="F1473" s="376">
        <v>1</v>
      </c>
      <c r="G1473" s="376">
        <v>10872.741503138899</v>
      </c>
      <c r="H1473" s="376">
        <v>0</v>
      </c>
      <c r="I1473" s="376">
        <v>1</v>
      </c>
    </row>
    <row r="1474" spans="1:9" x14ac:dyDescent="0.35">
      <c r="A1474" s="376" t="s">
        <v>1604</v>
      </c>
      <c r="B1474" s="376" t="s">
        <v>1609</v>
      </c>
      <c r="C1474" s="376" t="s">
        <v>644</v>
      </c>
      <c r="D1474" s="376">
        <v>2022</v>
      </c>
      <c r="E1474" s="376">
        <v>2031</v>
      </c>
      <c r="F1474" s="376">
        <v>1</v>
      </c>
      <c r="G1474" s="376">
        <v>10872.741503138899</v>
      </c>
      <c r="H1474" s="376">
        <v>0</v>
      </c>
      <c r="I1474" s="376">
        <v>1</v>
      </c>
    </row>
    <row r="1475" spans="1:9" x14ac:dyDescent="0.35">
      <c r="A1475" s="376" t="s">
        <v>1604</v>
      </c>
      <c r="B1475" s="376" t="s">
        <v>1609</v>
      </c>
      <c r="C1475" s="376" t="s">
        <v>628</v>
      </c>
      <c r="D1475" s="376">
        <v>2022</v>
      </c>
      <c r="E1475" s="376">
        <v>2031</v>
      </c>
      <c r="F1475" s="376">
        <v>1</v>
      </c>
      <c r="G1475" s="376">
        <v>10872.741503138899</v>
      </c>
      <c r="H1475" s="376">
        <v>0</v>
      </c>
      <c r="I1475" s="376">
        <v>1</v>
      </c>
    </row>
    <row r="1476" spans="1:9" x14ac:dyDescent="0.35">
      <c r="A1476" s="376" t="s">
        <v>1604</v>
      </c>
      <c r="B1476" s="376" t="s">
        <v>1609</v>
      </c>
      <c r="C1476" s="376" t="s">
        <v>1051</v>
      </c>
      <c r="D1476" s="376">
        <v>2022</v>
      </c>
      <c r="E1476" s="376">
        <v>2031</v>
      </c>
      <c r="F1476" s="376">
        <v>1</v>
      </c>
      <c r="G1476" s="376">
        <v>10872.741503138899</v>
      </c>
      <c r="H1476" s="376">
        <v>0</v>
      </c>
      <c r="I1476" s="376">
        <v>1</v>
      </c>
    </row>
    <row r="1477" spans="1:9" x14ac:dyDescent="0.35">
      <c r="A1477" s="376" t="s">
        <v>1604</v>
      </c>
      <c r="B1477" s="376" t="s">
        <v>1609</v>
      </c>
      <c r="C1477" s="376" t="s">
        <v>1054</v>
      </c>
      <c r="D1477" s="376">
        <v>2022</v>
      </c>
      <c r="E1477" s="376">
        <v>2031</v>
      </c>
      <c r="F1477" s="376">
        <v>1</v>
      </c>
      <c r="G1477" s="376">
        <v>10872.741503138899</v>
      </c>
      <c r="H1477" s="376">
        <v>0</v>
      </c>
      <c r="I1477" s="376">
        <v>1</v>
      </c>
    </row>
    <row r="1478" spans="1:9" x14ac:dyDescent="0.35">
      <c r="A1478" s="376" t="s">
        <v>1615</v>
      </c>
      <c r="B1478" s="376" t="s">
        <v>1609</v>
      </c>
      <c r="C1478" s="376" t="s">
        <v>1046</v>
      </c>
      <c r="D1478" s="376">
        <v>2022</v>
      </c>
      <c r="E1478" s="376">
        <v>2022</v>
      </c>
      <c r="F1478" s="376">
        <v>1</v>
      </c>
      <c r="G1478" s="376">
        <v>20148.813739673951</v>
      </c>
      <c r="H1478" s="376">
        <v>0</v>
      </c>
      <c r="I1478" s="376">
        <v>0.65716939790195539</v>
      </c>
    </row>
    <row r="1479" spans="1:9" x14ac:dyDescent="0.35">
      <c r="A1479" s="376" t="s">
        <v>1615</v>
      </c>
      <c r="B1479" s="376" t="s">
        <v>1609</v>
      </c>
      <c r="C1479" s="376" t="s">
        <v>644</v>
      </c>
      <c r="D1479" s="376">
        <v>2022</v>
      </c>
      <c r="E1479" s="376">
        <v>2022</v>
      </c>
      <c r="F1479" s="376">
        <v>1</v>
      </c>
      <c r="G1479" s="376">
        <v>20148.813739673951</v>
      </c>
      <c r="H1479" s="376">
        <v>0</v>
      </c>
      <c r="I1479" s="376">
        <v>0.65716939790195539</v>
      </c>
    </row>
    <row r="1480" spans="1:9" x14ac:dyDescent="0.35">
      <c r="A1480" s="376" t="s">
        <v>1615</v>
      </c>
      <c r="B1480" s="376" t="s">
        <v>1609</v>
      </c>
      <c r="C1480" s="376" t="s">
        <v>628</v>
      </c>
      <c r="D1480" s="376">
        <v>2022</v>
      </c>
      <c r="E1480" s="376">
        <v>2022</v>
      </c>
      <c r="F1480" s="376">
        <v>1</v>
      </c>
      <c r="G1480" s="376">
        <v>20148.813739673951</v>
      </c>
      <c r="H1480" s="376">
        <v>0</v>
      </c>
      <c r="I1480" s="376">
        <v>0.65716939790195539</v>
      </c>
    </row>
    <row r="1481" spans="1:9" x14ac:dyDescent="0.35">
      <c r="A1481" s="376" t="s">
        <v>1615</v>
      </c>
      <c r="B1481" s="376" t="s">
        <v>1609</v>
      </c>
      <c r="C1481" s="376" t="s">
        <v>1051</v>
      </c>
      <c r="D1481" s="376">
        <v>2022</v>
      </c>
      <c r="E1481" s="376">
        <v>2022</v>
      </c>
      <c r="F1481" s="376">
        <v>1</v>
      </c>
      <c r="G1481" s="376">
        <v>20148.813739673951</v>
      </c>
      <c r="H1481" s="376">
        <v>0</v>
      </c>
      <c r="I1481" s="376">
        <v>0.65716939790195539</v>
      </c>
    </row>
    <row r="1482" spans="1:9" x14ac:dyDescent="0.35">
      <c r="A1482" s="376" t="s">
        <v>1615</v>
      </c>
      <c r="B1482" s="376" t="s">
        <v>1609</v>
      </c>
      <c r="C1482" s="376" t="s">
        <v>1054</v>
      </c>
      <c r="D1482" s="376">
        <v>2022</v>
      </c>
      <c r="E1482" s="376">
        <v>2022</v>
      </c>
      <c r="F1482" s="376">
        <v>1</v>
      </c>
      <c r="G1482" s="376">
        <v>20148.813739673951</v>
      </c>
      <c r="H1482" s="376">
        <v>0</v>
      </c>
      <c r="I1482" s="376">
        <v>0.65716939790195539</v>
      </c>
    </row>
    <row r="1483" spans="1:9" x14ac:dyDescent="0.35">
      <c r="A1483" s="376" t="s">
        <v>1615</v>
      </c>
      <c r="B1483" s="376" t="s">
        <v>1609</v>
      </c>
      <c r="C1483" s="376" t="s">
        <v>1046</v>
      </c>
      <c r="D1483" s="376">
        <v>2022</v>
      </c>
      <c r="E1483" s="376">
        <v>2023</v>
      </c>
      <c r="F1483" s="376">
        <v>1</v>
      </c>
      <c r="G1483" s="376">
        <v>20148.813739673951</v>
      </c>
      <c r="H1483" s="376">
        <v>0</v>
      </c>
      <c r="I1483" s="376">
        <v>0.65716939790195539</v>
      </c>
    </row>
    <row r="1484" spans="1:9" x14ac:dyDescent="0.35">
      <c r="A1484" s="376" t="s">
        <v>1615</v>
      </c>
      <c r="B1484" s="376" t="s">
        <v>1609</v>
      </c>
      <c r="C1484" s="376" t="s">
        <v>644</v>
      </c>
      <c r="D1484" s="376">
        <v>2022</v>
      </c>
      <c r="E1484" s="376">
        <v>2023</v>
      </c>
      <c r="F1484" s="376">
        <v>1</v>
      </c>
      <c r="G1484" s="376">
        <v>20148.813739673951</v>
      </c>
      <c r="H1484" s="376">
        <v>0</v>
      </c>
      <c r="I1484" s="376">
        <v>0.65716939790195539</v>
      </c>
    </row>
    <row r="1485" spans="1:9" x14ac:dyDescent="0.35">
      <c r="A1485" s="376" t="s">
        <v>1615</v>
      </c>
      <c r="B1485" s="376" t="s">
        <v>1609</v>
      </c>
      <c r="C1485" s="376" t="s">
        <v>628</v>
      </c>
      <c r="D1485" s="376">
        <v>2022</v>
      </c>
      <c r="E1485" s="376">
        <v>2023</v>
      </c>
      <c r="F1485" s="376">
        <v>1</v>
      </c>
      <c r="G1485" s="376">
        <v>20148.813739673951</v>
      </c>
      <c r="H1485" s="376">
        <v>0</v>
      </c>
      <c r="I1485" s="376">
        <v>0.65716939790195539</v>
      </c>
    </row>
    <row r="1486" spans="1:9" x14ac:dyDescent="0.35">
      <c r="A1486" s="376" t="s">
        <v>1615</v>
      </c>
      <c r="B1486" s="376" t="s">
        <v>1609</v>
      </c>
      <c r="C1486" s="376" t="s">
        <v>1051</v>
      </c>
      <c r="D1486" s="376">
        <v>2022</v>
      </c>
      <c r="E1486" s="376">
        <v>2023</v>
      </c>
      <c r="F1486" s="376">
        <v>1</v>
      </c>
      <c r="G1486" s="376">
        <v>20148.813739673951</v>
      </c>
      <c r="H1486" s="376">
        <v>0</v>
      </c>
      <c r="I1486" s="376">
        <v>0.65716939790195539</v>
      </c>
    </row>
    <row r="1487" spans="1:9" x14ac:dyDescent="0.35">
      <c r="A1487" s="376" t="s">
        <v>1615</v>
      </c>
      <c r="B1487" s="376" t="s">
        <v>1609</v>
      </c>
      <c r="C1487" s="376" t="s">
        <v>1054</v>
      </c>
      <c r="D1487" s="376">
        <v>2022</v>
      </c>
      <c r="E1487" s="376">
        <v>2023</v>
      </c>
      <c r="F1487" s="376">
        <v>1</v>
      </c>
      <c r="G1487" s="376">
        <v>20148.813739673951</v>
      </c>
      <c r="H1487" s="376">
        <v>0</v>
      </c>
      <c r="I1487" s="376">
        <v>0.65716939790195539</v>
      </c>
    </row>
    <row r="1488" spans="1:9" x14ac:dyDescent="0.35">
      <c r="A1488" s="376" t="s">
        <v>1615</v>
      </c>
      <c r="B1488" s="376" t="s">
        <v>1609</v>
      </c>
      <c r="C1488" s="376" t="s">
        <v>1046</v>
      </c>
      <c r="D1488" s="376">
        <v>2022</v>
      </c>
      <c r="E1488" s="376">
        <v>2024</v>
      </c>
      <c r="F1488" s="376">
        <v>1</v>
      </c>
      <c r="G1488" s="376">
        <v>20148.813739673951</v>
      </c>
      <c r="H1488" s="376">
        <v>0</v>
      </c>
      <c r="I1488" s="376">
        <v>0.65716939790195539</v>
      </c>
    </row>
    <row r="1489" spans="1:9" x14ac:dyDescent="0.35">
      <c r="A1489" s="376" t="s">
        <v>1615</v>
      </c>
      <c r="B1489" s="376" t="s">
        <v>1609</v>
      </c>
      <c r="C1489" s="376" t="s">
        <v>644</v>
      </c>
      <c r="D1489" s="376">
        <v>2022</v>
      </c>
      <c r="E1489" s="376">
        <v>2024</v>
      </c>
      <c r="F1489" s="376">
        <v>1</v>
      </c>
      <c r="G1489" s="376">
        <v>20148.813739673951</v>
      </c>
      <c r="H1489" s="376">
        <v>0</v>
      </c>
      <c r="I1489" s="376">
        <v>0.65716939790195539</v>
      </c>
    </row>
    <row r="1490" spans="1:9" x14ac:dyDescent="0.35">
      <c r="A1490" s="376" t="s">
        <v>1615</v>
      </c>
      <c r="B1490" s="376" t="s">
        <v>1609</v>
      </c>
      <c r="C1490" s="376" t="s">
        <v>628</v>
      </c>
      <c r="D1490" s="376">
        <v>2022</v>
      </c>
      <c r="E1490" s="376">
        <v>2024</v>
      </c>
      <c r="F1490" s="376">
        <v>1</v>
      </c>
      <c r="G1490" s="376">
        <v>20148.813739673951</v>
      </c>
      <c r="H1490" s="376">
        <v>0</v>
      </c>
      <c r="I1490" s="376">
        <v>0.65716939790195539</v>
      </c>
    </row>
    <row r="1491" spans="1:9" x14ac:dyDescent="0.35">
      <c r="A1491" s="376" t="s">
        <v>1615</v>
      </c>
      <c r="B1491" s="376" t="s">
        <v>1609</v>
      </c>
      <c r="C1491" s="376" t="s">
        <v>1051</v>
      </c>
      <c r="D1491" s="376">
        <v>2022</v>
      </c>
      <c r="E1491" s="376">
        <v>2024</v>
      </c>
      <c r="F1491" s="376">
        <v>1</v>
      </c>
      <c r="G1491" s="376">
        <v>20148.813739673951</v>
      </c>
      <c r="H1491" s="376">
        <v>0</v>
      </c>
      <c r="I1491" s="376">
        <v>0.65716939790195539</v>
      </c>
    </row>
    <row r="1492" spans="1:9" x14ac:dyDescent="0.35">
      <c r="A1492" s="376" t="s">
        <v>1615</v>
      </c>
      <c r="B1492" s="376" t="s">
        <v>1609</v>
      </c>
      <c r="C1492" s="376" t="s">
        <v>1054</v>
      </c>
      <c r="D1492" s="376">
        <v>2022</v>
      </c>
      <c r="E1492" s="376">
        <v>2024</v>
      </c>
      <c r="F1492" s="376">
        <v>1</v>
      </c>
      <c r="G1492" s="376">
        <v>20148.813739673951</v>
      </c>
      <c r="H1492" s="376">
        <v>0</v>
      </c>
      <c r="I1492" s="376">
        <v>0.65716939790195539</v>
      </c>
    </row>
    <row r="1493" spans="1:9" x14ac:dyDescent="0.35">
      <c r="A1493" s="376" t="s">
        <v>1615</v>
      </c>
      <c r="B1493" s="376" t="s">
        <v>1609</v>
      </c>
      <c r="C1493" s="376" t="s">
        <v>1046</v>
      </c>
      <c r="D1493" s="376">
        <v>2022</v>
      </c>
      <c r="E1493" s="376">
        <v>2025</v>
      </c>
      <c r="F1493" s="376">
        <v>1</v>
      </c>
      <c r="G1493" s="376">
        <v>20148.813739673951</v>
      </c>
      <c r="H1493" s="376">
        <v>0</v>
      </c>
      <c r="I1493" s="376">
        <v>0.65716939790195539</v>
      </c>
    </row>
    <row r="1494" spans="1:9" x14ac:dyDescent="0.35">
      <c r="A1494" s="376" t="s">
        <v>1615</v>
      </c>
      <c r="B1494" s="376" t="s">
        <v>1609</v>
      </c>
      <c r="C1494" s="376" t="s">
        <v>644</v>
      </c>
      <c r="D1494" s="376">
        <v>2022</v>
      </c>
      <c r="E1494" s="376">
        <v>2025</v>
      </c>
      <c r="F1494" s="376">
        <v>1</v>
      </c>
      <c r="G1494" s="376">
        <v>20148.813739673951</v>
      </c>
      <c r="H1494" s="376">
        <v>0</v>
      </c>
      <c r="I1494" s="376">
        <v>0.65716939790195539</v>
      </c>
    </row>
    <row r="1495" spans="1:9" x14ac:dyDescent="0.35">
      <c r="A1495" s="376" t="s">
        <v>1615</v>
      </c>
      <c r="B1495" s="376" t="s">
        <v>1609</v>
      </c>
      <c r="C1495" s="376" t="s">
        <v>628</v>
      </c>
      <c r="D1495" s="376">
        <v>2022</v>
      </c>
      <c r="E1495" s="376">
        <v>2025</v>
      </c>
      <c r="F1495" s="376">
        <v>1</v>
      </c>
      <c r="G1495" s="376">
        <v>20148.813739673951</v>
      </c>
      <c r="H1495" s="376">
        <v>0</v>
      </c>
      <c r="I1495" s="376">
        <v>0.65716939790195539</v>
      </c>
    </row>
    <row r="1496" spans="1:9" x14ac:dyDescent="0.35">
      <c r="A1496" s="376" t="s">
        <v>1615</v>
      </c>
      <c r="B1496" s="376" t="s">
        <v>1609</v>
      </c>
      <c r="C1496" s="376" t="s">
        <v>1051</v>
      </c>
      <c r="D1496" s="376">
        <v>2022</v>
      </c>
      <c r="E1496" s="376">
        <v>2025</v>
      </c>
      <c r="F1496" s="376">
        <v>1</v>
      </c>
      <c r="G1496" s="376">
        <v>20148.813739673951</v>
      </c>
      <c r="H1496" s="376">
        <v>0</v>
      </c>
      <c r="I1496" s="376">
        <v>0.65716939790195539</v>
      </c>
    </row>
    <row r="1497" spans="1:9" x14ac:dyDescent="0.35">
      <c r="A1497" s="376" t="s">
        <v>1615</v>
      </c>
      <c r="B1497" s="376" t="s">
        <v>1609</v>
      </c>
      <c r="C1497" s="376" t="s">
        <v>1054</v>
      </c>
      <c r="D1497" s="376">
        <v>2022</v>
      </c>
      <c r="E1497" s="376">
        <v>2025</v>
      </c>
      <c r="F1497" s="376">
        <v>1</v>
      </c>
      <c r="G1497" s="376">
        <v>20148.813739673951</v>
      </c>
      <c r="H1497" s="376">
        <v>0</v>
      </c>
      <c r="I1497" s="376">
        <v>0.65716939790195539</v>
      </c>
    </row>
    <row r="1498" spans="1:9" x14ac:dyDescent="0.35">
      <c r="A1498" s="376" t="s">
        <v>1615</v>
      </c>
      <c r="B1498" s="376" t="s">
        <v>1609</v>
      </c>
      <c r="C1498" s="376" t="s">
        <v>1046</v>
      </c>
      <c r="D1498" s="376">
        <v>2022</v>
      </c>
      <c r="E1498" s="376">
        <v>2026</v>
      </c>
      <c r="F1498" s="376">
        <v>1</v>
      </c>
      <c r="G1498" s="376">
        <v>20148.813739673951</v>
      </c>
      <c r="H1498" s="376">
        <v>0</v>
      </c>
      <c r="I1498" s="376">
        <v>0.65716939790195539</v>
      </c>
    </row>
    <row r="1499" spans="1:9" x14ac:dyDescent="0.35">
      <c r="A1499" s="376" t="s">
        <v>1615</v>
      </c>
      <c r="B1499" s="376" t="s">
        <v>1609</v>
      </c>
      <c r="C1499" s="376" t="s">
        <v>644</v>
      </c>
      <c r="D1499" s="376">
        <v>2022</v>
      </c>
      <c r="E1499" s="376">
        <v>2026</v>
      </c>
      <c r="F1499" s="376">
        <v>1</v>
      </c>
      <c r="G1499" s="376">
        <v>20148.813739673951</v>
      </c>
      <c r="H1499" s="376">
        <v>0</v>
      </c>
      <c r="I1499" s="376">
        <v>0.65716939790195539</v>
      </c>
    </row>
    <row r="1500" spans="1:9" x14ac:dyDescent="0.35">
      <c r="A1500" s="376" t="s">
        <v>1615</v>
      </c>
      <c r="B1500" s="376" t="s">
        <v>1609</v>
      </c>
      <c r="C1500" s="376" t="s">
        <v>628</v>
      </c>
      <c r="D1500" s="376">
        <v>2022</v>
      </c>
      <c r="E1500" s="376">
        <v>2026</v>
      </c>
      <c r="F1500" s="376">
        <v>1</v>
      </c>
      <c r="G1500" s="376">
        <v>20148.813739673951</v>
      </c>
      <c r="H1500" s="376">
        <v>0</v>
      </c>
      <c r="I1500" s="376">
        <v>0.65716939790195539</v>
      </c>
    </row>
    <row r="1501" spans="1:9" x14ac:dyDescent="0.35">
      <c r="A1501" s="376" t="s">
        <v>1615</v>
      </c>
      <c r="B1501" s="376" t="s">
        <v>1609</v>
      </c>
      <c r="C1501" s="376" t="s">
        <v>1051</v>
      </c>
      <c r="D1501" s="376">
        <v>2022</v>
      </c>
      <c r="E1501" s="376">
        <v>2026</v>
      </c>
      <c r="F1501" s="376">
        <v>1</v>
      </c>
      <c r="G1501" s="376">
        <v>20148.813739673951</v>
      </c>
      <c r="H1501" s="376">
        <v>0</v>
      </c>
      <c r="I1501" s="376">
        <v>0.65716939790195539</v>
      </c>
    </row>
    <row r="1502" spans="1:9" x14ac:dyDescent="0.35">
      <c r="A1502" s="376" t="s">
        <v>1615</v>
      </c>
      <c r="B1502" s="376" t="s">
        <v>1609</v>
      </c>
      <c r="C1502" s="376" t="s">
        <v>1054</v>
      </c>
      <c r="D1502" s="376">
        <v>2022</v>
      </c>
      <c r="E1502" s="376">
        <v>2026</v>
      </c>
      <c r="F1502" s="376">
        <v>1</v>
      </c>
      <c r="G1502" s="376">
        <v>20148.813739673951</v>
      </c>
      <c r="H1502" s="376">
        <v>0</v>
      </c>
      <c r="I1502" s="376">
        <v>0.65716939790195539</v>
      </c>
    </row>
    <row r="1503" spans="1:9" x14ac:dyDescent="0.35">
      <c r="A1503" s="376" t="s">
        <v>1615</v>
      </c>
      <c r="B1503" s="376" t="s">
        <v>1609</v>
      </c>
      <c r="C1503" s="376" t="s">
        <v>1046</v>
      </c>
      <c r="D1503" s="376">
        <v>2022</v>
      </c>
      <c r="E1503" s="376">
        <v>2027</v>
      </c>
      <c r="F1503" s="376">
        <v>1</v>
      </c>
      <c r="G1503" s="376">
        <v>20148.813739673951</v>
      </c>
      <c r="H1503" s="376">
        <v>0</v>
      </c>
      <c r="I1503" s="376">
        <v>0.65716939790195539</v>
      </c>
    </row>
    <row r="1504" spans="1:9" x14ac:dyDescent="0.35">
      <c r="A1504" s="376" t="s">
        <v>1615</v>
      </c>
      <c r="B1504" s="376" t="s">
        <v>1609</v>
      </c>
      <c r="C1504" s="376" t="s">
        <v>644</v>
      </c>
      <c r="D1504" s="376">
        <v>2022</v>
      </c>
      <c r="E1504" s="376">
        <v>2027</v>
      </c>
      <c r="F1504" s="376">
        <v>1</v>
      </c>
      <c r="G1504" s="376">
        <v>20148.813739673951</v>
      </c>
      <c r="H1504" s="376">
        <v>0</v>
      </c>
      <c r="I1504" s="376">
        <v>0.65716939790195539</v>
      </c>
    </row>
    <row r="1505" spans="1:9" x14ac:dyDescent="0.35">
      <c r="A1505" s="376" t="s">
        <v>1615</v>
      </c>
      <c r="B1505" s="376" t="s">
        <v>1609</v>
      </c>
      <c r="C1505" s="376" t="s">
        <v>628</v>
      </c>
      <c r="D1505" s="376">
        <v>2022</v>
      </c>
      <c r="E1505" s="376">
        <v>2027</v>
      </c>
      <c r="F1505" s="376">
        <v>1</v>
      </c>
      <c r="G1505" s="376">
        <v>20148.813739673951</v>
      </c>
      <c r="H1505" s="376">
        <v>0</v>
      </c>
      <c r="I1505" s="376">
        <v>0.65716939790195539</v>
      </c>
    </row>
    <row r="1506" spans="1:9" x14ac:dyDescent="0.35">
      <c r="A1506" s="376" t="s">
        <v>1615</v>
      </c>
      <c r="B1506" s="376" t="s">
        <v>1609</v>
      </c>
      <c r="C1506" s="376" t="s">
        <v>1051</v>
      </c>
      <c r="D1506" s="376">
        <v>2022</v>
      </c>
      <c r="E1506" s="376">
        <v>2027</v>
      </c>
      <c r="F1506" s="376">
        <v>1</v>
      </c>
      <c r="G1506" s="376">
        <v>20148.813739673951</v>
      </c>
      <c r="H1506" s="376">
        <v>0</v>
      </c>
      <c r="I1506" s="376">
        <v>0.65716939790195539</v>
      </c>
    </row>
    <row r="1507" spans="1:9" x14ac:dyDescent="0.35">
      <c r="A1507" s="376" t="s">
        <v>1615</v>
      </c>
      <c r="B1507" s="376" t="s">
        <v>1609</v>
      </c>
      <c r="C1507" s="376" t="s">
        <v>1054</v>
      </c>
      <c r="D1507" s="376">
        <v>2022</v>
      </c>
      <c r="E1507" s="376">
        <v>2027</v>
      </c>
      <c r="F1507" s="376">
        <v>1</v>
      </c>
      <c r="G1507" s="376">
        <v>20148.813739673951</v>
      </c>
      <c r="H1507" s="376">
        <v>0</v>
      </c>
      <c r="I1507" s="376">
        <v>0.65716939790195539</v>
      </c>
    </row>
    <row r="1508" spans="1:9" x14ac:dyDescent="0.35">
      <c r="A1508" s="376" t="s">
        <v>1615</v>
      </c>
      <c r="B1508" s="376" t="s">
        <v>1609</v>
      </c>
      <c r="C1508" s="376" t="s">
        <v>1046</v>
      </c>
      <c r="D1508" s="376">
        <v>2022</v>
      </c>
      <c r="E1508" s="376">
        <v>2028</v>
      </c>
      <c r="F1508" s="376">
        <v>1</v>
      </c>
      <c r="G1508" s="376">
        <v>20148.813739673951</v>
      </c>
      <c r="H1508" s="376">
        <v>0</v>
      </c>
      <c r="I1508" s="376">
        <v>0.65716939790195539</v>
      </c>
    </row>
    <row r="1509" spans="1:9" x14ac:dyDescent="0.35">
      <c r="A1509" s="376" t="s">
        <v>1615</v>
      </c>
      <c r="B1509" s="376" t="s">
        <v>1609</v>
      </c>
      <c r="C1509" s="376" t="s">
        <v>644</v>
      </c>
      <c r="D1509" s="376">
        <v>2022</v>
      </c>
      <c r="E1509" s="376">
        <v>2028</v>
      </c>
      <c r="F1509" s="376">
        <v>1</v>
      </c>
      <c r="G1509" s="376">
        <v>20148.813739673951</v>
      </c>
      <c r="H1509" s="376">
        <v>0</v>
      </c>
      <c r="I1509" s="376">
        <v>0.65716939790195539</v>
      </c>
    </row>
    <row r="1510" spans="1:9" x14ac:dyDescent="0.35">
      <c r="A1510" s="376" t="s">
        <v>1615</v>
      </c>
      <c r="B1510" s="376" t="s">
        <v>1609</v>
      </c>
      <c r="C1510" s="376" t="s">
        <v>628</v>
      </c>
      <c r="D1510" s="376">
        <v>2022</v>
      </c>
      <c r="E1510" s="376">
        <v>2028</v>
      </c>
      <c r="F1510" s="376">
        <v>1</v>
      </c>
      <c r="G1510" s="376">
        <v>20148.813739673951</v>
      </c>
      <c r="H1510" s="376">
        <v>0</v>
      </c>
      <c r="I1510" s="376">
        <v>0.65716939790195539</v>
      </c>
    </row>
    <row r="1511" spans="1:9" x14ac:dyDescent="0.35">
      <c r="A1511" s="376" t="s">
        <v>1615</v>
      </c>
      <c r="B1511" s="376" t="s">
        <v>1609</v>
      </c>
      <c r="C1511" s="376" t="s">
        <v>1051</v>
      </c>
      <c r="D1511" s="376">
        <v>2022</v>
      </c>
      <c r="E1511" s="376">
        <v>2028</v>
      </c>
      <c r="F1511" s="376">
        <v>1</v>
      </c>
      <c r="G1511" s="376">
        <v>20148.813739673951</v>
      </c>
      <c r="H1511" s="376">
        <v>0</v>
      </c>
      <c r="I1511" s="376">
        <v>0.65716939790195539</v>
      </c>
    </row>
    <row r="1512" spans="1:9" x14ac:dyDescent="0.35">
      <c r="A1512" s="376" t="s">
        <v>1615</v>
      </c>
      <c r="B1512" s="376" t="s">
        <v>1609</v>
      </c>
      <c r="C1512" s="376" t="s">
        <v>1054</v>
      </c>
      <c r="D1512" s="376">
        <v>2022</v>
      </c>
      <c r="E1512" s="376">
        <v>2028</v>
      </c>
      <c r="F1512" s="376">
        <v>1</v>
      </c>
      <c r="G1512" s="376">
        <v>20148.813739673951</v>
      </c>
      <c r="H1512" s="376">
        <v>0</v>
      </c>
      <c r="I1512" s="376">
        <v>0.65716939790195539</v>
      </c>
    </row>
    <row r="1513" spans="1:9" x14ac:dyDescent="0.35">
      <c r="A1513" s="376" t="s">
        <v>1615</v>
      </c>
      <c r="B1513" s="376" t="s">
        <v>1609</v>
      </c>
      <c r="C1513" s="376" t="s">
        <v>1046</v>
      </c>
      <c r="D1513" s="376">
        <v>2022</v>
      </c>
      <c r="E1513" s="376">
        <v>2029</v>
      </c>
      <c r="F1513" s="376">
        <v>1</v>
      </c>
      <c r="G1513" s="376">
        <v>20148.813739673951</v>
      </c>
      <c r="H1513" s="376">
        <v>0</v>
      </c>
      <c r="I1513" s="376">
        <v>0.65716939790195539</v>
      </c>
    </row>
    <row r="1514" spans="1:9" x14ac:dyDescent="0.35">
      <c r="A1514" s="376" t="s">
        <v>1615</v>
      </c>
      <c r="B1514" s="376" t="s">
        <v>1609</v>
      </c>
      <c r="C1514" s="376" t="s">
        <v>644</v>
      </c>
      <c r="D1514" s="376">
        <v>2022</v>
      </c>
      <c r="E1514" s="376">
        <v>2029</v>
      </c>
      <c r="F1514" s="376">
        <v>1</v>
      </c>
      <c r="G1514" s="376">
        <v>20148.813739673951</v>
      </c>
      <c r="H1514" s="376">
        <v>0</v>
      </c>
      <c r="I1514" s="376">
        <v>0.65716939790195539</v>
      </c>
    </row>
    <row r="1515" spans="1:9" x14ac:dyDescent="0.35">
      <c r="A1515" s="376" t="s">
        <v>1615</v>
      </c>
      <c r="B1515" s="376" t="s">
        <v>1609</v>
      </c>
      <c r="C1515" s="376" t="s">
        <v>628</v>
      </c>
      <c r="D1515" s="376">
        <v>2022</v>
      </c>
      <c r="E1515" s="376">
        <v>2029</v>
      </c>
      <c r="F1515" s="376">
        <v>1</v>
      </c>
      <c r="G1515" s="376">
        <v>20148.813739673951</v>
      </c>
      <c r="H1515" s="376">
        <v>0</v>
      </c>
      <c r="I1515" s="376">
        <v>0.65716939790195539</v>
      </c>
    </row>
    <row r="1516" spans="1:9" x14ac:dyDescent="0.35">
      <c r="A1516" s="376" t="s">
        <v>1615</v>
      </c>
      <c r="B1516" s="376" t="s">
        <v>1609</v>
      </c>
      <c r="C1516" s="376" t="s">
        <v>1051</v>
      </c>
      <c r="D1516" s="376">
        <v>2022</v>
      </c>
      <c r="E1516" s="376">
        <v>2029</v>
      </c>
      <c r="F1516" s="376">
        <v>1</v>
      </c>
      <c r="G1516" s="376">
        <v>20148.813739673951</v>
      </c>
      <c r="H1516" s="376">
        <v>0</v>
      </c>
      <c r="I1516" s="376">
        <v>0.65716939790195539</v>
      </c>
    </row>
    <row r="1517" spans="1:9" x14ac:dyDescent="0.35">
      <c r="A1517" s="376" t="s">
        <v>1615</v>
      </c>
      <c r="B1517" s="376" t="s">
        <v>1609</v>
      </c>
      <c r="C1517" s="376" t="s">
        <v>1054</v>
      </c>
      <c r="D1517" s="376">
        <v>2022</v>
      </c>
      <c r="E1517" s="376">
        <v>2029</v>
      </c>
      <c r="F1517" s="376">
        <v>1</v>
      </c>
      <c r="G1517" s="376">
        <v>20148.813739673951</v>
      </c>
      <c r="H1517" s="376">
        <v>0</v>
      </c>
      <c r="I1517" s="376">
        <v>0.65716939790195539</v>
      </c>
    </row>
    <row r="1518" spans="1:9" x14ac:dyDescent="0.35">
      <c r="A1518" s="376" t="s">
        <v>1615</v>
      </c>
      <c r="B1518" s="376" t="s">
        <v>1609</v>
      </c>
      <c r="C1518" s="376" t="s">
        <v>1046</v>
      </c>
      <c r="D1518" s="376">
        <v>2022</v>
      </c>
      <c r="E1518" s="376">
        <v>2030</v>
      </c>
      <c r="F1518" s="376">
        <v>1</v>
      </c>
      <c r="G1518" s="376">
        <v>20148.813739673951</v>
      </c>
      <c r="H1518" s="376">
        <v>0</v>
      </c>
      <c r="I1518" s="376">
        <v>0.65716939790195539</v>
      </c>
    </row>
    <row r="1519" spans="1:9" x14ac:dyDescent="0.35">
      <c r="A1519" s="376" t="s">
        <v>1615</v>
      </c>
      <c r="B1519" s="376" t="s">
        <v>1609</v>
      </c>
      <c r="C1519" s="376" t="s">
        <v>644</v>
      </c>
      <c r="D1519" s="376">
        <v>2022</v>
      </c>
      <c r="E1519" s="376">
        <v>2030</v>
      </c>
      <c r="F1519" s="376">
        <v>1</v>
      </c>
      <c r="G1519" s="376">
        <v>20148.813739673951</v>
      </c>
      <c r="H1519" s="376">
        <v>0</v>
      </c>
      <c r="I1519" s="376">
        <v>0.65716939790195539</v>
      </c>
    </row>
    <row r="1520" spans="1:9" x14ac:dyDescent="0.35">
      <c r="A1520" s="376" t="s">
        <v>1615</v>
      </c>
      <c r="B1520" s="376" t="s">
        <v>1609</v>
      </c>
      <c r="C1520" s="376" t="s">
        <v>628</v>
      </c>
      <c r="D1520" s="376">
        <v>2022</v>
      </c>
      <c r="E1520" s="376">
        <v>2030</v>
      </c>
      <c r="F1520" s="376">
        <v>1</v>
      </c>
      <c r="G1520" s="376">
        <v>20148.813739673951</v>
      </c>
      <c r="H1520" s="376">
        <v>0</v>
      </c>
      <c r="I1520" s="376">
        <v>0.65716939790195539</v>
      </c>
    </row>
    <row r="1521" spans="1:9" x14ac:dyDescent="0.35">
      <c r="A1521" s="376" t="s">
        <v>1615</v>
      </c>
      <c r="B1521" s="376" t="s">
        <v>1609</v>
      </c>
      <c r="C1521" s="376" t="s">
        <v>1051</v>
      </c>
      <c r="D1521" s="376">
        <v>2022</v>
      </c>
      <c r="E1521" s="376">
        <v>2030</v>
      </c>
      <c r="F1521" s="376">
        <v>1</v>
      </c>
      <c r="G1521" s="376">
        <v>20148.813739673951</v>
      </c>
      <c r="H1521" s="376">
        <v>0</v>
      </c>
      <c r="I1521" s="376">
        <v>0.65716939790195539</v>
      </c>
    </row>
    <row r="1522" spans="1:9" x14ac:dyDescent="0.35">
      <c r="A1522" s="376" t="s">
        <v>1615</v>
      </c>
      <c r="B1522" s="376" t="s">
        <v>1609</v>
      </c>
      <c r="C1522" s="376" t="s">
        <v>1054</v>
      </c>
      <c r="D1522" s="376">
        <v>2022</v>
      </c>
      <c r="E1522" s="376">
        <v>2030</v>
      </c>
      <c r="F1522" s="376">
        <v>1</v>
      </c>
      <c r="G1522" s="376">
        <v>20148.813739673951</v>
      </c>
      <c r="H1522" s="376">
        <v>0</v>
      </c>
      <c r="I1522" s="376">
        <v>0.65716939790195539</v>
      </c>
    </row>
    <row r="1523" spans="1:9" x14ac:dyDescent="0.35">
      <c r="A1523" s="376" t="s">
        <v>1615</v>
      </c>
      <c r="B1523" s="376" t="s">
        <v>1609</v>
      </c>
      <c r="C1523" s="376" t="s">
        <v>1046</v>
      </c>
      <c r="D1523" s="376">
        <v>2022</v>
      </c>
      <c r="E1523" s="376">
        <v>2031</v>
      </c>
      <c r="F1523" s="376">
        <v>1</v>
      </c>
      <c r="G1523" s="376">
        <v>20148.813739673951</v>
      </c>
      <c r="H1523" s="376">
        <v>0</v>
      </c>
      <c r="I1523" s="376">
        <v>0.65716939790195539</v>
      </c>
    </row>
    <row r="1524" spans="1:9" x14ac:dyDescent="0.35">
      <c r="A1524" s="376" t="s">
        <v>1615</v>
      </c>
      <c r="B1524" s="376" t="s">
        <v>1609</v>
      </c>
      <c r="C1524" s="376" t="s">
        <v>644</v>
      </c>
      <c r="D1524" s="376">
        <v>2022</v>
      </c>
      <c r="E1524" s="376">
        <v>2031</v>
      </c>
      <c r="F1524" s="376">
        <v>1</v>
      </c>
      <c r="G1524" s="376">
        <v>20148.813739673951</v>
      </c>
      <c r="H1524" s="376">
        <v>0</v>
      </c>
      <c r="I1524" s="376">
        <v>0.65716939790195539</v>
      </c>
    </row>
    <row r="1525" spans="1:9" x14ac:dyDescent="0.35">
      <c r="A1525" s="376" t="s">
        <v>1615</v>
      </c>
      <c r="B1525" s="376" t="s">
        <v>1609</v>
      </c>
      <c r="C1525" s="376" t="s">
        <v>628</v>
      </c>
      <c r="D1525" s="376">
        <v>2022</v>
      </c>
      <c r="E1525" s="376">
        <v>2031</v>
      </c>
      <c r="F1525" s="376">
        <v>1</v>
      </c>
      <c r="G1525" s="376">
        <v>20148.813739673951</v>
      </c>
      <c r="H1525" s="376">
        <v>0</v>
      </c>
      <c r="I1525" s="376">
        <v>0.65716939790195539</v>
      </c>
    </row>
    <row r="1526" spans="1:9" x14ac:dyDescent="0.35">
      <c r="A1526" s="376" t="s">
        <v>1615</v>
      </c>
      <c r="B1526" s="376" t="s">
        <v>1609</v>
      </c>
      <c r="C1526" s="376" t="s">
        <v>1051</v>
      </c>
      <c r="D1526" s="376">
        <v>2022</v>
      </c>
      <c r="E1526" s="376">
        <v>2031</v>
      </c>
      <c r="F1526" s="376">
        <v>1</v>
      </c>
      <c r="G1526" s="376">
        <v>20148.813739673951</v>
      </c>
      <c r="H1526" s="376">
        <v>0</v>
      </c>
      <c r="I1526" s="376">
        <v>0.65716939790195539</v>
      </c>
    </row>
    <row r="1527" spans="1:9" x14ac:dyDescent="0.35">
      <c r="A1527" s="376" t="s">
        <v>1615</v>
      </c>
      <c r="B1527" s="376" t="s">
        <v>1609</v>
      </c>
      <c r="C1527" s="376" t="s">
        <v>1054</v>
      </c>
      <c r="D1527" s="376">
        <v>2022</v>
      </c>
      <c r="E1527" s="376">
        <v>2031</v>
      </c>
      <c r="F1527" s="376">
        <v>1</v>
      </c>
      <c r="G1527" s="376">
        <v>20148.813739673951</v>
      </c>
      <c r="H1527" s="376">
        <v>0</v>
      </c>
      <c r="I1527" s="376">
        <v>0.65716939790195539</v>
      </c>
    </row>
    <row r="1528" spans="1:9" x14ac:dyDescent="0.35">
      <c r="A1528" s="376" t="s">
        <v>1603</v>
      </c>
      <c r="B1528" s="376" t="s">
        <v>1609</v>
      </c>
      <c r="C1528" s="376" t="s">
        <v>1046</v>
      </c>
      <c r="D1528" s="376">
        <v>2022</v>
      </c>
      <c r="E1528" s="376">
        <v>2022</v>
      </c>
      <c r="F1528" s="376">
        <v>1</v>
      </c>
      <c r="G1528" s="376">
        <v>6101.463203368502</v>
      </c>
      <c r="H1528" s="376">
        <v>0</v>
      </c>
      <c r="I1528" s="376">
        <v>1</v>
      </c>
    </row>
    <row r="1529" spans="1:9" x14ac:dyDescent="0.35">
      <c r="A1529" s="376" t="s">
        <v>1603</v>
      </c>
      <c r="B1529" s="376" t="s">
        <v>1609</v>
      </c>
      <c r="C1529" s="376" t="s">
        <v>644</v>
      </c>
      <c r="D1529" s="376">
        <v>2022</v>
      </c>
      <c r="E1529" s="376">
        <v>2022</v>
      </c>
      <c r="F1529" s="376">
        <v>1</v>
      </c>
      <c r="G1529" s="376">
        <v>6101.463203368502</v>
      </c>
      <c r="H1529" s="376">
        <v>0</v>
      </c>
      <c r="I1529" s="376">
        <v>1</v>
      </c>
    </row>
    <row r="1530" spans="1:9" x14ac:dyDescent="0.35">
      <c r="A1530" s="376" t="s">
        <v>1603</v>
      </c>
      <c r="B1530" s="376" t="s">
        <v>1609</v>
      </c>
      <c r="C1530" s="376" t="s">
        <v>628</v>
      </c>
      <c r="D1530" s="376">
        <v>2022</v>
      </c>
      <c r="E1530" s="376">
        <v>2022</v>
      </c>
      <c r="F1530" s="376">
        <v>1</v>
      </c>
      <c r="G1530" s="376">
        <v>6101.463203368502</v>
      </c>
      <c r="H1530" s="376">
        <v>0</v>
      </c>
      <c r="I1530" s="376">
        <v>1</v>
      </c>
    </row>
    <row r="1531" spans="1:9" x14ac:dyDescent="0.35">
      <c r="A1531" s="376" t="s">
        <v>1603</v>
      </c>
      <c r="B1531" s="376" t="s">
        <v>1609</v>
      </c>
      <c r="C1531" s="376" t="s">
        <v>1051</v>
      </c>
      <c r="D1531" s="376">
        <v>2022</v>
      </c>
      <c r="E1531" s="376">
        <v>2022</v>
      </c>
      <c r="F1531" s="376">
        <v>1</v>
      </c>
      <c r="G1531" s="376">
        <v>6101.463203368502</v>
      </c>
      <c r="H1531" s="376">
        <v>0</v>
      </c>
      <c r="I1531" s="376">
        <v>1</v>
      </c>
    </row>
    <row r="1532" spans="1:9" x14ac:dyDescent="0.35">
      <c r="A1532" s="376" t="s">
        <v>1603</v>
      </c>
      <c r="B1532" s="376" t="s">
        <v>1609</v>
      </c>
      <c r="C1532" s="376" t="s">
        <v>1054</v>
      </c>
      <c r="D1532" s="376">
        <v>2022</v>
      </c>
      <c r="E1532" s="376">
        <v>2022</v>
      </c>
      <c r="F1532" s="376">
        <v>1</v>
      </c>
      <c r="G1532" s="376">
        <v>6101.463203368502</v>
      </c>
      <c r="H1532" s="376">
        <v>0</v>
      </c>
      <c r="I1532" s="376">
        <v>1</v>
      </c>
    </row>
    <row r="1533" spans="1:9" x14ac:dyDescent="0.35">
      <c r="A1533" s="376" t="s">
        <v>1603</v>
      </c>
      <c r="B1533" s="376" t="s">
        <v>1609</v>
      </c>
      <c r="C1533" s="376" t="s">
        <v>1046</v>
      </c>
      <c r="D1533" s="376">
        <v>2022</v>
      </c>
      <c r="E1533" s="376">
        <v>2023</v>
      </c>
      <c r="F1533" s="376">
        <v>1</v>
      </c>
      <c r="G1533" s="376">
        <v>6101.463203368502</v>
      </c>
      <c r="H1533" s="376">
        <v>0</v>
      </c>
      <c r="I1533" s="376">
        <v>1</v>
      </c>
    </row>
    <row r="1534" spans="1:9" x14ac:dyDescent="0.35">
      <c r="A1534" s="376" t="s">
        <v>1603</v>
      </c>
      <c r="B1534" s="376" t="s">
        <v>1609</v>
      </c>
      <c r="C1534" s="376" t="s">
        <v>644</v>
      </c>
      <c r="D1534" s="376">
        <v>2022</v>
      </c>
      <c r="E1534" s="376">
        <v>2023</v>
      </c>
      <c r="F1534" s="376">
        <v>1</v>
      </c>
      <c r="G1534" s="376">
        <v>6101.463203368502</v>
      </c>
      <c r="H1534" s="376">
        <v>0</v>
      </c>
      <c r="I1534" s="376">
        <v>1</v>
      </c>
    </row>
    <row r="1535" spans="1:9" x14ac:dyDescent="0.35">
      <c r="A1535" s="376" t="s">
        <v>1603</v>
      </c>
      <c r="B1535" s="376" t="s">
        <v>1609</v>
      </c>
      <c r="C1535" s="376" t="s">
        <v>628</v>
      </c>
      <c r="D1535" s="376">
        <v>2022</v>
      </c>
      <c r="E1535" s="376">
        <v>2023</v>
      </c>
      <c r="F1535" s="376">
        <v>1</v>
      </c>
      <c r="G1535" s="376">
        <v>6101.463203368502</v>
      </c>
      <c r="H1535" s="376">
        <v>0</v>
      </c>
      <c r="I1535" s="376">
        <v>1</v>
      </c>
    </row>
    <row r="1536" spans="1:9" x14ac:dyDescent="0.35">
      <c r="A1536" s="376" t="s">
        <v>1603</v>
      </c>
      <c r="B1536" s="376" t="s">
        <v>1609</v>
      </c>
      <c r="C1536" s="376" t="s">
        <v>1051</v>
      </c>
      <c r="D1536" s="376">
        <v>2022</v>
      </c>
      <c r="E1536" s="376">
        <v>2023</v>
      </c>
      <c r="F1536" s="376">
        <v>1</v>
      </c>
      <c r="G1536" s="376">
        <v>6101.463203368502</v>
      </c>
      <c r="H1536" s="376">
        <v>0</v>
      </c>
      <c r="I1536" s="376">
        <v>1</v>
      </c>
    </row>
    <row r="1537" spans="1:9" x14ac:dyDescent="0.35">
      <c r="A1537" s="376" t="s">
        <v>1603</v>
      </c>
      <c r="B1537" s="376" t="s">
        <v>1609</v>
      </c>
      <c r="C1537" s="376" t="s">
        <v>1054</v>
      </c>
      <c r="D1537" s="376">
        <v>2022</v>
      </c>
      <c r="E1537" s="376">
        <v>2023</v>
      </c>
      <c r="F1537" s="376">
        <v>1</v>
      </c>
      <c r="G1537" s="376">
        <v>6101.463203368502</v>
      </c>
      <c r="H1537" s="376">
        <v>0</v>
      </c>
      <c r="I1537" s="376">
        <v>1</v>
      </c>
    </row>
    <row r="1538" spans="1:9" x14ac:dyDescent="0.35">
      <c r="A1538" s="376" t="s">
        <v>1603</v>
      </c>
      <c r="B1538" s="376" t="s">
        <v>1609</v>
      </c>
      <c r="C1538" s="376" t="s">
        <v>1046</v>
      </c>
      <c r="D1538" s="376">
        <v>2022</v>
      </c>
      <c r="E1538" s="376">
        <v>2024</v>
      </c>
      <c r="F1538" s="376">
        <v>1</v>
      </c>
      <c r="G1538" s="376">
        <v>6101.463203368502</v>
      </c>
      <c r="H1538" s="376">
        <v>0</v>
      </c>
      <c r="I1538" s="376">
        <v>1</v>
      </c>
    </row>
    <row r="1539" spans="1:9" x14ac:dyDescent="0.35">
      <c r="A1539" s="376" t="s">
        <v>1603</v>
      </c>
      <c r="B1539" s="376" t="s">
        <v>1609</v>
      </c>
      <c r="C1539" s="376" t="s">
        <v>644</v>
      </c>
      <c r="D1539" s="376">
        <v>2022</v>
      </c>
      <c r="E1539" s="376">
        <v>2024</v>
      </c>
      <c r="F1539" s="376">
        <v>1</v>
      </c>
      <c r="G1539" s="376">
        <v>6101.463203368502</v>
      </c>
      <c r="H1539" s="376">
        <v>0</v>
      </c>
      <c r="I1539" s="376">
        <v>1</v>
      </c>
    </row>
    <row r="1540" spans="1:9" x14ac:dyDescent="0.35">
      <c r="A1540" s="376" t="s">
        <v>1603</v>
      </c>
      <c r="B1540" s="376" t="s">
        <v>1609</v>
      </c>
      <c r="C1540" s="376" t="s">
        <v>628</v>
      </c>
      <c r="D1540" s="376">
        <v>2022</v>
      </c>
      <c r="E1540" s="376">
        <v>2024</v>
      </c>
      <c r="F1540" s="376">
        <v>1</v>
      </c>
      <c r="G1540" s="376">
        <v>6101.463203368502</v>
      </c>
      <c r="H1540" s="376">
        <v>0</v>
      </c>
      <c r="I1540" s="376">
        <v>1</v>
      </c>
    </row>
    <row r="1541" spans="1:9" x14ac:dyDescent="0.35">
      <c r="A1541" s="376" t="s">
        <v>1603</v>
      </c>
      <c r="B1541" s="376" t="s">
        <v>1609</v>
      </c>
      <c r="C1541" s="376" t="s">
        <v>1051</v>
      </c>
      <c r="D1541" s="376">
        <v>2022</v>
      </c>
      <c r="E1541" s="376">
        <v>2024</v>
      </c>
      <c r="F1541" s="376">
        <v>1</v>
      </c>
      <c r="G1541" s="376">
        <v>6101.463203368502</v>
      </c>
      <c r="H1541" s="376">
        <v>0</v>
      </c>
      <c r="I1541" s="376">
        <v>1</v>
      </c>
    </row>
    <row r="1542" spans="1:9" x14ac:dyDescent="0.35">
      <c r="A1542" s="376" t="s">
        <v>1603</v>
      </c>
      <c r="B1542" s="376" t="s">
        <v>1609</v>
      </c>
      <c r="C1542" s="376" t="s">
        <v>1054</v>
      </c>
      <c r="D1542" s="376">
        <v>2022</v>
      </c>
      <c r="E1542" s="376">
        <v>2024</v>
      </c>
      <c r="F1542" s="376">
        <v>1</v>
      </c>
      <c r="G1542" s="376">
        <v>6101.463203368502</v>
      </c>
      <c r="H1542" s="376">
        <v>0</v>
      </c>
      <c r="I1542" s="376">
        <v>1</v>
      </c>
    </row>
    <row r="1543" spans="1:9" x14ac:dyDescent="0.35">
      <c r="A1543" s="376" t="s">
        <v>1603</v>
      </c>
      <c r="B1543" s="376" t="s">
        <v>1609</v>
      </c>
      <c r="C1543" s="376" t="s">
        <v>1046</v>
      </c>
      <c r="D1543" s="376">
        <v>2022</v>
      </c>
      <c r="E1543" s="376">
        <v>2025</v>
      </c>
      <c r="F1543" s="376">
        <v>1</v>
      </c>
      <c r="G1543" s="376">
        <v>6101.463203368502</v>
      </c>
      <c r="H1543" s="376">
        <v>0</v>
      </c>
      <c r="I1543" s="376">
        <v>1</v>
      </c>
    </row>
    <row r="1544" spans="1:9" x14ac:dyDescent="0.35">
      <c r="A1544" s="376" t="s">
        <v>1603</v>
      </c>
      <c r="B1544" s="376" t="s">
        <v>1609</v>
      </c>
      <c r="C1544" s="376" t="s">
        <v>644</v>
      </c>
      <c r="D1544" s="376">
        <v>2022</v>
      </c>
      <c r="E1544" s="376">
        <v>2025</v>
      </c>
      <c r="F1544" s="376">
        <v>1</v>
      </c>
      <c r="G1544" s="376">
        <v>6101.463203368502</v>
      </c>
      <c r="H1544" s="376">
        <v>0</v>
      </c>
      <c r="I1544" s="376">
        <v>1</v>
      </c>
    </row>
    <row r="1545" spans="1:9" x14ac:dyDescent="0.35">
      <c r="A1545" s="376" t="s">
        <v>1603</v>
      </c>
      <c r="B1545" s="376" t="s">
        <v>1609</v>
      </c>
      <c r="C1545" s="376" t="s">
        <v>628</v>
      </c>
      <c r="D1545" s="376">
        <v>2022</v>
      </c>
      <c r="E1545" s="376">
        <v>2025</v>
      </c>
      <c r="F1545" s="376">
        <v>1</v>
      </c>
      <c r="G1545" s="376">
        <v>6101.463203368502</v>
      </c>
      <c r="H1545" s="376">
        <v>0</v>
      </c>
      <c r="I1545" s="376">
        <v>1</v>
      </c>
    </row>
    <row r="1546" spans="1:9" x14ac:dyDescent="0.35">
      <c r="A1546" s="376" t="s">
        <v>1603</v>
      </c>
      <c r="B1546" s="376" t="s">
        <v>1609</v>
      </c>
      <c r="C1546" s="376" t="s">
        <v>1051</v>
      </c>
      <c r="D1546" s="376">
        <v>2022</v>
      </c>
      <c r="E1546" s="376">
        <v>2025</v>
      </c>
      <c r="F1546" s="376">
        <v>1</v>
      </c>
      <c r="G1546" s="376">
        <v>6101.463203368502</v>
      </c>
      <c r="H1546" s="376">
        <v>0</v>
      </c>
      <c r="I1546" s="376">
        <v>1</v>
      </c>
    </row>
    <row r="1547" spans="1:9" x14ac:dyDescent="0.35">
      <c r="A1547" s="376" t="s">
        <v>1603</v>
      </c>
      <c r="B1547" s="376" t="s">
        <v>1609</v>
      </c>
      <c r="C1547" s="376" t="s">
        <v>1054</v>
      </c>
      <c r="D1547" s="376">
        <v>2022</v>
      </c>
      <c r="E1547" s="376">
        <v>2025</v>
      </c>
      <c r="F1547" s="376">
        <v>1</v>
      </c>
      <c r="G1547" s="376">
        <v>6101.463203368502</v>
      </c>
      <c r="H1547" s="376">
        <v>0</v>
      </c>
      <c r="I1547" s="376">
        <v>1</v>
      </c>
    </row>
    <row r="1548" spans="1:9" x14ac:dyDescent="0.35">
      <c r="A1548" s="376" t="s">
        <v>1603</v>
      </c>
      <c r="B1548" s="376" t="s">
        <v>1609</v>
      </c>
      <c r="C1548" s="376" t="s">
        <v>1046</v>
      </c>
      <c r="D1548" s="376">
        <v>2022</v>
      </c>
      <c r="E1548" s="376">
        <v>2026</v>
      </c>
      <c r="F1548" s="376">
        <v>1</v>
      </c>
      <c r="G1548" s="376">
        <v>6101.463203368502</v>
      </c>
      <c r="H1548" s="376">
        <v>0</v>
      </c>
      <c r="I1548" s="376">
        <v>1</v>
      </c>
    </row>
    <row r="1549" spans="1:9" x14ac:dyDescent="0.35">
      <c r="A1549" s="376" t="s">
        <v>1603</v>
      </c>
      <c r="B1549" s="376" t="s">
        <v>1609</v>
      </c>
      <c r="C1549" s="376" t="s">
        <v>644</v>
      </c>
      <c r="D1549" s="376">
        <v>2022</v>
      </c>
      <c r="E1549" s="376">
        <v>2026</v>
      </c>
      <c r="F1549" s="376">
        <v>1</v>
      </c>
      <c r="G1549" s="376">
        <v>6101.463203368502</v>
      </c>
      <c r="H1549" s="376">
        <v>0</v>
      </c>
      <c r="I1549" s="376">
        <v>1</v>
      </c>
    </row>
    <row r="1550" spans="1:9" x14ac:dyDescent="0.35">
      <c r="A1550" s="376" t="s">
        <v>1603</v>
      </c>
      <c r="B1550" s="376" t="s">
        <v>1609</v>
      </c>
      <c r="C1550" s="376" t="s">
        <v>628</v>
      </c>
      <c r="D1550" s="376">
        <v>2022</v>
      </c>
      <c r="E1550" s="376">
        <v>2026</v>
      </c>
      <c r="F1550" s="376">
        <v>1</v>
      </c>
      <c r="G1550" s="376">
        <v>6101.463203368502</v>
      </c>
      <c r="H1550" s="376">
        <v>0</v>
      </c>
      <c r="I1550" s="376">
        <v>1</v>
      </c>
    </row>
    <row r="1551" spans="1:9" x14ac:dyDescent="0.35">
      <c r="A1551" s="376" t="s">
        <v>1603</v>
      </c>
      <c r="B1551" s="376" t="s">
        <v>1609</v>
      </c>
      <c r="C1551" s="376" t="s">
        <v>1051</v>
      </c>
      <c r="D1551" s="376">
        <v>2022</v>
      </c>
      <c r="E1551" s="376">
        <v>2026</v>
      </c>
      <c r="F1551" s="376">
        <v>1</v>
      </c>
      <c r="G1551" s="376">
        <v>6101.463203368502</v>
      </c>
      <c r="H1551" s="376">
        <v>0</v>
      </c>
      <c r="I1551" s="376">
        <v>1</v>
      </c>
    </row>
    <row r="1552" spans="1:9" x14ac:dyDescent="0.35">
      <c r="A1552" s="376" t="s">
        <v>1603</v>
      </c>
      <c r="B1552" s="376" t="s">
        <v>1609</v>
      </c>
      <c r="C1552" s="376" t="s">
        <v>1054</v>
      </c>
      <c r="D1552" s="376">
        <v>2022</v>
      </c>
      <c r="E1552" s="376">
        <v>2026</v>
      </c>
      <c r="F1552" s="376">
        <v>1</v>
      </c>
      <c r="G1552" s="376">
        <v>6101.463203368502</v>
      </c>
      <c r="H1552" s="376">
        <v>0</v>
      </c>
      <c r="I1552" s="376">
        <v>1</v>
      </c>
    </row>
    <row r="1553" spans="1:9" x14ac:dyDescent="0.35">
      <c r="A1553" s="376" t="s">
        <v>1603</v>
      </c>
      <c r="B1553" s="376" t="s">
        <v>1609</v>
      </c>
      <c r="C1553" s="376" t="s">
        <v>1046</v>
      </c>
      <c r="D1553" s="376">
        <v>2022</v>
      </c>
      <c r="E1553" s="376">
        <v>2027</v>
      </c>
      <c r="F1553" s="376">
        <v>1</v>
      </c>
      <c r="G1553" s="376">
        <v>6101.463203368502</v>
      </c>
      <c r="H1553" s="376">
        <v>0</v>
      </c>
      <c r="I1553" s="376">
        <v>1</v>
      </c>
    </row>
    <row r="1554" spans="1:9" x14ac:dyDescent="0.35">
      <c r="A1554" s="376" t="s">
        <v>1603</v>
      </c>
      <c r="B1554" s="376" t="s">
        <v>1609</v>
      </c>
      <c r="C1554" s="376" t="s">
        <v>644</v>
      </c>
      <c r="D1554" s="376">
        <v>2022</v>
      </c>
      <c r="E1554" s="376">
        <v>2027</v>
      </c>
      <c r="F1554" s="376">
        <v>1</v>
      </c>
      <c r="G1554" s="376">
        <v>6101.463203368502</v>
      </c>
      <c r="H1554" s="376">
        <v>0</v>
      </c>
      <c r="I1554" s="376">
        <v>1</v>
      </c>
    </row>
    <row r="1555" spans="1:9" x14ac:dyDescent="0.35">
      <c r="A1555" s="376" t="s">
        <v>1603</v>
      </c>
      <c r="B1555" s="376" t="s">
        <v>1609</v>
      </c>
      <c r="C1555" s="376" t="s">
        <v>628</v>
      </c>
      <c r="D1555" s="376">
        <v>2022</v>
      </c>
      <c r="E1555" s="376">
        <v>2027</v>
      </c>
      <c r="F1555" s="376">
        <v>1</v>
      </c>
      <c r="G1555" s="376">
        <v>6101.463203368502</v>
      </c>
      <c r="H1555" s="376">
        <v>0</v>
      </c>
      <c r="I1555" s="376">
        <v>1</v>
      </c>
    </row>
    <row r="1556" spans="1:9" x14ac:dyDescent="0.35">
      <c r="A1556" s="376" t="s">
        <v>1603</v>
      </c>
      <c r="B1556" s="376" t="s">
        <v>1609</v>
      </c>
      <c r="C1556" s="376" t="s">
        <v>1051</v>
      </c>
      <c r="D1556" s="376">
        <v>2022</v>
      </c>
      <c r="E1556" s="376">
        <v>2027</v>
      </c>
      <c r="F1556" s="376">
        <v>1</v>
      </c>
      <c r="G1556" s="376">
        <v>6101.463203368502</v>
      </c>
      <c r="H1556" s="376">
        <v>0</v>
      </c>
      <c r="I1556" s="376">
        <v>1</v>
      </c>
    </row>
    <row r="1557" spans="1:9" x14ac:dyDescent="0.35">
      <c r="A1557" s="376" t="s">
        <v>1603</v>
      </c>
      <c r="B1557" s="376" t="s">
        <v>1609</v>
      </c>
      <c r="C1557" s="376" t="s">
        <v>1054</v>
      </c>
      <c r="D1557" s="376">
        <v>2022</v>
      </c>
      <c r="E1557" s="376">
        <v>2027</v>
      </c>
      <c r="F1557" s="376">
        <v>1</v>
      </c>
      <c r="G1557" s="376">
        <v>6101.463203368502</v>
      </c>
      <c r="H1557" s="376">
        <v>0</v>
      </c>
      <c r="I1557" s="376">
        <v>1</v>
      </c>
    </row>
    <row r="1558" spans="1:9" x14ac:dyDescent="0.35">
      <c r="A1558" s="376" t="s">
        <v>1603</v>
      </c>
      <c r="B1558" s="376" t="s">
        <v>1609</v>
      </c>
      <c r="C1558" s="376" t="s">
        <v>1046</v>
      </c>
      <c r="D1558" s="376">
        <v>2022</v>
      </c>
      <c r="E1558" s="376">
        <v>2028</v>
      </c>
      <c r="F1558" s="376">
        <v>1</v>
      </c>
      <c r="G1558" s="376">
        <v>6101.463203368502</v>
      </c>
      <c r="H1558" s="376">
        <v>0</v>
      </c>
      <c r="I1558" s="376">
        <v>1</v>
      </c>
    </row>
    <row r="1559" spans="1:9" x14ac:dyDescent="0.35">
      <c r="A1559" s="376" t="s">
        <v>1603</v>
      </c>
      <c r="B1559" s="376" t="s">
        <v>1609</v>
      </c>
      <c r="C1559" s="376" t="s">
        <v>644</v>
      </c>
      <c r="D1559" s="376">
        <v>2022</v>
      </c>
      <c r="E1559" s="376">
        <v>2028</v>
      </c>
      <c r="F1559" s="376">
        <v>1</v>
      </c>
      <c r="G1559" s="376">
        <v>6101.463203368502</v>
      </c>
      <c r="H1559" s="376">
        <v>0</v>
      </c>
      <c r="I1559" s="376">
        <v>1</v>
      </c>
    </row>
    <row r="1560" spans="1:9" x14ac:dyDescent="0.35">
      <c r="A1560" s="376" t="s">
        <v>1603</v>
      </c>
      <c r="B1560" s="376" t="s">
        <v>1609</v>
      </c>
      <c r="C1560" s="376" t="s">
        <v>628</v>
      </c>
      <c r="D1560" s="376">
        <v>2022</v>
      </c>
      <c r="E1560" s="376">
        <v>2028</v>
      </c>
      <c r="F1560" s="376">
        <v>1</v>
      </c>
      <c r="G1560" s="376">
        <v>6101.463203368502</v>
      </c>
      <c r="H1560" s="376">
        <v>0</v>
      </c>
      <c r="I1560" s="376">
        <v>1</v>
      </c>
    </row>
    <row r="1561" spans="1:9" x14ac:dyDescent="0.35">
      <c r="A1561" s="376" t="s">
        <v>1603</v>
      </c>
      <c r="B1561" s="376" t="s">
        <v>1609</v>
      </c>
      <c r="C1561" s="376" t="s">
        <v>1051</v>
      </c>
      <c r="D1561" s="376">
        <v>2022</v>
      </c>
      <c r="E1561" s="376">
        <v>2028</v>
      </c>
      <c r="F1561" s="376">
        <v>1</v>
      </c>
      <c r="G1561" s="376">
        <v>6101.463203368502</v>
      </c>
      <c r="H1561" s="376">
        <v>0</v>
      </c>
      <c r="I1561" s="376">
        <v>1</v>
      </c>
    </row>
    <row r="1562" spans="1:9" x14ac:dyDescent="0.35">
      <c r="A1562" s="376" t="s">
        <v>1603</v>
      </c>
      <c r="B1562" s="376" t="s">
        <v>1609</v>
      </c>
      <c r="C1562" s="376" t="s">
        <v>1054</v>
      </c>
      <c r="D1562" s="376">
        <v>2022</v>
      </c>
      <c r="E1562" s="376">
        <v>2028</v>
      </c>
      <c r="F1562" s="376">
        <v>1</v>
      </c>
      <c r="G1562" s="376">
        <v>6101.463203368502</v>
      </c>
      <c r="H1562" s="376">
        <v>0</v>
      </c>
      <c r="I1562" s="376">
        <v>1</v>
      </c>
    </row>
    <row r="1563" spans="1:9" x14ac:dyDescent="0.35">
      <c r="A1563" s="376" t="s">
        <v>1603</v>
      </c>
      <c r="B1563" s="376" t="s">
        <v>1609</v>
      </c>
      <c r="C1563" s="376" t="s">
        <v>1046</v>
      </c>
      <c r="D1563" s="376">
        <v>2022</v>
      </c>
      <c r="E1563" s="376">
        <v>2029</v>
      </c>
      <c r="F1563" s="376">
        <v>1</v>
      </c>
      <c r="G1563" s="376">
        <v>6101.463203368502</v>
      </c>
      <c r="H1563" s="376">
        <v>0</v>
      </c>
      <c r="I1563" s="376">
        <v>1</v>
      </c>
    </row>
    <row r="1564" spans="1:9" x14ac:dyDescent="0.35">
      <c r="A1564" s="376" t="s">
        <v>1603</v>
      </c>
      <c r="B1564" s="376" t="s">
        <v>1609</v>
      </c>
      <c r="C1564" s="376" t="s">
        <v>644</v>
      </c>
      <c r="D1564" s="376">
        <v>2022</v>
      </c>
      <c r="E1564" s="376">
        <v>2029</v>
      </c>
      <c r="F1564" s="376">
        <v>1</v>
      </c>
      <c r="G1564" s="376">
        <v>6101.463203368502</v>
      </c>
      <c r="H1564" s="376">
        <v>0</v>
      </c>
      <c r="I1564" s="376">
        <v>1</v>
      </c>
    </row>
    <row r="1565" spans="1:9" x14ac:dyDescent="0.35">
      <c r="A1565" s="376" t="s">
        <v>1603</v>
      </c>
      <c r="B1565" s="376" t="s">
        <v>1609</v>
      </c>
      <c r="C1565" s="376" t="s">
        <v>628</v>
      </c>
      <c r="D1565" s="376">
        <v>2022</v>
      </c>
      <c r="E1565" s="376">
        <v>2029</v>
      </c>
      <c r="F1565" s="376">
        <v>1</v>
      </c>
      <c r="G1565" s="376">
        <v>6101.463203368502</v>
      </c>
      <c r="H1565" s="376">
        <v>0</v>
      </c>
      <c r="I1565" s="376">
        <v>1</v>
      </c>
    </row>
    <row r="1566" spans="1:9" x14ac:dyDescent="0.35">
      <c r="A1566" s="376" t="s">
        <v>1603</v>
      </c>
      <c r="B1566" s="376" t="s">
        <v>1609</v>
      </c>
      <c r="C1566" s="376" t="s">
        <v>1051</v>
      </c>
      <c r="D1566" s="376">
        <v>2022</v>
      </c>
      <c r="E1566" s="376">
        <v>2029</v>
      </c>
      <c r="F1566" s="376">
        <v>1</v>
      </c>
      <c r="G1566" s="376">
        <v>6101.463203368502</v>
      </c>
      <c r="H1566" s="376">
        <v>0</v>
      </c>
      <c r="I1566" s="376">
        <v>1</v>
      </c>
    </row>
    <row r="1567" spans="1:9" x14ac:dyDescent="0.35">
      <c r="A1567" s="376" t="s">
        <v>1603</v>
      </c>
      <c r="B1567" s="376" t="s">
        <v>1609</v>
      </c>
      <c r="C1567" s="376" t="s">
        <v>1054</v>
      </c>
      <c r="D1567" s="376">
        <v>2022</v>
      </c>
      <c r="E1567" s="376">
        <v>2029</v>
      </c>
      <c r="F1567" s="376">
        <v>1</v>
      </c>
      <c r="G1567" s="376">
        <v>6101.463203368502</v>
      </c>
      <c r="H1567" s="376">
        <v>0</v>
      </c>
      <c r="I1567" s="376">
        <v>1</v>
      </c>
    </row>
    <row r="1568" spans="1:9" x14ac:dyDescent="0.35">
      <c r="A1568" s="376" t="s">
        <v>1603</v>
      </c>
      <c r="B1568" s="376" t="s">
        <v>1609</v>
      </c>
      <c r="C1568" s="376" t="s">
        <v>1046</v>
      </c>
      <c r="D1568" s="376">
        <v>2022</v>
      </c>
      <c r="E1568" s="376">
        <v>2030</v>
      </c>
      <c r="F1568" s="376">
        <v>1</v>
      </c>
      <c r="G1568" s="376">
        <v>6101.463203368502</v>
      </c>
      <c r="H1568" s="376">
        <v>0</v>
      </c>
      <c r="I1568" s="376">
        <v>1</v>
      </c>
    </row>
    <row r="1569" spans="1:9" x14ac:dyDescent="0.35">
      <c r="A1569" s="376" t="s">
        <v>1603</v>
      </c>
      <c r="B1569" s="376" t="s">
        <v>1609</v>
      </c>
      <c r="C1569" s="376" t="s">
        <v>644</v>
      </c>
      <c r="D1569" s="376">
        <v>2022</v>
      </c>
      <c r="E1569" s="376">
        <v>2030</v>
      </c>
      <c r="F1569" s="376">
        <v>1</v>
      </c>
      <c r="G1569" s="376">
        <v>6101.463203368502</v>
      </c>
      <c r="H1569" s="376">
        <v>0</v>
      </c>
      <c r="I1569" s="376">
        <v>1</v>
      </c>
    </row>
    <row r="1570" spans="1:9" x14ac:dyDescent="0.35">
      <c r="A1570" s="376" t="s">
        <v>1603</v>
      </c>
      <c r="B1570" s="376" t="s">
        <v>1609</v>
      </c>
      <c r="C1570" s="376" t="s">
        <v>628</v>
      </c>
      <c r="D1570" s="376">
        <v>2022</v>
      </c>
      <c r="E1570" s="376">
        <v>2030</v>
      </c>
      <c r="F1570" s="376">
        <v>1</v>
      </c>
      <c r="G1570" s="376">
        <v>6101.463203368502</v>
      </c>
      <c r="H1570" s="376">
        <v>0</v>
      </c>
      <c r="I1570" s="376">
        <v>1</v>
      </c>
    </row>
    <row r="1571" spans="1:9" x14ac:dyDescent="0.35">
      <c r="A1571" s="376" t="s">
        <v>1603</v>
      </c>
      <c r="B1571" s="376" t="s">
        <v>1609</v>
      </c>
      <c r="C1571" s="376" t="s">
        <v>1051</v>
      </c>
      <c r="D1571" s="376">
        <v>2022</v>
      </c>
      <c r="E1571" s="376">
        <v>2030</v>
      </c>
      <c r="F1571" s="376">
        <v>1</v>
      </c>
      <c r="G1571" s="376">
        <v>6101.463203368502</v>
      </c>
      <c r="H1571" s="376">
        <v>0</v>
      </c>
      <c r="I1571" s="376">
        <v>1</v>
      </c>
    </row>
    <row r="1572" spans="1:9" x14ac:dyDescent="0.35">
      <c r="A1572" s="376" t="s">
        <v>1603</v>
      </c>
      <c r="B1572" s="376" t="s">
        <v>1609</v>
      </c>
      <c r="C1572" s="376" t="s">
        <v>1054</v>
      </c>
      <c r="D1572" s="376">
        <v>2022</v>
      </c>
      <c r="E1572" s="376">
        <v>2030</v>
      </c>
      <c r="F1572" s="376">
        <v>1</v>
      </c>
      <c r="G1572" s="376">
        <v>6101.463203368502</v>
      </c>
      <c r="H1572" s="376">
        <v>0</v>
      </c>
      <c r="I1572" s="376">
        <v>1</v>
      </c>
    </row>
    <row r="1573" spans="1:9" x14ac:dyDescent="0.35">
      <c r="A1573" s="376" t="s">
        <v>1603</v>
      </c>
      <c r="B1573" s="376" t="s">
        <v>1609</v>
      </c>
      <c r="C1573" s="376" t="s">
        <v>1046</v>
      </c>
      <c r="D1573" s="376">
        <v>2022</v>
      </c>
      <c r="E1573" s="376">
        <v>2031</v>
      </c>
      <c r="F1573" s="376">
        <v>1</v>
      </c>
      <c r="G1573" s="376">
        <v>6101.463203368502</v>
      </c>
      <c r="H1573" s="376">
        <v>0</v>
      </c>
      <c r="I1573" s="376">
        <v>1</v>
      </c>
    </row>
    <row r="1574" spans="1:9" x14ac:dyDescent="0.35">
      <c r="A1574" s="376" t="s">
        <v>1603</v>
      </c>
      <c r="B1574" s="376" t="s">
        <v>1609</v>
      </c>
      <c r="C1574" s="376" t="s">
        <v>644</v>
      </c>
      <c r="D1574" s="376">
        <v>2022</v>
      </c>
      <c r="E1574" s="376">
        <v>2031</v>
      </c>
      <c r="F1574" s="376">
        <v>1</v>
      </c>
      <c r="G1574" s="376">
        <v>6101.463203368502</v>
      </c>
      <c r="H1574" s="376">
        <v>0</v>
      </c>
      <c r="I1574" s="376">
        <v>1</v>
      </c>
    </row>
    <row r="1575" spans="1:9" x14ac:dyDescent="0.35">
      <c r="A1575" s="376" t="s">
        <v>1603</v>
      </c>
      <c r="B1575" s="376" t="s">
        <v>1609</v>
      </c>
      <c r="C1575" s="376" t="s">
        <v>628</v>
      </c>
      <c r="D1575" s="376">
        <v>2022</v>
      </c>
      <c r="E1575" s="376">
        <v>2031</v>
      </c>
      <c r="F1575" s="376">
        <v>1</v>
      </c>
      <c r="G1575" s="376">
        <v>6101.463203368502</v>
      </c>
      <c r="H1575" s="376">
        <v>0</v>
      </c>
      <c r="I1575" s="376">
        <v>1</v>
      </c>
    </row>
    <row r="1576" spans="1:9" x14ac:dyDescent="0.35">
      <c r="A1576" s="376" t="s">
        <v>1603</v>
      </c>
      <c r="B1576" s="376" t="s">
        <v>1609</v>
      </c>
      <c r="C1576" s="376" t="s">
        <v>1051</v>
      </c>
      <c r="D1576" s="376">
        <v>2022</v>
      </c>
      <c r="E1576" s="376">
        <v>2031</v>
      </c>
      <c r="F1576" s="376">
        <v>1</v>
      </c>
      <c r="G1576" s="376">
        <v>6101.463203368502</v>
      </c>
      <c r="H1576" s="376">
        <v>0</v>
      </c>
      <c r="I1576" s="376">
        <v>1</v>
      </c>
    </row>
    <row r="1577" spans="1:9" x14ac:dyDescent="0.35">
      <c r="A1577" s="376" t="s">
        <v>1603</v>
      </c>
      <c r="B1577" s="376" t="s">
        <v>1609</v>
      </c>
      <c r="C1577" s="376" t="s">
        <v>1054</v>
      </c>
      <c r="D1577" s="376">
        <v>2022</v>
      </c>
      <c r="E1577" s="376">
        <v>2031</v>
      </c>
      <c r="F1577" s="376">
        <v>1</v>
      </c>
      <c r="G1577" s="376">
        <v>6101.463203368502</v>
      </c>
      <c r="H1577" s="376">
        <v>0</v>
      </c>
      <c r="I1577" s="376">
        <v>1</v>
      </c>
    </row>
    <row r="1578" spans="1:9" x14ac:dyDescent="0.35">
      <c r="A1578" s="376" t="s">
        <v>1605</v>
      </c>
      <c r="B1578" s="376" t="s">
        <v>1609</v>
      </c>
      <c r="C1578" s="376" t="s">
        <v>1046</v>
      </c>
      <c r="D1578" s="376">
        <v>2022</v>
      </c>
      <c r="E1578" s="376">
        <v>2022</v>
      </c>
      <c r="F1578" s="376">
        <v>0.23884589662749595</v>
      </c>
      <c r="G1578" s="376">
        <v>10426.102375692073</v>
      </c>
      <c r="H1578" s="376">
        <v>0</v>
      </c>
      <c r="I1578" s="376">
        <v>1</v>
      </c>
    </row>
    <row r="1579" spans="1:9" x14ac:dyDescent="0.35">
      <c r="A1579" s="376" t="s">
        <v>1605</v>
      </c>
      <c r="B1579" s="376" t="s">
        <v>1609</v>
      </c>
      <c r="C1579" s="376" t="s">
        <v>644</v>
      </c>
      <c r="D1579" s="376">
        <v>2022</v>
      </c>
      <c r="E1579" s="376">
        <v>2022</v>
      </c>
      <c r="F1579" s="376">
        <v>0.23884589662749595</v>
      </c>
      <c r="G1579" s="376">
        <v>10426.102375692073</v>
      </c>
      <c r="H1579" s="376">
        <v>0</v>
      </c>
      <c r="I1579" s="376">
        <v>1</v>
      </c>
    </row>
    <row r="1580" spans="1:9" x14ac:dyDescent="0.35">
      <c r="A1580" s="376" t="s">
        <v>1605</v>
      </c>
      <c r="B1580" s="376" t="s">
        <v>1609</v>
      </c>
      <c r="C1580" s="376" t="s">
        <v>628</v>
      </c>
      <c r="D1580" s="376">
        <v>2022</v>
      </c>
      <c r="E1580" s="376">
        <v>2022</v>
      </c>
      <c r="F1580" s="376">
        <v>0.23884589662749595</v>
      </c>
      <c r="G1580" s="376">
        <v>10426.102375692073</v>
      </c>
      <c r="H1580" s="376">
        <v>0</v>
      </c>
      <c r="I1580" s="376">
        <v>1</v>
      </c>
    </row>
    <row r="1581" spans="1:9" x14ac:dyDescent="0.35">
      <c r="A1581" s="376" t="s">
        <v>1605</v>
      </c>
      <c r="B1581" s="376" t="s">
        <v>1609</v>
      </c>
      <c r="C1581" s="376" t="s">
        <v>1051</v>
      </c>
      <c r="D1581" s="376">
        <v>2022</v>
      </c>
      <c r="E1581" s="376">
        <v>2022</v>
      </c>
      <c r="F1581" s="376">
        <v>0.23884589662749595</v>
      </c>
      <c r="G1581" s="376">
        <v>10426.102375692073</v>
      </c>
      <c r="H1581" s="376">
        <v>0</v>
      </c>
      <c r="I1581" s="376">
        <v>1</v>
      </c>
    </row>
    <row r="1582" spans="1:9" x14ac:dyDescent="0.35">
      <c r="A1582" s="376" t="s">
        <v>1605</v>
      </c>
      <c r="B1582" s="376" t="s">
        <v>1609</v>
      </c>
      <c r="C1582" s="376" t="s">
        <v>1054</v>
      </c>
      <c r="D1582" s="376">
        <v>2022</v>
      </c>
      <c r="E1582" s="376">
        <v>2022</v>
      </c>
      <c r="F1582" s="376">
        <v>0.23884589662749595</v>
      </c>
      <c r="G1582" s="376">
        <v>10426.102375692073</v>
      </c>
      <c r="H1582" s="376">
        <v>0</v>
      </c>
      <c r="I1582" s="376">
        <v>1</v>
      </c>
    </row>
    <row r="1583" spans="1:9" x14ac:dyDescent="0.35">
      <c r="A1583" s="376" t="s">
        <v>1605</v>
      </c>
      <c r="B1583" s="376" t="s">
        <v>1609</v>
      </c>
      <c r="C1583" s="376" t="s">
        <v>1046</v>
      </c>
      <c r="D1583" s="376">
        <v>2022</v>
      </c>
      <c r="E1583" s="376">
        <v>2023</v>
      </c>
      <c r="F1583" s="376">
        <v>0.23884589662749595</v>
      </c>
      <c r="G1583" s="376">
        <v>10426.102375692073</v>
      </c>
      <c r="H1583" s="376">
        <v>0</v>
      </c>
      <c r="I1583" s="376">
        <v>1</v>
      </c>
    </row>
    <row r="1584" spans="1:9" x14ac:dyDescent="0.35">
      <c r="A1584" s="376" t="s">
        <v>1605</v>
      </c>
      <c r="B1584" s="376" t="s">
        <v>1609</v>
      </c>
      <c r="C1584" s="376" t="s">
        <v>644</v>
      </c>
      <c r="D1584" s="376">
        <v>2022</v>
      </c>
      <c r="E1584" s="376">
        <v>2023</v>
      </c>
      <c r="F1584" s="376">
        <v>0.23884589662749595</v>
      </c>
      <c r="G1584" s="376">
        <v>10426.102375692073</v>
      </c>
      <c r="H1584" s="376">
        <v>0</v>
      </c>
      <c r="I1584" s="376">
        <v>1</v>
      </c>
    </row>
    <row r="1585" spans="1:9" x14ac:dyDescent="0.35">
      <c r="A1585" s="376" t="s">
        <v>1605</v>
      </c>
      <c r="B1585" s="376" t="s">
        <v>1609</v>
      </c>
      <c r="C1585" s="376" t="s">
        <v>628</v>
      </c>
      <c r="D1585" s="376">
        <v>2022</v>
      </c>
      <c r="E1585" s="376">
        <v>2023</v>
      </c>
      <c r="F1585" s="376">
        <v>0.23884589662749595</v>
      </c>
      <c r="G1585" s="376">
        <v>10426.102375692073</v>
      </c>
      <c r="H1585" s="376">
        <v>0</v>
      </c>
      <c r="I1585" s="376">
        <v>1</v>
      </c>
    </row>
    <row r="1586" spans="1:9" x14ac:dyDescent="0.35">
      <c r="A1586" s="376" t="s">
        <v>1605</v>
      </c>
      <c r="B1586" s="376" t="s">
        <v>1609</v>
      </c>
      <c r="C1586" s="376" t="s">
        <v>1051</v>
      </c>
      <c r="D1586" s="376">
        <v>2022</v>
      </c>
      <c r="E1586" s="376">
        <v>2023</v>
      </c>
      <c r="F1586" s="376">
        <v>0.23884589662749595</v>
      </c>
      <c r="G1586" s="376">
        <v>10426.102375692073</v>
      </c>
      <c r="H1586" s="376">
        <v>0</v>
      </c>
      <c r="I1586" s="376">
        <v>1</v>
      </c>
    </row>
    <row r="1587" spans="1:9" x14ac:dyDescent="0.35">
      <c r="A1587" s="376" t="s">
        <v>1605</v>
      </c>
      <c r="B1587" s="376" t="s">
        <v>1609</v>
      </c>
      <c r="C1587" s="376" t="s">
        <v>1054</v>
      </c>
      <c r="D1587" s="376">
        <v>2022</v>
      </c>
      <c r="E1587" s="376">
        <v>2023</v>
      </c>
      <c r="F1587" s="376">
        <v>0.23884589662749595</v>
      </c>
      <c r="G1587" s="376">
        <v>10426.102375692073</v>
      </c>
      <c r="H1587" s="376">
        <v>0</v>
      </c>
      <c r="I1587" s="376">
        <v>1</v>
      </c>
    </row>
    <row r="1588" spans="1:9" x14ac:dyDescent="0.35">
      <c r="A1588" s="376" t="s">
        <v>1605</v>
      </c>
      <c r="B1588" s="376" t="s">
        <v>1609</v>
      </c>
      <c r="C1588" s="376" t="s">
        <v>1046</v>
      </c>
      <c r="D1588" s="376">
        <v>2022</v>
      </c>
      <c r="E1588" s="376">
        <v>2024</v>
      </c>
      <c r="F1588" s="376">
        <v>0.23884589662749595</v>
      </c>
      <c r="G1588" s="376">
        <v>10426.102375692073</v>
      </c>
      <c r="H1588" s="376">
        <v>0</v>
      </c>
      <c r="I1588" s="376">
        <v>1</v>
      </c>
    </row>
    <row r="1589" spans="1:9" x14ac:dyDescent="0.35">
      <c r="A1589" s="376" t="s">
        <v>1605</v>
      </c>
      <c r="B1589" s="376" t="s">
        <v>1609</v>
      </c>
      <c r="C1589" s="376" t="s">
        <v>644</v>
      </c>
      <c r="D1589" s="376">
        <v>2022</v>
      </c>
      <c r="E1589" s="376">
        <v>2024</v>
      </c>
      <c r="F1589" s="376">
        <v>0.23884589662749595</v>
      </c>
      <c r="G1589" s="376">
        <v>10426.102375692073</v>
      </c>
      <c r="H1589" s="376">
        <v>0</v>
      </c>
      <c r="I1589" s="376">
        <v>1</v>
      </c>
    </row>
    <row r="1590" spans="1:9" x14ac:dyDescent="0.35">
      <c r="A1590" s="376" t="s">
        <v>1605</v>
      </c>
      <c r="B1590" s="376" t="s">
        <v>1609</v>
      </c>
      <c r="C1590" s="376" t="s">
        <v>628</v>
      </c>
      <c r="D1590" s="376">
        <v>2022</v>
      </c>
      <c r="E1590" s="376">
        <v>2024</v>
      </c>
      <c r="F1590" s="376">
        <v>0.23884589662749595</v>
      </c>
      <c r="G1590" s="376">
        <v>10426.102375692073</v>
      </c>
      <c r="H1590" s="376">
        <v>0</v>
      </c>
      <c r="I1590" s="376">
        <v>1</v>
      </c>
    </row>
    <row r="1591" spans="1:9" x14ac:dyDescent="0.35">
      <c r="A1591" s="376" t="s">
        <v>1605</v>
      </c>
      <c r="B1591" s="376" t="s">
        <v>1609</v>
      </c>
      <c r="C1591" s="376" t="s">
        <v>1051</v>
      </c>
      <c r="D1591" s="376">
        <v>2022</v>
      </c>
      <c r="E1591" s="376">
        <v>2024</v>
      </c>
      <c r="F1591" s="376">
        <v>0.23884589662749595</v>
      </c>
      <c r="G1591" s="376">
        <v>10426.102375692073</v>
      </c>
      <c r="H1591" s="376">
        <v>0</v>
      </c>
      <c r="I1591" s="376">
        <v>1</v>
      </c>
    </row>
    <row r="1592" spans="1:9" x14ac:dyDescent="0.35">
      <c r="A1592" s="376" t="s">
        <v>1605</v>
      </c>
      <c r="B1592" s="376" t="s">
        <v>1609</v>
      </c>
      <c r="C1592" s="376" t="s">
        <v>1054</v>
      </c>
      <c r="D1592" s="376">
        <v>2022</v>
      </c>
      <c r="E1592" s="376">
        <v>2024</v>
      </c>
      <c r="F1592" s="376">
        <v>0.23884589662749595</v>
      </c>
      <c r="G1592" s="376">
        <v>10426.102375692073</v>
      </c>
      <c r="H1592" s="376">
        <v>0</v>
      </c>
      <c r="I1592" s="376">
        <v>1</v>
      </c>
    </row>
    <row r="1593" spans="1:9" x14ac:dyDescent="0.35">
      <c r="A1593" s="376" t="s">
        <v>1605</v>
      </c>
      <c r="B1593" s="376" t="s">
        <v>1609</v>
      </c>
      <c r="C1593" s="376" t="s">
        <v>1046</v>
      </c>
      <c r="D1593" s="376">
        <v>2022</v>
      </c>
      <c r="E1593" s="376">
        <v>2025</v>
      </c>
      <c r="F1593" s="376">
        <v>0.23884589662749595</v>
      </c>
      <c r="G1593" s="376">
        <v>10426.102375692073</v>
      </c>
      <c r="H1593" s="376">
        <v>0</v>
      </c>
      <c r="I1593" s="376">
        <v>1</v>
      </c>
    </row>
    <row r="1594" spans="1:9" x14ac:dyDescent="0.35">
      <c r="A1594" s="376" t="s">
        <v>1605</v>
      </c>
      <c r="B1594" s="376" t="s">
        <v>1609</v>
      </c>
      <c r="C1594" s="376" t="s">
        <v>644</v>
      </c>
      <c r="D1594" s="376">
        <v>2022</v>
      </c>
      <c r="E1594" s="376">
        <v>2025</v>
      </c>
      <c r="F1594" s="376">
        <v>0.23884589662749595</v>
      </c>
      <c r="G1594" s="376">
        <v>10426.102375692073</v>
      </c>
      <c r="H1594" s="376">
        <v>0</v>
      </c>
      <c r="I1594" s="376">
        <v>1</v>
      </c>
    </row>
    <row r="1595" spans="1:9" x14ac:dyDescent="0.35">
      <c r="A1595" s="376" t="s">
        <v>1605</v>
      </c>
      <c r="B1595" s="376" t="s">
        <v>1609</v>
      </c>
      <c r="C1595" s="376" t="s">
        <v>628</v>
      </c>
      <c r="D1595" s="376">
        <v>2022</v>
      </c>
      <c r="E1595" s="376">
        <v>2025</v>
      </c>
      <c r="F1595" s="376">
        <v>0.23884589662749595</v>
      </c>
      <c r="G1595" s="376">
        <v>10426.102375692073</v>
      </c>
      <c r="H1595" s="376">
        <v>0</v>
      </c>
      <c r="I1595" s="376">
        <v>1</v>
      </c>
    </row>
    <row r="1596" spans="1:9" x14ac:dyDescent="0.35">
      <c r="A1596" s="376" t="s">
        <v>1605</v>
      </c>
      <c r="B1596" s="376" t="s">
        <v>1609</v>
      </c>
      <c r="C1596" s="376" t="s">
        <v>1051</v>
      </c>
      <c r="D1596" s="376">
        <v>2022</v>
      </c>
      <c r="E1596" s="376">
        <v>2025</v>
      </c>
      <c r="F1596" s="376">
        <v>0.23884589662749595</v>
      </c>
      <c r="G1596" s="376">
        <v>10426.102375692073</v>
      </c>
      <c r="H1596" s="376">
        <v>0</v>
      </c>
      <c r="I1596" s="376">
        <v>1</v>
      </c>
    </row>
    <row r="1597" spans="1:9" x14ac:dyDescent="0.35">
      <c r="A1597" s="376" t="s">
        <v>1605</v>
      </c>
      <c r="B1597" s="376" t="s">
        <v>1609</v>
      </c>
      <c r="C1597" s="376" t="s">
        <v>1054</v>
      </c>
      <c r="D1597" s="376">
        <v>2022</v>
      </c>
      <c r="E1597" s="376">
        <v>2025</v>
      </c>
      <c r="F1597" s="376">
        <v>0.23884589662749595</v>
      </c>
      <c r="G1597" s="376">
        <v>10426.102375692073</v>
      </c>
      <c r="H1597" s="376">
        <v>0</v>
      </c>
      <c r="I1597" s="376">
        <v>1</v>
      </c>
    </row>
    <row r="1598" spans="1:9" x14ac:dyDescent="0.35">
      <c r="A1598" s="376" t="s">
        <v>1605</v>
      </c>
      <c r="B1598" s="376" t="s">
        <v>1609</v>
      </c>
      <c r="C1598" s="376" t="s">
        <v>1046</v>
      </c>
      <c r="D1598" s="376">
        <v>2022</v>
      </c>
      <c r="E1598" s="376">
        <v>2026</v>
      </c>
      <c r="F1598" s="376">
        <v>0.23884589662749595</v>
      </c>
      <c r="G1598" s="376">
        <v>10426.102375692073</v>
      </c>
      <c r="H1598" s="376">
        <v>0</v>
      </c>
      <c r="I1598" s="376">
        <v>1</v>
      </c>
    </row>
    <row r="1599" spans="1:9" x14ac:dyDescent="0.35">
      <c r="A1599" s="376" t="s">
        <v>1605</v>
      </c>
      <c r="B1599" s="376" t="s">
        <v>1609</v>
      </c>
      <c r="C1599" s="376" t="s">
        <v>644</v>
      </c>
      <c r="D1599" s="376">
        <v>2022</v>
      </c>
      <c r="E1599" s="376">
        <v>2026</v>
      </c>
      <c r="F1599" s="376">
        <v>0.23884589662749595</v>
      </c>
      <c r="G1599" s="376">
        <v>10426.102375692073</v>
      </c>
      <c r="H1599" s="376">
        <v>0</v>
      </c>
      <c r="I1599" s="376">
        <v>1</v>
      </c>
    </row>
    <row r="1600" spans="1:9" x14ac:dyDescent="0.35">
      <c r="A1600" s="376" t="s">
        <v>1605</v>
      </c>
      <c r="B1600" s="376" t="s">
        <v>1609</v>
      </c>
      <c r="C1600" s="376" t="s">
        <v>628</v>
      </c>
      <c r="D1600" s="376">
        <v>2022</v>
      </c>
      <c r="E1600" s="376">
        <v>2026</v>
      </c>
      <c r="F1600" s="376">
        <v>0.23884589662749595</v>
      </c>
      <c r="G1600" s="376">
        <v>10426.102375692073</v>
      </c>
      <c r="H1600" s="376">
        <v>0</v>
      </c>
      <c r="I1600" s="376">
        <v>1</v>
      </c>
    </row>
    <row r="1601" spans="1:9" x14ac:dyDescent="0.35">
      <c r="A1601" s="376" t="s">
        <v>1605</v>
      </c>
      <c r="B1601" s="376" t="s">
        <v>1609</v>
      </c>
      <c r="C1601" s="376" t="s">
        <v>1051</v>
      </c>
      <c r="D1601" s="376">
        <v>2022</v>
      </c>
      <c r="E1601" s="376">
        <v>2026</v>
      </c>
      <c r="F1601" s="376">
        <v>0.23884589662749595</v>
      </c>
      <c r="G1601" s="376">
        <v>10426.102375692073</v>
      </c>
      <c r="H1601" s="376">
        <v>0</v>
      </c>
      <c r="I1601" s="376">
        <v>1</v>
      </c>
    </row>
    <row r="1602" spans="1:9" x14ac:dyDescent="0.35">
      <c r="A1602" s="376" t="s">
        <v>1605</v>
      </c>
      <c r="B1602" s="376" t="s">
        <v>1609</v>
      </c>
      <c r="C1602" s="376" t="s">
        <v>1054</v>
      </c>
      <c r="D1602" s="376">
        <v>2022</v>
      </c>
      <c r="E1602" s="376">
        <v>2026</v>
      </c>
      <c r="F1602" s="376">
        <v>0.23884589662749595</v>
      </c>
      <c r="G1602" s="376">
        <v>10426.102375692073</v>
      </c>
      <c r="H1602" s="376">
        <v>0</v>
      </c>
      <c r="I1602" s="376">
        <v>1</v>
      </c>
    </row>
    <row r="1603" spans="1:9" x14ac:dyDescent="0.35">
      <c r="A1603" s="376" t="s">
        <v>1605</v>
      </c>
      <c r="B1603" s="376" t="s">
        <v>1609</v>
      </c>
      <c r="C1603" s="376" t="s">
        <v>1046</v>
      </c>
      <c r="D1603" s="376">
        <v>2022</v>
      </c>
      <c r="E1603" s="376">
        <v>2027</v>
      </c>
      <c r="F1603" s="376">
        <v>0.23884589662749595</v>
      </c>
      <c r="G1603" s="376">
        <v>10426.102375692073</v>
      </c>
      <c r="H1603" s="376">
        <v>0</v>
      </c>
      <c r="I1603" s="376">
        <v>1</v>
      </c>
    </row>
    <row r="1604" spans="1:9" x14ac:dyDescent="0.35">
      <c r="A1604" s="376" t="s">
        <v>1605</v>
      </c>
      <c r="B1604" s="376" t="s">
        <v>1609</v>
      </c>
      <c r="C1604" s="376" t="s">
        <v>644</v>
      </c>
      <c r="D1604" s="376">
        <v>2022</v>
      </c>
      <c r="E1604" s="376">
        <v>2027</v>
      </c>
      <c r="F1604" s="376">
        <v>0.23884589662749595</v>
      </c>
      <c r="G1604" s="376">
        <v>10426.102375692073</v>
      </c>
      <c r="H1604" s="376">
        <v>0</v>
      </c>
      <c r="I1604" s="376">
        <v>1</v>
      </c>
    </row>
    <row r="1605" spans="1:9" x14ac:dyDescent="0.35">
      <c r="A1605" s="376" t="s">
        <v>1605</v>
      </c>
      <c r="B1605" s="376" t="s">
        <v>1609</v>
      </c>
      <c r="C1605" s="376" t="s">
        <v>628</v>
      </c>
      <c r="D1605" s="376">
        <v>2022</v>
      </c>
      <c r="E1605" s="376">
        <v>2027</v>
      </c>
      <c r="F1605" s="376">
        <v>0.23884589662749595</v>
      </c>
      <c r="G1605" s="376">
        <v>10426.102375692073</v>
      </c>
      <c r="H1605" s="376">
        <v>0</v>
      </c>
      <c r="I1605" s="376">
        <v>1</v>
      </c>
    </row>
    <row r="1606" spans="1:9" x14ac:dyDescent="0.35">
      <c r="A1606" s="376" t="s">
        <v>1605</v>
      </c>
      <c r="B1606" s="376" t="s">
        <v>1609</v>
      </c>
      <c r="C1606" s="376" t="s">
        <v>1051</v>
      </c>
      <c r="D1606" s="376">
        <v>2022</v>
      </c>
      <c r="E1606" s="376">
        <v>2027</v>
      </c>
      <c r="F1606" s="376">
        <v>0.23884589662749595</v>
      </c>
      <c r="G1606" s="376">
        <v>10426.102375692073</v>
      </c>
      <c r="H1606" s="376">
        <v>0</v>
      </c>
      <c r="I1606" s="376">
        <v>1</v>
      </c>
    </row>
    <row r="1607" spans="1:9" x14ac:dyDescent="0.35">
      <c r="A1607" s="376" t="s">
        <v>1605</v>
      </c>
      <c r="B1607" s="376" t="s">
        <v>1609</v>
      </c>
      <c r="C1607" s="376" t="s">
        <v>1054</v>
      </c>
      <c r="D1607" s="376">
        <v>2022</v>
      </c>
      <c r="E1607" s="376">
        <v>2027</v>
      </c>
      <c r="F1607" s="376">
        <v>0.23884589662749595</v>
      </c>
      <c r="G1607" s="376">
        <v>10426.102375692073</v>
      </c>
      <c r="H1607" s="376">
        <v>0</v>
      </c>
      <c r="I1607" s="376">
        <v>1</v>
      </c>
    </row>
    <row r="1608" spans="1:9" x14ac:dyDescent="0.35">
      <c r="A1608" s="376" t="s">
        <v>1605</v>
      </c>
      <c r="B1608" s="376" t="s">
        <v>1609</v>
      </c>
      <c r="C1608" s="376" t="s">
        <v>1046</v>
      </c>
      <c r="D1608" s="376">
        <v>2022</v>
      </c>
      <c r="E1608" s="376">
        <v>2028</v>
      </c>
      <c r="F1608" s="376">
        <v>0.23884589662749595</v>
      </c>
      <c r="G1608" s="376">
        <v>10426.102375692073</v>
      </c>
      <c r="H1608" s="376">
        <v>0</v>
      </c>
      <c r="I1608" s="376">
        <v>1</v>
      </c>
    </row>
    <row r="1609" spans="1:9" x14ac:dyDescent="0.35">
      <c r="A1609" s="376" t="s">
        <v>1605</v>
      </c>
      <c r="B1609" s="376" t="s">
        <v>1609</v>
      </c>
      <c r="C1609" s="376" t="s">
        <v>644</v>
      </c>
      <c r="D1609" s="376">
        <v>2022</v>
      </c>
      <c r="E1609" s="376">
        <v>2028</v>
      </c>
      <c r="F1609" s="376">
        <v>0.23884589662749595</v>
      </c>
      <c r="G1609" s="376">
        <v>10426.102375692073</v>
      </c>
      <c r="H1609" s="376">
        <v>0</v>
      </c>
      <c r="I1609" s="376">
        <v>1</v>
      </c>
    </row>
    <row r="1610" spans="1:9" x14ac:dyDescent="0.35">
      <c r="A1610" s="376" t="s">
        <v>1605</v>
      </c>
      <c r="B1610" s="376" t="s">
        <v>1609</v>
      </c>
      <c r="C1610" s="376" t="s">
        <v>628</v>
      </c>
      <c r="D1610" s="376">
        <v>2022</v>
      </c>
      <c r="E1610" s="376">
        <v>2028</v>
      </c>
      <c r="F1610" s="376">
        <v>0.23884589662749595</v>
      </c>
      <c r="G1610" s="376">
        <v>10426.102375692073</v>
      </c>
      <c r="H1610" s="376">
        <v>0</v>
      </c>
      <c r="I1610" s="376">
        <v>1</v>
      </c>
    </row>
    <row r="1611" spans="1:9" x14ac:dyDescent="0.35">
      <c r="A1611" s="376" t="s">
        <v>1605</v>
      </c>
      <c r="B1611" s="376" t="s">
        <v>1609</v>
      </c>
      <c r="C1611" s="376" t="s">
        <v>1051</v>
      </c>
      <c r="D1611" s="376">
        <v>2022</v>
      </c>
      <c r="E1611" s="376">
        <v>2028</v>
      </c>
      <c r="F1611" s="376">
        <v>0.23884589662749595</v>
      </c>
      <c r="G1611" s="376">
        <v>10426.102375692073</v>
      </c>
      <c r="H1611" s="376">
        <v>0</v>
      </c>
      <c r="I1611" s="376">
        <v>1</v>
      </c>
    </row>
    <row r="1612" spans="1:9" x14ac:dyDescent="0.35">
      <c r="A1612" s="376" t="s">
        <v>1605</v>
      </c>
      <c r="B1612" s="376" t="s">
        <v>1609</v>
      </c>
      <c r="C1612" s="376" t="s">
        <v>1054</v>
      </c>
      <c r="D1612" s="376">
        <v>2022</v>
      </c>
      <c r="E1612" s="376">
        <v>2028</v>
      </c>
      <c r="F1612" s="376">
        <v>0.23884589662749595</v>
      </c>
      <c r="G1612" s="376">
        <v>10426.102375692073</v>
      </c>
      <c r="H1612" s="376">
        <v>0</v>
      </c>
      <c r="I1612" s="376">
        <v>1</v>
      </c>
    </row>
    <row r="1613" spans="1:9" x14ac:dyDescent="0.35">
      <c r="A1613" s="376" t="s">
        <v>1605</v>
      </c>
      <c r="B1613" s="376" t="s">
        <v>1609</v>
      </c>
      <c r="C1613" s="376" t="s">
        <v>1046</v>
      </c>
      <c r="D1613" s="376">
        <v>2022</v>
      </c>
      <c r="E1613" s="376">
        <v>2029</v>
      </c>
      <c r="F1613" s="376">
        <v>0.23884589662749595</v>
      </c>
      <c r="G1613" s="376">
        <v>10426.102375692073</v>
      </c>
      <c r="H1613" s="376">
        <v>0</v>
      </c>
      <c r="I1613" s="376">
        <v>1</v>
      </c>
    </row>
    <row r="1614" spans="1:9" x14ac:dyDescent="0.35">
      <c r="A1614" s="376" t="s">
        <v>1605</v>
      </c>
      <c r="B1614" s="376" t="s">
        <v>1609</v>
      </c>
      <c r="C1614" s="376" t="s">
        <v>644</v>
      </c>
      <c r="D1614" s="376">
        <v>2022</v>
      </c>
      <c r="E1614" s="376">
        <v>2029</v>
      </c>
      <c r="F1614" s="376">
        <v>0.23884589662749595</v>
      </c>
      <c r="G1614" s="376">
        <v>10426.102375692073</v>
      </c>
      <c r="H1614" s="376">
        <v>0</v>
      </c>
      <c r="I1614" s="376">
        <v>1</v>
      </c>
    </row>
    <row r="1615" spans="1:9" x14ac:dyDescent="0.35">
      <c r="A1615" s="376" t="s">
        <v>1605</v>
      </c>
      <c r="B1615" s="376" t="s">
        <v>1609</v>
      </c>
      <c r="C1615" s="376" t="s">
        <v>628</v>
      </c>
      <c r="D1615" s="376">
        <v>2022</v>
      </c>
      <c r="E1615" s="376">
        <v>2029</v>
      </c>
      <c r="F1615" s="376">
        <v>0.23884589662749595</v>
      </c>
      <c r="G1615" s="376">
        <v>10426.102375692073</v>
      </c>
      <c r="H1615" s="376">
        <v>0</v>
      </c>
      <c r="I1615" s="376">
        <v>1</v>
      </c>
    </row>
    <row r="1616" spans="1:9" x14ac:dyDescent="0.35">
      <c r="A1616" s="376" t="s">
        <v>1605</v>
      </c>
      <c r="B1616" s="376" t="s">
        <v>1609</v>
      </c>
      <c r="C1616" s="376" t="s">
        <v>1051</v>
      </c>
      <c r="D1616" s="376">
        <v>2022</v>
      </c>
      <c r="E1616" s="376">
        <v>2029</v>
      </c>
      <c r="F1616" s="376">
        <v>0.23884589662749595</v>
      </c>
      <c r="G1616" s="376">
        <v>10426.102375692073</v>
      </c>
      <c r="H1616" s="376">
        <v>0</v>
      </c>
      <c r="I1616" s="376">
        <v>1</v>
      </c>
    </row>
    <row r="1617" spans="1:9" x14ac:dyDescent="0.35">
      <c r="A1617" s="376" t="s">
        <v>1605</v>
      </c>
      <c r="B1617" s="376" t="s">
        <v>1609</v>
      </c>
      <c r="C1617" s="376" t="s">
        <v>1054</v>
      </c>
      <c r="D1617" s="376">
        <v>2022</v>
      </c>
      <c r="E1617" s="376">
        <v>2029</v>
      </c>
      <c r="F1617" s="376">
        <v>0.23884589662749595</v>
      </c>
      <c r="G1617" s="376">
        <v>10426.102375692073</v>
      </c>
      <c r="H1617" s="376">
        <v>0</v>
      </c>
      <c r="I1617" s="376">
        <v>1</v>
      </c>
    </row>
    <row r="1618" spans="1:9" x14ac:dyDescent="0.35">
      <c r="A1618" s="376" t="s">
        <v>1605</v>
      </c>
      <c r="B1618" s="376" t="s">
        <v>1609</v>
      </c>
      <c r="C1618" s="376" t="s">
        <v>1046</v>
      </c>
      <c r="D1618" s="376">
        <v>2022</v>
      </c>
      <c r="E1618" s="376">
        <v>2030</v>
      </c>
      <c r="F1618" s="376">
        <v>0.23884589662749595</v>
      </c>
      <c r="G1618" s="376">
        <v>10426.102375692073</v>
      </c>
      <c r="H1618" s="376">
        <v>0</v>
      </c>
      <c r="I1618" s="376">
        <v>1</v>
      </c>
    </row>
    <row r="1619" spans="1:9" x14ac:dyDescent="0.35">
      <c r="A1619" s="376" t="s">
        <v>1605</v>
      </c>
      <c r="B1619" s="376" t="s">
        <v>1609</v>
      </c>
      <c r="C1619" s="376" t="s">
        <v>644</v>
      </c>
      <c r="D1619" s="376">
        <v>2022</v>
      </c>
      <c r="E1619" s="376">
        <v>2030</v>
      </c>
      <c r="F1619" s="376">
        <v>0.23884589662749595</v>
      </c>
      <c r="G1619" s="376">
        <v>10426.102375692073</v>
      </c>
      <c r="H1619" s="376">
        <v>0</v>
      </c>
      <c r="I1619" s="376">
        <v>1</v>
      </c>
    </row>
    <row r="1620" spans="1:9" x14ac:dyDescent="0.35">
      <c r="A1620" s="376" t="s">
        <v>1605</v>
      </c>
      <c r="B1620" s="376" t="s">
        <v>1609</v>
      </c>
      <c r="C1620" s="376" t="s">
        <v>628</v>
      </c>
      <c r="D1620" s="376">
        <v>2022</v>
      </c>
      <c r="E1620" s="376">
        <v>2030</v>
      </c>
      <c r="F1620" s="376">
        <v>0.23884589662749595</v>
      </c>
      <c r="G1620" s="376">
        <v>10426.102375692073</v>
      </c>
      <c r="H1620" s="376">
        <v>0</v>
      </c>
      <c r="I1620" s="376">
        <v>1</v>
      </c>
    </row>
    <row r="1621" spans="1:9" x14ac:dyDescent="0.35">
      <c r="A1621" s="376" t="s">
        <v>1605</v>
      </c>
      <c r="B1621" s="376" t="s">
        <v>1609</v>
      </c>
      <c r="C1621" s="376" t="s">
        <v>1051</v>
      </c>
      <c r="D1621" s="376">
        <v>2022</v>
      </c>
      <c r="E1621" s="376">
        <v>2030</v>
      </c>
      <c r="F1621" s="376">
        <v>0.23884589662749595</v>
      </c>
      <c r="G1621" s="376">
        <v>10426.102375692073</v>
      </c>
      <c r="H1621" s="376">
        <v>0</v>
      </c>
      <c r="I1621" s="376">
        <v>1</v>
      </c>
    </row>
    <row r="1622" spans="1:9" x14ac:dyDescent="0.35">
      <c r="A1622" s="376" t="s">
        <v>1605</v>
      </c>
      <c r="B1622" s="376" t="s">
        <v>1609</v>
      </c>
      <c r="C1622" s="376" t="s">
        <v>1054</v>
      </c>
      <c r="D1622" s="376">
        <v>2022</v>
      </c>
      <c r="E1622" s="376">
        <v>2030</v>
      </c>
      <c r="F1622" s="376">
        <v>0.23884589662749595</v>
      </c>
      <c r="G1622" s="376">
        <v>10426.102375692073</v>
      </c>
      <c r="H1622" s="376">
        <v>0</v>
      </c>
      <c r="I1622" s="376">
        <v>1</v>
      </c>
    </row>
    <row r="1623" spans="1:9" x14ac:dyDescent="0.35">
      <c r="A1623" s="376" t="s">
        <v>1605</v>
      </c>
      <c r="B1623" s="376" t="s">
        <v>1609</v>
      </c>
      <c r="C1623" s="376" t="s">
        <v>1046</v>
      </c>
      <c r="D1623" s="376">
        <v>2022</v>
      </c>
      <c r="E1623" s="376">
        <v>2031</v>
      </c>
      <c r="F1623" s="376">
        <v>0.23884589662749595</v>
      </c>
      <c r="G1623" s="376">
        <v>10426.102375692073</v>
      </c>
      <c r="H1623" s="376">
        <v>0</v>
      </c>
      <c r="I1623" s="376">
        <v>1</v>
      </c>
    </row>
    <row r="1624" spans="1:9" x14ac:dyDescent="0.35">
      <c r="A1624" s="376" t="s">
        <v>1605</v>
      </c>
      <c r="B1624" s="376" t="s">
        <v>1609</v>
      </c>
      <c r="C1624" s="376" t="s">
        <v>644</v>
      </c>
      <c r="D1624" s="376">
        <v>2022</v>
      </c>
      <c r="E1624" s="376">
        <v>2031</v>
      </c>
      <c r="F1624" s="376">
        <v>0.23884589662749595</v>
      </c>
      <c r="G1624" s="376">
        <v>10426.102375692073</v>
      </c>
      <c r="H1624" s="376">
        <v>0</v>
      </c>
      <c r="I1624" s="376">
        <v>1</v>
      </c>
    </row>
    <row r="1625" spans="1:9" x14ac:dyDescent="0.35">
      <c r="A1625" s="376" t="s">
        <v>1605</v>
      </c>
      <c r="B1625" s="376" t="s">
        <v>1609</v>
      </c>
      <c r="C1625" s="376" t="s">
        <v>628</v>
      </c>
      <c r="D1625" s="376">
        <v>2022</v>
      </c>
      <c r="E1625" s="376">
        <v>2031</v>
      </c>
      <c r="F1625" s="376">
        <v>0.23884589662749595</v>
      </c>
      <c r="G1625" s="376">
        <v>10426.102375692073</v>
      </c>
      <c r="H1625" s="376">
        <v>0</v>
      </c>
      <c r="I1625" s="376">
        <v>1</v>
      </c>
    </row>
    <row r="1626" spans="1:9" x14ac:dyDescent="0.35">
      <c r="A1626" s="376" t="s">
        <v>1605</v>
      </c>
      <c r="B1626" s="376" t="s">
        <v>1609</v>
      </c>
      <c r="C1626" s="376" t="s">
        <v>1051</v>
      </c>
      <c r="D1626" s="376">
        <v>2022</v>
      </c>
      <c r="E1626" s="376">
        <v>2031</v>
      </c>
      <c r="F1626" s="376">
        <v>0.23884589662749595</v>
      </c>
      <c r="G1626" s="376">
        <v>10426.102375692073</v>
      </c>
      <c r="H1626" s="376">
        <v>0</v>
      </c>
      <c r="I1626" s="376">
        <v>1</v>
      </c>
    </row>
    <row r="1627" spans="1:9" x14ac:dyDescent="0.35">
      <c r="A1627" s="376" t="s">
        <v>1605</v>
      </c>
      <c r="B1627" s="376" t="s">
        <v>1609</v>
      </c>
      <c r="C1627" s="376" t="s">
        <v>1054</v>
      </c>
      <c r="D1627" s="376">
        <v>2022</v>
      </c>
      <c r="E1627" s="376">
        <v>2031</v>
      </c>
      <c r="F1627" s="376">
        <v>0.23884589662749595</v>
      </c>
      <c r="G1627" s="376">
        <v>10426.102375692073</v>
      </c>
      <c r="H1627" s="376">
        <v>0</v>
      </c>
      <c r="I1627" s="376">
        <v>1</v>
      </c>
    </row>
    <row r="1628" spans="1:9" x14ac:dyDescent="0.35">
      <c r="A1628" s="376" t="s">
        <v>1636</v>
      </c>
      <c r="B1628" s="376" t="s">
        <v>1609</v>
      </c>
      <c r="C1628" s="376" t="s">
        <v>1046</v>
      </c>
      <c r="D1628" s="376">
        <v>2022</v>
      </c>
      <c r="E1628" s="376">
        <v>2022</v>
      </c>
      <c r="F1628" s="376">
        <v>1</v>
      </c>
      <c r="G1628" s="376">
        <v>3740.7066949070786</v>
      </c>
      <c r="H1628" s="376">
        <v>0</v>
      </c>
      <c r="I1628" s="376">
        <v>1</v>
      </c>
    </row>
    <row r="1629" spans="1:9" x14ac:dyDescent="0.35">
      <c r="A1629" s="376" t="s">
        <v>1636</v>
      </c>
      <c r="B1629" s="376" t="s">
        <v>1609</v>
      </c>
      <c r="C1629" s="376" t="s">
        <v>644</v>
      </c>
      <c r="D1629" s="376">
        <v>2022</v>
      </c>
      <c r="E1629" s="376">
        <v>2022</v>
      </c>
      <c r="F1629" s="376">
        <v>1</v>
      </c>
      <c r="G1629" s="376">
        <v>3740.7066949070786</v>
      </c>
      <c r="H1629" s="376">
        <v>0</v>
      </c>
      <c r="I1629" s="376">
        <v>1</v>
      </c>
    </row>
    <row r="1630" spans="1:9" x14ac:dyDescent="0.35">
      <c r="A1630" s="376" t="s">
        <v>1636</v>
      </c>
      <c r="B1630" s="376" t="s">
        <v>1609</v>
      </c>
      <c r="C1630" s="376" t="s">
        <v>628</v>
      </c>
      <c r="D1630" s="376">
        <v>2022</v>
      </c>
      <c r="E1630" s="376">
        <v>2022</v>
      </c>
      <c r="F1630" s="376">
        <v>1</v>
      </c>
      <c r="G1630" s="376">
        <v>3740.7066949070786</v>
      </c>
      <c r="H1630" s="376">
        <v>0</v>
      </c>
      <c r="I1630" s="376">
        <v>1</v>
      </c>
    </row>
    <row r="1631" spans="1:9" x14ac:dyDescent="0.35">
      <c r="A1631" s="376" t="s">
        <v>1636</v>
      </c>
      <c r="B1631" s="376" t="s">
        <v>1609</v>
      </c>
      <c r="C1631" s="376" t="s">
        <v>1051</v>
      </c>
      <c r="D1631" s="376">
        <v>2022</v>
      </c>
      <c r="E1631" s="376">
        <v>2022</v>
      </c>
      <c r="F1631" s="376">
        <v>1</v>
      </c>
      <c r="G1631" s="376">
        <v>3740.7066949070786</v>
      </c>
      <c r="H1631" s="376">
        <v>0</v>
      </c>
      <c r="I1631" s="376">
        <v>1</v>
      </c>
    </row>
    <row r="1632" spans="1:9" x14ac:dyDescent="0.35">
      <c r="A1632" s="376" t="s">
        <v>1636</v>
      </c>
      <c r="B1632" s="376" t="s">
        <v>1609</v>
      </c>
      <c r="C1632" s="376" t="s">
        <v>1054</v>
      </c>
      <c r="D1632" s="376">
        <v>2022</v>
      </c>
      <c r="E1632" s="376">
        <v>2022</v>
      </c>
      <c r="F1632" s="376">
        <v>1</v>
      </c>
      <c r="G1632" s="376">
        <v>3740.7066949070786</v>
      </c>
      <c r="H1632" s="376">
        <v>0</v>
      </c>
      <c r="I1632" s="376">
        <v>1</v>
      </c>
    </row>
    <row r="1633" spans="1:9" x14ac:dyDescent="0.35">
      <c r="A1633" s="376" t="s">
        <v>1636</v>
      </c>
      <c r="B1633" s="376" t="s">
        <v>1609</v>
      </c>
      <c r="C1633" s="376" t="s">
        <v>1046</v>
      </c>
      <c r="D1633" s="376">
        <v>2022</v>
      </c>
      <c r="E1633" s="376">
        <v>2023</v>
      </c>
      <c r="F1633" s="376">
        <v>1</v>
      </c>
      <c r="G1633" s="376">
        <v>3740.7066949070786</v>
      </c>
      <c r="H1633" s="376">
        <v>0</v>
      </c>
      <c r="I1633" s="376">
        <v>1</v>
      </c>
    </row>
    <row r="1634" spans="1:9" x14ac:dyDescent="0.35">
      <c r="A1634" s="376" t="s">
        <v>1636</v>
      </c>
      <c r="B1634" s="376" t="s">
        <v>1609</v>
      </c>
      <c r="C1634" s="376" t="s">
        <v>644</v>
      </c>
      <c r="D1634" s="376">
        <v>2022</v>
      </c>
      <c r="E1634" s="376">
        <v>2023</v>
      </c>
      <c r="F1634" s="376">
        <v>1</v>
      </c>
      <c r="G1634" s="376">
        <v>3740.7066949070786</v>
      </c>
      <c r="H1634" s="376">
        <v>0</v>
      </c>
      <c r="I1634" s="376">
        <v>1</v>
      </c>
    </row>
    <row r="1635" spans="1:9" x14ac:dyDescent="0.35">
      <c r="A1635" s="376" t="s">
        <v>1636</v>
      </c>
      <c r="B1635" s="376" t="s">
        <v>1609</v>
      </c>
      <c r="C1635" s="376" t="s">
        <v>628</v>
      </c>
      <c r="D1635" s="376">
        <v>2022</v>
      </c>
      <c r="E1635" s="376">
        <v>2023</v>
      </c>
      <c r="F1635" s="376">
        <v>1</v>
      </c>
      <c r="G1635" s="376">
        <v>3740.7066949070786</v>
      </c>
      <c r="H1635" s="376">
        <v>0</v>
      </c>
      <c r="I1635" s="376">
        <v>1</v>
      </c>
    </row>
    <row r="1636" spans="1:9" x14ac:dyDescent="0.35">
      <c r="A1636" s="376" t="s">
        <v>1636</v>
      </c>
      <c r="B1636" s="376" t="s">
        <v>1609</v>
      </c>
      <c r="C1636" s="376" t="s">
        <v>1051</v>
      </c>
      <c r="D1636" s="376">
        <v>2022</v>
      </c>
      <c r="E1636" s="376">
        <v>2023</v>
      </c>
      <c r="F1636" s="376">
        <v>1</v>
      </c>
      <c r="G1636" s="376">
        <v>3740.7066949070786</v>
      </c>
      <c r="H1636" s="376">
        <v>0</v>
      </c>
      <c r="I1636" s="376">
        <v>1</v>
      </c>
    </row>
    <row r="1637" spans="1:9" x14ac:dyDescent="0.35">
      <c r="A1637" s="376" t="s">
        <v>1636</v>
      </c>
      <c r="B1637" s="376" t="s">
        <v>1609</v>
      </c>
      <c r="C1637" s="376" t="s">
        <v>1054</v>
      </c>
      <c r="D1637" s="376">
        <v>2022</v>
      </c>
      <c r="E1637" s="376">
        <v>2023</v>
      </c>
      <c r="F1637" s="376">
        <v>1</v>
      </c>
      <c r="G1637" s="376">
        <v>3740.7066949070786</v>
      </c>
      <c r="H1637" s="376">
        <v>0</v>
      </c>
      <c r="I1637" s="376">
        <v>1</v>
      </c>
    </row>
    <row r="1638" spans="1:9" x14ac:dyDescent="0.35">
      <c r="A1638" s="376" t="s">
        <v>1636</v>
      </c>
      <c r="B1638" s="376" t="s">
        <v>1609</v>
      </c>
      <c r="C1638" s="376" t="s">
        <v>1046</v>
      </c>
      <c r="D1638" s="376">
        <v>2022</v>
      </c>
      <c r="E1638" s="376">
        <v>2024</v>
      </c>
      <c r="F1638" s="376">
        <v>1</v>
      </c>
      <c r="G1638" s="376">
        <v>3740.7066949070786</v>
      </c>
      <c r="H1638" s="376">
        <v>0</v>
      </c>
      <c r="I1638" s="376">
        <v>1</v>
      </c>
    </row>
    <row r="1639" spans="1:9" x14ac:dyDescent="0.35">
      <c r="A1639" s="376" t="s">
        <v>1636</v>
      </c>
      <c r="B1639" s="376" t="s">
        <v>1609</v>
      </c>
      <c r="C1639" s="376" t="s">
        <v>644</v>
      </c>
      <c r="D1639" s="376">
        <v>2022</v>
      </c>
      <c r="E1639" s="376">
        <v>2024</v>
      </c>
      <c r="F1639" s="376">
        <v>1</v>
      </c>
      <c r="G1639" s="376">
        <v>3740.7066949070786</v>
      </c>
      <c r="H1639" s="376">
        <v>0</v>
      </c>
      <c r="I1639" s="376">
        <v>1</v>
      </c>
    </row>
    <row r="1640" spans="1:9" x14ac:dyDescent="0.35">
      <c r="A1640" s="376" t="s">
        <v>1636</v>
      </c>
      <c r="B1640" s="376" t="s">
        <v>1609</v>
      </c>
      <c r="C1640" s="376" t="s">
        <v>628</v>
      </c>
      <c r="D1640" s="376">
        <v>2022</v>
      </c>
      <c r="E1640" s="376">
        <v>2024</v>
      </c>
      <c r="F1640" s="376">
        <v>1</v>
      </c>
      <c r="G1640" s="376">
        <v>3740.7066949070786</v>
      </c>
      <c r="H1640" s="376">
        <v>0</v>
      </c>
      <c r="I1640" s="376">
        <v>1</v>
      </c>
    </row>
    <row r="1641" spans="1:9" x14ac:dyDescent="0.35">
      <c r="A1641" s="376" t="s">
        <v>1636</v>
      </c>
      <c r="B1641" s="376" t="s">
        <v>1609</v>
      </c>
      <c r="C1641" s="376" t="s">
        <v>1051</v>
      </c>
      <c r="D1641" s="376">
        <v>2022</v>
      </c>
      <c r="E1641" s="376">
        <v>2024</v>
      </c>
      <c r="F1641" s="376">
        <v>1</v>
      </c>
      <c r="G1641" s="376">
        <v>3740.7066949070786</v>
      </c>
      <c r="H1641" s="376">
        <v>0</v>
      </c>
      <c r="I1641" s="376">
        <v>1</v>
      </c>
    </row>
    <row r="1642" spans="1:9" x14ac:dyDescent="0.35">
      <c r="A1642" s="376" t="s">
        <v>1636</v>
      </c>
      <c r="B1642" s="376" t="s">
        <v>1609</v>
      </c>
      <c r="C1642" s="376" t="s">
        <v>1054</v>
      </c>
      <c r="D1642" s="376">
        <v>2022</v>
      </c>
      <c r="E1642" s="376">
        <v>2024</v>
      </c>
      <c r="F1642" s="376">
        <v>1</v>
      </c>
      <c r="G1642" s="376">
        <v>3740.7066949070786</v>
      </c>
      <c r="H1642" s="376">
        <v>0</v>
      </c>
      <c r="I1642" s="376">
        <v>1</v>
      </c>
    </row>
    <row r="1643" spans="1:9" x14ac:dyDescent="0.35">
      <c r="A1643" s="376" t="s">
        <v>1636</v>
      </c>
      <c r="B1643" s="376" t="s">
        <v>1609</v>
      </c>
      <c r="C1643" s="376" t="s">
        <v>1046</v>
      </c>
      <c r="D1643" s="376">
        <v>2022</v>
      </c>
      <c r="E1643" s="376">
        <v>2025</v>
      </c>
      <c r="F1643" s="376">
        <v>1</v>
      </c>
      <c r="G1643" s="376">
        <v>3740.7066949070786</v>
      </c>
      <c r="H1643" s="376">
        <v>0</v>
      </c>
      <c r="I1643" s="376">
        <v>1</v>
      </c>
    </row>
    <row r="1644" spans="1:9" x14ac:dyDescent="0.35">
      <c r="A1644" s="376" t="s">
        <v>1636</v>
      </c>
      <c r="B1644" s="376" t="s">
        <v>1609</v>
      </c>
      <c r="C1644" s="376" t="s">
        <v>644</v>
      </c>
      <c r="D1644" s="376">
        <v>2022</v>
      </c>
      <c r="E1644" s="376">
        <v>2025</v>
      </c>
      <c r="F1644" s="376">
        <v>1</v>
      </c>
      <c r="G1644" s="376">
        <v>3740.7066949070786</v>
      </c>
      <c r="H1644" s="376">
        <v>0</v>
      </c>
      <c r="I1644" s="376">
        <v>1</v>
      </c>
    </row>
    <row r="1645" spans="1:9" x14ac:dyDescent="0.35">
      <c r="A1645" s="376" t="s">
        <v>1636</v>
      </c>
      <c r="B1645" s="376" t="s">
        <v>1609</v>
      </c>
      <c r="C1645" s="376" t="s">
        <v>628</v>
      </c>
      <c r="D1645" s="376">
        <v>2022</v>
      </c>
      <c r="E1645" s="376">
        <v>2025</v>
      </c>
      <c r="F1645" s="376">
        <v>1</v>
      </c>
      <c r="G1645" s="376">
        <v>3740.7066949070786</v>
      </c>
      <c r="H1645" s="376">
        <v>0</v>
      </c>
      <c r="I1645" s="376">
        <v>1</v>
      </c>
    </row>
    <row r="1646" spans="1:9" x14ac:dyDescent="0.35">
      <c r="A1646" s="376" t="s">
        <v>1636</v>
      </c>
      <c r="B1646" s="376" t="s">
        <v>1609</v>
      </c>
      <c r="C1646" s="376" t="s">
        <v>1051</v>
      </c>
      <c r="D1646" s="376">
        <v>2022</v>
      </c>
      <c r="E1646" s="376">
        <v>2025</v>
      </c>
      <c r="F1646" s="376">
        <v>1</v>
      </c>
      <c r="G1646" s="376">
        <v>3740.7066949070786</v>
      </c>
      <c r="H1646" s="376">
        <v>0</v>
      </c>
      <c r="I1646" s="376">
        <v>1</v>
      </c>
    </row>
    <row r="1647" spans="1:9" x14ac:dyDescent="0.35">
      <c r="A1647" s="376" t="s">
        <v>1636</v>
      </c>
      <c r="B1647" s="376" t="s">
        <v>1609</v>
      </c>
      <c r="C1647" s="376" t="s">
        <v>1054</v>
      </c>
      <c r="D1647" s="376">
        <v>2022</v>
      </c>
      <c r="E1647" s="376">
        <v>2025</v>
      </c>
      <c r="F1647" s="376">
        <v>1</v>
      </c>
      <c r="G1647" s="376">
        <v>3740.7066949070786</v>
      </c>
      <c r="H1647" s="376">
        <v>0</v>
      </c>
      <c r="I1647" s="376">
        <v>1</v>
      </c>
    </row>
    <row r="1648" spans="1:9" x14ac:dyDescent="0.35">
      <c r="A1648" s="376" t="s">
        <v>1636</v>
      </c>
      <c r="B1648" s="376" t="s">
        <v>1609</v>
      </c>
      <c r="C1648" s="376" t="s">
        <v>1046</v>
      </c>
      <c r="D1648" s="376">
        <v>2022</v>
      </c>
      <c r="E1648" s="376">
        <v>2026</v>
      </c>
      <c r="F1648" s="376">
        <v>1</v>
      </c>
      <c r="G1648" s="376">
        <v>3740.7066949070786</v>
      </c>
      <c r="H1648" s="376">
        <v>0</v>
      </c>
      <c r="I1648" s="376">
        <v>1</v>
      </c>
    </row>
    <row r="1649" spans="1:9" x14ac:dyDescent="0.35">
      <c r="A1649" s="376" t="s">
        <v>1636</v>
      </c>
      <c r="B1649" s="376" t="s">
        <v>1609</v>
      </c>
      <c r="C1649" s="376" t="s">
        <v>644</v>
      </c>
      <c r="D1649" s="376">
        <v>2022</v>
      </c>
      <c r="E1649" s="376">
        <v>2026</v>
      </c>
      <c r="F1649" s="376">
        <v>1</v>
      </c>
      <c r="G1649" s="376">
        <v>3740.7066949070786</v>
      </c>
      <c r="H1649" s="376">
        <v>0</v>
      </c>
      <c r="I1649" s="376">
        <v>1</v>
      </c>
    </row>
    <row r="1650" spans="1:9" x14ac:dyDescent="0.35">
      <c r="A1650" s="376" t="s">
        <v>1636</v>
      </c>
      <c r="B1650" s="376" t="s">
        <v>1609</v>
      </c>
      <c r="C1650" s="376" t="s">
        <v>628</v>
      </c>
      <c r="D1650" s="376">
        <v>2022</v>
      </c>
      <c r="E1650" s="376">
        <v>2026</v>
      </c>
      <c r="F1650" s="376">
        <v>1</v>
      </c>
      <c r="G1650" s="376">
        <v>3740.7066949070786</v>
      </c>
      <c r="H1650" s="376">
        <v>0</v>
      </c>
      <c r="I1650" s="376">
        <v>1</v>
      </c>
    </row>
    <row r="1651" spans="1:9" x14ac:dyDescent="0.35">
      <c r="A1651" s="376" t="s">
        <v>1636</v>
      </c>
      <c r="B1651" s="376" t="s">
        <v>1609</v>
      </c>
      <c r="C1651" s="376" t="s">
        <v>1051</v>
      </c>
      <c r="D1651" s="376">
        <v>2022</v>
      </c>
      <c r="E1651" s="376">
        <v>2026</v>
      </c>
      <c r="F1651" s="376">
        <v>1</v>
      </c>
      <c r="G1651" s="376">
        <v>3740.7066949070786</v>
      </c>
      <c r="H1651" s="376">
        <v>0</v>
      </c>
      <c r="I1651" s="376">
        <v>1</v>
      </c>
    </row>
    <row r="1652" spans="1:9" x14ac:dyDescent="0.35">
      <c r="A1652" s="376" t="s">
        <v>1636</v>
      </c>
      <c r="B1652" s="376" t="s">
        <v>1609</v>
      </c>
      <c r="C1652" s="376" t="s">
        <v>1054</v>
      </c>
      <c r="D1652" s="376">
        <v>2022</v>
      </c>
      <c r="E1652" s="376">
        <v>2026</v>
      </c>
      <c r="F1652" s="376">
        <v>1</v>
      </c>
      <c r="G1652" s="376">
        <v>3740.7066949070786</v>
      </c>
      <c r="H1652" s="376">
        <v>0</v>
      </c>
      <c r="I1652" s="376">
        <v>1</v>
      </c>
    </row>
    <row r="1653" spans="1:9" x14ac:dyDescent="0.35">
      <c r="A1653" s="376" t="s">
        <v>1636</v>
      </c>
      <c r="B1653" s="376" t="s">
        <v>1609</v>
      </c>
      <c r="C1653" s="376" t="s">
        <v>1046</v>
      </c>
      <c r="D1653" s="376">
        <v>2022</v>
      </c>
      <c r="E1653" s="376">
        <v>2027</v>
      </c>
      <c r="F1653" s="376">
        <v>1</v>
      </c>
      <c r="G1653" s="376">
        <v>3740.7066949070786</v>
      </c>
      <c r="H1653" s="376">
        <v>0</v>
      </c>
      <c r="I1653" s="376">
        <v>1</v>
      </c>
    </row>
    <row r="1654" spans="1:9" x14ac:dyDescent="0.35">
      <c r="A1654" s="376" t="s">
        <v>1636</v>
      </c>
      <c r="B1654" s="376" t="s">
        <v>1609</v>
      </c>
      <c r="C1654" s="376" t="s">
        <v>644</v>
      </c>
      <c r="D1654" s="376">
        <v>2022</v>
      </c>
      <c r="E1654" s="376">
        <v>2027</v>
      </c>
      <c r="F1654" s="376">
        <v>1</v>
      </c>
      <c r="G1654" s="376">
        <v>3740.7066949070786</v>
      </c>
      <c r="H1654" s="376">
        <v>0</v>
      </c>
      <c r="I1654" s="376">
        <v>1</v>
      </c>
    </row>
    <row r="1655" spans="1:9" x14ac:dyDescent="0.35">
      <c r="A1655" s="376" t="s">
        <v>1636</v>
      </c>
      <c r="B1655" s="376" t="s">
        <v>1609</v>
      </c>
      <c r="C1655" s="376" t="s">
        <v>628</v>
      </c>
      <c r="D1655" s="376">
        <v>2022</v>
      </c>
      <c r="E1655" s="376">
        <v>2027</v>
      </c>
      <c r="F1655" s="376">
        <v>1</v>
      </c>
      <c r="G1655" s="376">
        <v>3740.7066949070786</v>
      </c>
      <c r="H1655" s="376">
        <v>0</v>
      </c>
      <c r="I1655" s="376">
        <v>1</v>
      </c>
    </row>
    <row r="1656" spans="1:9" x14ac:dyDescent="0.35">
      <c r="A1656" s="376" t="s">
        <v>1636</v>
      </c>
      <c r="B1656" s="376" t="s">
        <v>1609</v>
      </c>
      <c r="C1656" s="376" t="s">
        <v>1051</v>
      </c>
      <c r="D1656" s="376">
        <v>2022</v>
      </c>
      <c r="E1656" s="376">
        <v>2027</v>
      </c>
      <c r="F1656" s="376">
        <v>1</v>
      </c>
      <c r="G1656" s="376">
        <v>3740.7066949070786</v>
      </c>
      <c r="H1656" s="376">
        <v>0</v>
      </c>
      <c r="I1656" s="376">
        <v>1</v>
      </c>
    </row>
    <row r="1657" spans="1:9" x14ac:dyDescent="0.35">
      <c r="A1657" s="376" t="s">
        <v>1636</v>
      </c>
      <c r="B1657" s="376" t="s">
        <v>1609</v>
      </c>
      <c r="C1657" s="376" t="s">
        <v>1054</v>
      </c>
      <c r="D1657" s="376">
        <v>2022</v>
      </c>
      <c r="E1657" s="376">
        <v>2027</v>
      </c>
      <c r="F1657" s="376">
        <v>1</v>
      </c>
      <c r="G1657" s="376">
        <v>3740.7066949070786</v>
      </c>
      <c r="H1657" s="376">
        <v>0</v>
      </c>
      <c r="I1657" s="376">
        <v>1</v>
      </c>
    </row>
    <row r="1658" spans="1:9" x14ac:dyDescent="0.35">
      <c r="A1658" s="376" t="s">
        <v>1636</v>
      </c>
      <c r="B1658" s="376" t="s">
        <v>1609</v>
      </c>
      <c r="C1658" s="376" t="s">
        <v>1046</v>
      </c>
      <c r="D1658" s="376">
        <v>2022</v>
      </c>
      <c r="E1658" s="376">
        <v>2028</v>
      </c>
      <c r="F1658" s="376">
        <v>1</v>
      </c>
      <c r="G1658" s="376">
        <v>3740.7066949070786</v>
      </c>
      <c r="H1658" s="376">
        <v>0</v>
      </c>
      <c r="I1658" s="376">
        <v>1</v>
      </c>
    </row>
    <row r="1659" spans="1:9" x14ac:dyDescent="0.35">
      <c r="A1659" s="376" t="s">
        <v>1636</v>
      </c>
      <c r="B1659" s="376" t="s">
        <v>1609</v>
      </c>
      <c r="C1659" s="376" t="s">
        <v>644</v>
      </c>
      <c r="D1659" s="376">
        <v>2022</v>
      </c>
      <c r="E1659" s="376">
        <v>2028</v>
      </c>
      <c r="F1659" s="376">
        <v>1</v>
      </c>
      <c r="G1659" s="376">
        <v>3740.7066949070786</v>
      </c>
      <c r="H1659" s="376">
        <v>0</v>
      </c>
      <c r="I1659" s="376">
        <v>1</v>
      </c>
    </row>
    <row r="1660" spans="1:9" x14ac:dyDescent="0.35">
      <c r="A1660" s="376" t="s">
        <v>1636</v>
      </c>
      <c r="B1660" s="376" t="s">
        <v>1609</v>
      </c>
      <c r="C1660" s="376" t="s">
        <v>628</v>
      </c>
      <c r="D1660" s="376">
        <v>2022</v>
      </c>
      <c r="E1660" s="376">
        <v>2028</v>
      </c>
      <c r="F1660" s="376">
        <v>1</v>
      </c>
      <c r="G1660" s="376">
        <v>3740.7066949070786</v>
      </c>
      <c r="H1660" s="376">
        <v>0</v>
      </c>
      <c r="I1660" s="376">
        <v>1</v>
      </c>
    </row>
    <row r="1661" spans="1:9" x14ac:dyDescent="0.35">
      <c r="A1661" s="376" t="s">
        <v>1636</v>
      </c>
      <c r="B1661" s="376" t="s">
        <v>1609</v>
      </c>
      <c r="C1661" s="376" t="s">
        <v>1051</v>
      </c>
      <c r="D1661" s="376">
        <v>2022</v>
      </c>
      <c r="E1661" s="376">
        <v>2028</v>
      </c>
      <c r="F1661" s="376">
        <v>1</v>
      </c>
      <c r="G1661" s="376">
        <v>3740.7066949070786</v>
      </c>
      <c r="H1661" s="376">
        <v>0</v>
      </c>
      <c r="I1661" s="376">
        <v>1</v>
      </c>
    </row>
    <row r="1662" spans="1:9" x14ac:dyDescent="0.35">
      <c r="A1662" s="376" t="s">
        <v>1636</v>
      </c>
      <c r="B1662" s="376" t="s">
        <v>1609</v>
      </c>
      <c r="C1662" s="376" t="s">
        <v>1054</v>
      </c>
      <c r="D1662" s="376">
        <v>2022</v>
      </c>
      <c r="E1662" s="376">
        <v>2028</v>
      </c>
      <c r="F1662" s="376">
        <v>1</v>
      </c>
      <c r="G1662" s="376">
        <v>3740.7066949070786</v>
      </c>
      <c r="H1662" s="376">
        <v>0</v>
      </c>
      <c r="I1662" s="376">
        <v>1</v>
      </c>
    </row>
    <row r="1663" spans="1:9" x14ac:dyDescent="0.35">
      <c r="A1663" s="376" t="s">
        <v>1636</v>
      </c>
      <c r="B1663" s="376" t="s">
        <v>1609</v>
      </c>
      <c r="C1663" s="376" t="s">
        <v>1046</v>
      </c>
      <c r="D1663" s="376">
        <v>2022</v>
      </c>
      <c r="E1663" s="376">
        <v>2029</v>
      </c>
      <c r="F1663" s="376">
        <v>1</v>
      </c>
      <c r="G1663" s="376">
        <v>3740.7066949070786</v>
      </c>
      <c r="H1663" s="376">
        <v>0</v>
      </c>
      <c r="I1663" s="376">
        <v>1</v>
      </c>
    </row>
    <row r="1664" spans="1:9" x14ac:dyDescent="0.35">
      <c r="A1664" s="376" t="s">
        <v>1636</v>
      </c>
      <c r="B1664" s="376" t="s">
        <v>1609</v>
      </c>
      <c r="C1664" s="376" t="s">
        <v>644</v>
      </c>
      <c r="D1664" s="376">
        <v>2022</v>
      </c>
      <c r="E1664" s="376">
        <v>2029</v>
      </c>
      <c r="F1664" s="376">
        <v>1</v>
      </c>
      <c r="G1664" s="376">
        <v>3740.7066949070786</v>
      </c>
      <c r="H1664" s="376">
        <v>0</v>
      </c>
      <c r="I1664" s="376">
        <v>1</v>
      </c>
    </row>
    <row r="1665" spans="1:9" x14ac:dyDescent="0.35">
      <c r="A1665" s="376" t="s">
        <v>1636</v>
      </c>
      <c r="B1665" s="376" t="s">
        <v>1609</v>
      </c>
      <c r="C1665" s="376" t="s">
        <v>628</v>
      </c>
      <c r="D1665" s="376">
        <v>2022</v>
      </c>
      <c r="E1665" s="376">
        <v>2029</v>
      </c>
      <c r="F1665" s="376">
        <v>1</v>
      </c>
      <c r="G1665" s="376">
        <v>3740.7066949070786</v>
      </c>
      <c r="H1665" s="376">
        <v>0</v>
      </c>
      <c r="I1665" s="376">
        <v>1</v>
      </c>
    </row>
    <row r="1666" spans="1:9" x14ac:dyDescent="0.35">
      <c r="A1666" s="376" t="s">
        <v>1636</v>
      </c>
      <c r="B1666" s="376" t="s">
        <v>1609</v>
      </c>
      <c r="C1666" s="376" t="s">
        <v>1051</v>
      </c>
      <c r="D1666" s="376">
        <v>2022</v>
      </c>
      <c r="E1666" s="376">
        <v>2029</v>
      </c>
      <c r="F1666" s="376">
        <v>1</v>
      </c>
      <c r="G1666" s="376">
        <v>3740.7066949070786</v>
      </c>
      <c r="H1666" s="376">
        <v>0</v>
      </c>
      <c r="I1666" s="376">
        <v>1</v>
      </c>
    </row>
    <row r="1667" spans="1:9" x14ac:dyDescent="0.35">
      <c r="A1667" s="376" t="s">
        <v>1636</v>
      </c>
      <c r="B1667" s="376" t="s">
        <v>1609</v>
      </c>
      <c r="C1667" s="376" t="s">
        <v>1054</v>
      </c>
      <c r="D1667" s="376">
        <v>2022</v>
      </c>
      <c r="E1667" s="376">
        <v>2029</v>
      </c>
      <c r="F1667" s="376">
        <v>1</v>
      </c>
      <c r="G1667" s="376">
        <v>3740.7066949070786</v>
      </c>
      <c r="H1667" s="376">
        <v>0</v>
      </c>
      <c r="I1667" s="376">
        <v>1</v>
      </c>
    </row>
    <row r="1668" spans="1:9" x14ac:dyDescent="0.35">
      <c r="A1668" s="376" t="s">
        <v>1636</v>
      </c>
      <c r="B1668" s="376" t="s">
        <v>1609</v>
      </c>
      <c r="C1668" s="376" t="s">
        <v>1046</v>
      </c>
      <c r="D1668" s="376">
        <v>2022</v>
      </c>
      <c r="E1668" s="376">
        <v>2030</v>
      </c>
      <c r="F1668" s="376">
        <v>1</v>
      </c>
      <c r="G1668" s="376">
        <v>3740.7066949070786</v>
      </c>
      <c r="H1668" s="376">
        <v>0</v>
      </c>
      <c r="I1668" s="376">
        <v>1</v>
      </c>
    </row>
    <row r="1669" spans="1:9" x14ac:dyDescent="0.35">
      <c r="A1669" s="376" t="s">
        <v>1636</v>
      </c>
      <c r="B1669" s="376" t="s">
        <v>1609</v>
      </c>
      <c r="C1669" s="376" t="s">
        <v>644</v>
      </c>
      <c r="D1669" s="376">
        <v>2022</v>
      </c>
      <c r="E1669" s="376">
        <v>2030</v>
      </c>
      <c r="F1669" s="376">
        <v>1</v>
      </c>
      <c r="G1669" s="376">
        <v>3740.7066949070786</v>
      </c>
      <c r="H1669" s="376">
        <v>0</v>
      </c>
      <c r="I1669" s="376">
        <v>1</v>
      </c>
    </row>
    <row r="1670" spans="1:9" x14ac:dyDescent="0.35">
      <c r="A1670" s="376" t="s">
        <v>1636</v>
      </c>
      <c r="B1670" s="376" t="s">
        <v>1609</v>
      </c>
      <c r="C1670" s="376" t="s">
        <v>628</v>
      </c>
      <c r="D1670" s="376">
        <v>2022</v>
      </c>
      <c r="E1670" s="376">
        <v>2030</v>
      </c>
      <c r="F1670" s="376">
        <v>1</v>
      </c>
      <c r="G1670" s="376">
        <v>3740.7066949070786</v>
      </c>
      <c r="H1670" s="376">
        <v>0</v>
      </c>
      <c r="I1670" s="376">
        <v>1</v>
      </c>
    </row>
    <row r="1671" spans="1:9" x14ac:dyDescent="0.35">
      <c r="A1671" s="376" t="s">
        <v>1636</v>
      </c>
      <c r="B1671" s="376" t="s">
        <v>1609</v>
      </c>
      <c r="C1671" s="376" t="s">
        <v>1051</v>
      </c>
      <c r="D1671" s="376">
        <v>2022</v>
      </c>
      <c r="E1671" s="376">
        <v>2030</v>
      </c>
      <c r="F1671" s="376">
        <v>1</v>
      </c>
      <c r="G1671" s="376">
        <v>3740.7066949070786</v>
      </c>
      <c r="H1671" s="376">
        <v>0</v>
      </c>
      <c r="I1671" s="376">
        <v>1</v>
      </c>
    </row>
    <row r="1672" spans="1:9" x14ac:dyDescent="0.35">
      <c r="A1672" s="376" t="s">
        <v>1636</v>
      </c>
      <c r="B1672" s="376" t="s">
        <v>1609</v>
      </c>
      <c r="C1672" s="376" t="s">
        <v>1054</v>
      </c>
      <c r="D1672" s="376">
        <v>2022</v>
      </c>
      <c r="E1672" s="376">
        <v>2030</v>
      </c>
      <c r="F1672" s="376">
        <v>1</v>
      </c>
      <c r="G1672" s="376">
        <v>3740.7066949070786</v>
      </c>
      <c r="H1672" s="376">
        <v>0</v>
      </c>
      <c r="I1672" s="376">
        <v>1</v>
      </c>
    </row>
    <row r="1673" spans="1:9" x14ac:dyDescent="0.35">
      <c r="A1673" s="376" t="s">
        <v>1636</v>
      </c>
      <c r="B1673" s="376" t="s">
        <v>1609</v>
      </c>
      <c r="C1673" s="376" t="s">
        <v>1046</v>
      </c>
      <c r="D1673" s="376">
        <v>2022</v>
      </c>
      <c r="E1673" s="376">
        <v>2031</v>
      </c>
      <c r="F1673" s="376">
        <v>1</v>
      </c>
      <c r="G1673" s="376">
        <v>3740.7066949070786</v>
      </c>
      <c r="H1673" s="376">
        <v>0</v>
      </c>
      <c r="I1673" s="376">
        <v>1</v>
      </c>
    </row>
    <row r="1674" spans="1:9" x14ac:dyDescent="0.35">
      <c r="A1674" s="376" t="s">
        <v>1636</v>
      </c>
      <c r="B1674" s="376" t="s">
        <v>1609</v>
      </c>
      <c r="C1674" s="376" t="s">
        <v>644</v>
      </c>
      <c r="D1674" s="376">
        <v>2022</v>
      </c>
      <c r="E1674" s="376">
        <v>2031</v>
      </c>
      <c r="F1674" s="376">
        <v>1</v>
      </c>
      <c r="G1674" s="376">
        <v>3740.7066949070786</v>
      </c>
      <c r="H1674" s="376">
        <v>0</v>
      </c>
      <c r="I1674" s="376">
        <v>1</v>
      </c>
    </row>
    <row r="1675" spans="1:9" x14ac:dyDescent="0.35">
      <c r="A1675" s="376" t="s">
        <v>1636</v>
      </c>
      <c r="B1675" s="376" t="s">
        <v>1609</v>
      </c>
      <c r="C1675" s="376" t="s">
        <v>628</v>
      </c>
      <c r="D1675" s="376">
        <v>2022</v>
      </c>
      <c r="E1675" s="376">
        <v>2031</v>
      </c>
      <c r="F1675" s="376">
        <v>1</v>
      </c>
      <c r="G1675" s="376">
        <v>3740.7066949070786</v>
      </c>
      <c r="H1675" s="376">
        <v>0</v>
      </c>
      <c r="I1675" s="376">
        <v>1</v>
      </c>
    </row>
    <row r="1676" spans="1:9" x14ac:dyDescent="0.35">
      <c r="A1676" s="376" t="s">
        <v>1636</v>
      </c>
      <c r="B1676" s="376" t="s">
        <v>1609</v>
      </c>
      <c r="C1676" s="376" t="s">
        <v>1051</v>
      </c>
      <c r="D1676" s="376">
        <v>2022</v>
      </c>
      <c r="E1676" s="376">
        <v>2031</v>
      </c>
      <c r="F1676" s="376">
        <v>1</v>
      </c>
      <c r="G1676" s="376">
        <v>3740.7066949070786</v>
      </c>
      <c r="H1676" s="376">
        <v>0</v>
      </c>
      <c r="I1676" s="376">
        <v>1</v>
      </c>
    </row>
    <row r="1677" spans="1:9" x14ac:dyDescent="0.35">
      <c r="A1677" s="376" t="s">
        <v>1636</v>
      </c>
      <c r="B1677" s="376" t="s">
        <v>1609</v>
      </c>
      <c r="C1677" s="376" t="s">
        <v>1054</v>
      </c>
      <c r="D1677" s="376">
        <v>2022</v>
      </c>
      <c r="E1677" s="376">
        <v>2031</v>
      </c>
      <c r="F1677" s="376">
        <v>1</v>
      </c>
      <c r="G1677" s="376">
        <v>3740.7066949070786</v>
      </c>
      <c r="H1677" s="376">
        <v>0</v>
      </c>
      <c r="I1677" s="376">
        <v>1</v>
      </c>
    </row>
    <row r="1678" spans="1:9" x14ac:dyDescent="0.35">
      <c r="A1678" s="376" t="s">
        <v>1606</v>
      </c>
      <c r="B1678" s="376" t="s">
        <v>1609</v>
      </c>
      <c r="C1678" s="376" t="s">
        <v>1046</v>
      </c>
      <c r="D1678" s="376">
        <v>2022</v>
      </c>
      <c r="E1678" s="376">
        <v>2022</v>
      </c>
      <c r="F1678" s="376">
        <v>1</v>
      </c>
      <c r="G1678" s="376">
        <v>6115.0506935945432</v>
      </c>
      <c r="H1678" s="376">
        <v>0</v>
      </c>
      <c r="I1678" s="376">
        <v>1</v>
      </c>
    </row>
    <row r="1679" spans="1:9" x14ac:dyDescent="0.35">
      <c r="A1679" s="376" t="s">
        <v>1606</v>
      </c>
      <c r="B1679" s="376" t="s">
        <v>1609</v>
      </c>
      <c r="C1679" s="376" t="s">
        <v>644</v>
      </c>
      <c r="D1679" s="376">
        <v>2022</v>
      </c>
      <c r="E1679" s="376">
        <v>2022</v>
      </c>
      <c r="F1679" s="376">
        <v>1</v>
      </c>
      <c r="G1679" s="376">
        <v>6115.0506935945432</v>
      </c>
      <c r="H1679" s="376">
        <v>0</v>
      </c>
      <c r="I1679" s="376">
        <v>1</v>
      </c>
    </row>
    <row r="1680" spans="1:9" x14ac:dyDescent="0.35">
      <c r="A1680" s="376" t="s">
        <v>1606</v>
      </c>
      <c r="B1680" s="376" t="s">
        <v>1609</v>
      </c>
      <c r="C1680" s="376" t="s">
        <v>628</v>
      </c>
      <c r="D1680" s="376">
        <v>2022</v>
      </c>
      <c r="E1680" s="376">
        <v>2022</v>
      </c>
      <c r="F1680" s="376">
        <v>1</v>
      </c>
      <c r="G1680" s="376">
        <v>6115.0506935945432</v>
      </c>
      <c r="H1680" s="376">
        <v>0</v>
      </c>
      <c r="I1680" s="376">
        <v>1</v>
      </c>
    </row>
    <row r="1681" spans="1:9" x14ac:dyDescent="0.35">
      <c r="A1681" s="376" t="s">
        <v>1606</v>
      </c>
      <c r="B1681" s="376" t="s">
        <v>1609</v>
      </c>
      <c r="C1681" s="376" t="s">
        <v>1051</v>
      </c>
      <c r="D1681" s="376">
        <v>2022</v>
      </c>
      <c r="E1681" s="376">
        <v>2022</v>
      </c>
      <c r="F1681" s="376">
        <v>1</v>
      </c>
      <c r="G1681" s="376">
        <v>6115.0506935945432</v>
      </c>
      <c r="H1681" s="376">
        <v>0</v>
      </c>
      <c r="I1681" s="376">
        <v>1</v>
      </c>
    </row>
    <row r="1682" spans="1:9" x14ac:dyDescent="0.35">
      <c r="A1682" s="376" t="s">
        <v>1606</v>
      </c>
      <c r="B1682" s="376" t="s">
        <v>1609</v>
      </c>
      <c r="C1682" s="376" t="s">
        <v>1054</v>
      </c>
      <c r="D1682" s="376">
        <v>2022</v>
      </c>
      <c r="E1682" s="376">
        <v>2022</v>
      </c>
      <c r="F1682" s="376">
        <v>1</v>
      </c>
      <c r="G1682" s="376">
        <v>6115.0506935945432</v>
      </c>
      <c r="H1682" s="376">
        <v>0</v>
      </c>
      <c r="I1682" s="376">
        <v>1</v>
      </c>
    </row>
    <row r="1683" spans="1:9" x14ac:dyDescent="0.35">
      <c r="A1683" s="376" t="s">
        <v>1606</v>
      </c>
      <c r="B1683" s="376" t="s">
        <v>1609</v>
      </c>
      <c r="C1683" s="376" t="s">
        <v>1046</v>
      </c>
      <c r="D1683" s="376">
        <v>2022</v>
      </c>
      <c r="E1683" s="376">
        <v>2023</v>
      </c>
      <c r="F1683" s="376">
        <v>1</v>
      </c>
      <c r="G1683" s="376">
        <v>6115.0506935945432</v>
      </c>
      <c r="H1683" s="376">
        <v>0</v>
      </c>
      <c r="I1683" s="376">
        <v>1</v>
      </c>
    </row>
    <row r="1684" spans="1:9" x14ac:dyDescent="0.35">
      <c r="A1684" s="376" t="s">
        <v>1606</v>
      </c>
      <c r="B1684" s="376" t="s">
        <v>1609</v>
      </c>
      <c r="C1684" s="376" t="s">
        <v>644</v>
      </c>
      <c r="D1684" s="376">
        <v>2022</v>
      </c>
      <c r="E1684" s="376">
        <v>2023</v>
      </c>
      <c r="F1684" s="376">
        <v>1</v>
      </c>
      <c r="G1684" s="376">
        <v>6115.0506935945432</v>
      </c>
      <c r="H1684" s="376">
        <v>0</v>
      </c>
      <c r="I1684" s="376">
        <v>1</v>
      </c>
    </row>
    <row r="1685" spans="1:9" x14ac:dyDescent="0.35">
      <c r="A1685" s="376" t="s">
        <v>1606</v>
      </c>
      <c r="B1685" s="376" t="s">
        <v>1609</v>
      </c>
      <c r="C1685" s="376" t="s">
        <v>628</v>
      </c>
      <c r="D1685" s="376">
        <v>2022</v>
      </c>
      <c r="E1685" s="376">
        <v>2023</v>
      </c>
      <c r="F1685" s="376">
        <v>1</v>
      </c>
      <c r="G1685" s="376">
        <v>6115.0506935945432</v>
      </c>
      <c r="H1685" s="376">
        <v>0</v>
      </c>
      <c r="I1685" s="376">
        <v>1</v>
      </c>
    </row>
    <row r="1686" spans="1:9" x14ac:dyDescent="0.35">
      <c r="A1686" s="376" t="s">
        <v>1606</v>
      </c>
      <c r="B1686" s="376" t="s">
        <v>1609</v>
      </c>
      <c r="C1686" s="376" t="s">
        <v>1051</v>
      </c>
      <c r="D1686" s="376">
        <v>2022</v>
      </c>
      <c r="E1686" s="376">
        <v>2023</v>
      </c>
      <c r="F1686" s="376">
        <v>1</v>
      </c>
      <c r="G1686" s="376">
        <v>6115.0506935945432</v>
      </c>
      <c r="H1686" s="376">
        <v>0</v>
      </c>
      <c r="I1686" s="376">
        <v>1</v>
      </c>
    </row>
    <row r="1687" spans="1:9" x14ac:dyDescent="0.35">
      <c r="A1687" s="376" t="s">
        <v>1606</v>
      </c>
      <c r="B1687" s="376" t="s">
        <v>1609</v>
      </c>
      <c r="C1687" s="376" t="s">
        <v>1054</v>
      </c>
      <c r="D1687" s="376">
        <v>2022</v>
      </c>
      <c r="E1687" s="376">
        <v>2023</v>
      </c>
      <c r="F1687" s="376">
        <v>1</v>
      </c>
      <c r="G1687" s="376">
        <v>6115.0506935945432</v>
      </c>
      <c r="H1687" s="376">
        <v>0</v>
      </c>
      <c r="I1687" s="376">
        <v>1</v>
      </c>
    </row>
    <row r="1688" spans="1:9" x14ac:dyDescent="0.35">
      <c r="A1688" s="376" t="s">
        <v>1606</v>
      </c>
      <c r="B1688" s="376" t="s">
        <v>1609</v>
      </c>
      <c r="C1688" s="376" t="s">
        <v>1046</v>
      </c>
      <c r="D1688" s="376">
        <v>2022</v>
      </c>
      <c r="E1688" s="376">
        <v>2024</v>
      </c>
      <c r="F1688" s="376">
        <v>1</v>
      </c>
      <c r="G1688" s="376">
        <v>6115.0506935945432</v>
      </c>
      <c r="H1688" s="376">
        <v>0</v>
      </c>
      <c r="I1688" s="376">
        <v>1</v>
      </c>
    </row>
    <row r="1689" spans="1:9" x14ac:dyDescent="0.35">
      <c r="A1689" s="376" t="s">
        <v>1606</v>
      </c>
      <c r="B1689" s="376" t="s">
        <v>1609</v>
      </c>
      <c r="C1689" s="376" t="s">
        <v>644</v>
      </c>
      <c r="D1689" s="376">
        <v>2022</v>
      </c>
      <c r="E1689" s="376">
        <v>2024</v>
      </c>
      <c r="F1689" s="376">
        <v>1</v>
      </c>
      <c r="G1689" s="376">
        <v>6115.0506935945432</v>
      </c>
      <c r="H1689" s="376">
        <v>0</v>
      </c>
      <c r="I1689" s="376">
        <v>1</v>
      </c>
    </row>
    <row r="1690" spans="1:9" x14ac:dyDescent="0.35">
      <c r="A1690" s="376" t="s">
        <v>1606</v>
      </c>
      <c r="B1690" s="376" t="s">
        <v>1609</v>
      </c>
      <c r="C1690" s="376" t="s">
        <v>628</v>
      </c>
      <c r="D1690" s="376">
        <v>2022</v>
      </c>
      <c r="E1690" s="376">
        <v>2024</v>
      </c>
      <c r="F1690" s="376">
        <v>1</v>
      </c>
      <c r="G1690" s="376">
        <v>6115.0506935945432</v>
      </c>
      <c r="H1690" s="376">
        <v>0</v>
      </c>
      <c r="I1690" s="376">
        <v>1</v>
      </c>
    </row>
    <row r="1691" spans="1:9" x14ac:dyDescent="0.35">
      <c r="A1691" s="376" t="s">
        <v>1606</v>
      </c>
      <c r="B1691" s="376" t="s">
        <v>1609</v>
      </c>
      <c r="C1691" s="376" t="s">
        <v>1051</v>
      </c>
      <c r="D1691" s="376">
        <v>2022</v>
      </c>
      <c r="E1691" s="376">
        <v>2024</v>
      </c>
      <c r="F1691" s="376">
        <v>1</v>
      </c>
      <c r="G1691" s="376">
        <v>6115.0506935945432</v>
      </c>
      <c r="H1691" s="376">
        <v>0</v>
      </c>
      <c r="I1691" s="376">
        <v>1</v>
      </c>
    </row>
    <row r="1692" spans="1:9" x14ac:dyDescent="0.35">
      <c r="A1692" s="376" t="s">
        <v>1606</v>
      </c>
      <c r="B1692" s="376" t="s">
        <v>1609</v>
      </c>
      <c r="C1692" s="376" t="s">
        <v>1054</v>
      </c>
      <c r="D1692" s="376">
        <v>2022</v>
      </c>
      <c r="E1692" s="376">
        <v>2024</v>
      </c>
      <c r="F1692" s="376">
        <v>1</v>
      </c>
      <c r="G1692" s="376">
        <v>6115.0506935945432</v>
      </c>
      <c r="H1692" s="376">
        <v>0</v>
      </c>
      <c r="I1692" s="376">
        <v>1</v>
      </c>
    </row>
    <row r="1693" spans="1:9" x14ac:dyDescent="0.35">
      <c r="A1693" s="376" t="s">
        <v>1606</v>
      </c>
      <c r="B1693" s="376" t="s">
        <v>1609</v>
      </c>
      <c r="C1693" s="376" t="s">
        <v>1046</v>
      </c>
      <c r="D1693" s="376">
        <v>2022</v>
      </c>
      <c r="E1693" s="376">
        <v>2025</v>
      </c>
      <c r="F1693" s="376">
        <v>1</v>
      </c>
      <c r="G1693" s="376">
        <v>6115.0506935945432</v>
      </c>
      <c r="H1693" s="376">
        <v>0</v>
      </c>
      <c r="I1693" s="376">
        <v>1</v>
      </c>
    </row>
    <row r="1694" spans="1:9" x14ac:dyDescent="0.35">
      <c r="A1694" s="376" t="s">
        <v>1606</v>
      </c>
      <c r="B1694" s="376" t="s">
        <v>1609</v>
      </c>
      <c r="C1694" s="376" t="s">
        <v>644</v>
      </c>
      <c r="D1694" s="376">
        <v>2022</v>
      </c>
      <c r="E1694" s="376">
        <v>2025</v>
      </c>
      <c r="F1694" s="376">
        <v>1</v>
      </c>
      <c r="G1694" s="376">
        <v>6115.0506935945432</v>
      </c>
      <c r="H1694" s="376">
        <v>0</v>
      </c>
      <c r="I1694" s="376">
        <v>1</v>
      </c>
    </row>
    <row r="1695" spans="1:9" x14ac:dyDescent="0.35">
      <c r="A1695" s="376" t="s">
        <v>1606</v>
      </c>
      <c r="B1695" s="376" t="s">
        <v>1609</v>
      </c>
      <c r="C1695" s="376" t="s">
        <v>628</v>
      </c>
      <c r="D1695" s="376">
        <v>2022</v>
      </c>
      <c r="E1695" s="376">
        <v>2025</v>
      </c>
      <c r="F1695" s="376">
        <v>1</v>
      </c>
      <c r="G1695" s="376">
        <v>6115.0506935945432</v>
      </c>
      <c r="H1695" s="376">
        <v>0</v>
      </c>
      <c r="I1695" s="376">
        <v>1</v>
      </c>
    </row>
    <row r="1696" spans="1:9" x14ac:dyDescent="0.35">
      <c r="A1696" s="376" t="s">
        <v>1606</v>
      </c>
      <c r="B1696" s="376" t="s">
        <v>1609</v>
      </c>
      <c r="C1696" s="376" t="s">
        <v>1051</v>
      </c>
      <c r="D1696" s="376">
        <v>2022</v>
      </c>
      <c r="E1696" s="376">
        <v>2025</v>
      </c>
      <c r="F1696" s="376">
        <v>1</v>
      </c>
      <c r="G1696" s="376">
        <v>6115.0506935945432</v>
      </c>
      <c r="H1696" s="376">
        <v>0</v>
      </c>
      <c r="I1696" s="376">
        <v>1</v>
      </c>
    </row>
    <row r="1697" spans="1:9" x14ac:dyDescent="0.35">
      <c r="A1697" s="376" t="s">
        <v>1606</v>
      </c>
      <c r="B1697" s="376" t="s">
        <v>1609</v>
      </c>
      <c r="C1697" s="376" t="s">
        <v>1054</v>
      </c>
      <c r="D1697" s="376">
        <v>2022</v>
      </c>
      <c r="E1697" s="376">
        <v>2025</v>
      </c>
      <c r="F1697" s="376">
        <v>1</v>
      </c>
      <c r="G1697" s="376">
        <v>6115.0506935945432</v>
      </c>
      <c r="H1697" s="376">
        <v>0</v>
      </c>
      <c r="I1697" s="376">
        <v>1</v>
      </c>
    </row>
    <row r="1698" spans="1:9" x14ac:dyDescent="0.35">
      <c r="A1698" s="376" t="s">
        <v>1606</v>
      </c>
      <c r="B1698" s="376" t="s">
        <v>1609</v>
      </c>
      <c r="C1698" s="376" t="s">
        <v>1046</v>
      </c>
      <c r="D1698" s="376">
        <v>2022</v>
      </c>
      <c r="E1698" s="376">
        <v>2026</v>
      </c>
      <c r="F1698" s="376">
        <v>1</v>
      </c>
      <c r="G1698" s="376">
        <v>6115.0506935945432</v>
      </c>
      <c r="H1698" s="376">
        <v>0</v>
      </c>
      <c r="I1698" s="376">
        <v>1</v>
      </c>
    </row>
    <row r="1699" spans="1:9" x14ac:dyDescent="0.35">
      <c r="A1699" s="376" t="s">
        <v>1606</v>
      </c>
      <c r="B1699" s="376" t="s">
        <v>1609</v>
      </c>
      <c r="C1699" s="376" t="s">
        <v>644</v>
      </c>
      <c r="D1699" s="376">
        <v>2022</v>
      </c>
      <c r="E1699" s="376">
        <v>2026</v>
      </c>
      <c r="F1699" s="376">
        <v>1</v>
      </c>
      <c r="G1699" s="376">
        <v>6115.0506935945432</v>
      </c>
      <c r="H1699" s="376">
        <v>0</v>
      </c>
      <c r="I1699" s="376">
        <v>1</v>
      </c>
    </row>
    <row r="1700" spans="1:9" x14ac:dyDescent="0.35">
      <c r="A1700" s="376" t="s">
        <v>1606</v>
      </c>
      <c r="B1700" s="376" t="s">
        <v>1609</v>
      </c>
      <c r="C1700" s="376" t="s">
        <v>628</v>
      </c>
      <c r="D1700" s="376">
        <v>2022</v>
      </c>
      <c r="E1700" s="376">
        <v>2026</v>
      </c>
      <c r="F1700" s="376">
        <v>1</v>
      </c>
      <c r="G1700" s="376">
        <v>6115.0506935945432</v>
      </c>
      <c r="H1700" s="376">
        <v>0</v>
      </c>
      <c r="I1700" s="376">
        <v>1</v>
      </c>
    </row>
    <row r="1701" spans="1:9" x14ac:dyDescent="0.35">
      <c r="A1701" s="376" t="s">
        <v>1606</v>
      </c>
      <c r="B1701" s="376" t="s">
        <v>1609</v>
      </c>
      <c r="C1701" s="376" t="s">
        <v>1051</v>
      </c>
      <c r="D1701" s="376">
        <v>2022</v>
      </c>
      <c r="E1701" s="376">
        <v>2026</v>
      </c>
      <c r="F1701" s="376">
        <v>1</v>
      </c>
      <c r="G1701" s="376">
        <v>6115.0506935945432</v>
      </c>
      <c r="H1701" s="376">
        <v>0</v>
      </c>
      <c r="I1701" s="376">
        <v>1</v>
      </c>
    </row>
    <row r="1702" spans="1:9" x14ac:dyDescent="0.35">
      <c r="A1702" s="376" t="s">
        <v>1606</v>
      </c>
      <c r="B1702" s="376" t="s">
        <v>1609</v>
      </c>
      <c r="C1702" s="376" t="s">
        <v>1054</v>
      </c>
      <c r="D1702" s="376">
        <v>2022</v>
      </c>
      <c r="E1702" s="376">
        <v>2026</v>
      </c>
      <c r="F1702" s="376">
        <v>1</v>
      </c>
      <c r="G1702" s="376">
        <v>6115.0506935945432</v>
      </c>
      <c r="H1702" s="376">
        <v>0</v>
      </c>
      <c r="I1702" s="376">
        <v>1</v>
      </c>
    </row>
    <row r="1703" spans="1:9" x14ac:dyDescent="0.35">
      <c r="A1703" s="376" t="s">
        <v>1606</v>
      </c>
      <c r="B1703" s="376" t="s">
        <v>1609</v>
      </c>
      <c r="C1703" s="376" t="s">
        <v>1046</v>
      </c>
      <c r="D1703" s="376">
        <v>2022</v>
      </c>
      <c r="E1703" s="376">
        <v>2027</v>
      </c>
      <c r="F1703" s="376">
        <v>1</v>
      </c>
      <c r="G1703" s="376">
        <v>6115.0506935945432</v>
      </c>
      <c r="H1703" s="376">
        <v>0</v>
      </c>
      <c r="I1703" s="376">
        <v>1</v>
      </c>
    </row>
    <row r="1704" spans="1:9" x14ac:dyDescent="0.35">
      <c r="A1704" s="376" t="s">
        <v>1606</v>
      </c>
      <c r="B1704" s="376" t="s">
        <v>1609</v>
      </c>
      <c r="C1704" s="376" t="s">
        <v>644</v>
      </c>
      <c r="D1704" s="376">
        <v>2022</v>
      </c>
      <c r="E1704" s="376">
        <v>2027</v>
      </c>
      <c r="F1704" s="376">
        <v>1</v>
      </c>
      <c r="G1704" s="376">
        <v>6115.0506935945432</v>
      </c>
      <c r="H1704" s="376">
        <v>0</v>
      </c>
      <c r="I1704" s="376">
        <v>1</v>
      </c>
    </row>
    <row r="1705" spans="1:9" x14ac:dyDescent="0.35">
      <c r="A1705" s="376" t="s">
        <v>1606</v>
      </c>
      <c r="B1705" s="376" t="s">
        <v>1609</v>
      </c>
      <c r="C1705" s="376" t="s">
        <v>628</v>
      </c>
      <c r="D1705" s="376">
        <v>2022</v>
      </c>
      <c r="E1705" s="376">
        <v>2027</v>
      </c>
      <c r="F1705" s="376">
        <v>1</v>
      </c>
      <c r="G1705" s="376">
        <v>6115.0506935945432</v>
      </c>
      <c r="H1705" s="376">
        <v>0</v>
      </c>
      <c r="I1705" s="376">
        <v>1</v>
      </c>
    </row>
    <row r="1706" spans="1:9" x14ac:dyDescent="0.35">
      <c r="A1706" s="376" t="s">
        <v>1606</v>
      </c>
      <c r="B1706" s="376" t="s">
        <v>1609</v>
      </c>
      <c r="C1706" s="376" t="s">
        <v>1051</v>
      </c>
      <c r="D1706" s="376">
        <v>2022</v>
      </c>
      <c r="E1706" s="376">
        <v>2027</v>
      </c>
      <c r="F1706" s="376">
        <v>1</v>
      </c>
      <c r="G1706" s="376">
        <v>6115.0506935945432</v>
      </c>
      <c r="H1706" s="376">
        <v>0</v>
      </c>
      <c r="I1706" s="376">
        <v>1</v>
      </c>
    </row>
    <row r="1707" spans="1:9" x14ac:dyDescent="0.35">
      <c r="A1707" s="376" t="s">
        <v>1606</v>
      </c>
      <c r="B1707" s="376" t="s">
        <v>1609</v>
      </c>
      <c r="C1707" s="376" t="s">
        <v>1054</v>
      </c>
      <c r="D1707" s="376">
        <v>2022</v>
      </c>
      <c r="E1707" s="376">
        <v>2027</v>
      </c>
      <c r="F1707" s="376">
        <v>1</v>
      </c>
      <c r="G1707" s="376">
        <v>6115.0506935945432</v>
      </c>
      <c r="H1707" s="376">
        <v>0</v>
      </c>
      <c r="I1707" s="376">
        <v>1</v>
      </c>
    </row>
    <row r="1708" spans="1:9" x14ac:dyDescent="0.35">
      <c r="A1708" s="376" t="s">
        <v>1606</v>
      </c>
      <c r="B1708" s="376" t="s">
        <v>1609</v>
      </c>
      <c r="C1708" s="376" t="s">
        <v>1046</v>
      </c>
      <c r="D1708" s="376">
        <v>2022</v>
      </c>
      <c r="E1708" s="376">
        <v>2028</v>
      </c>
      <c r="F1708" s="376">
        <v>1</v>
      </c>
      <c r="G1708" s="376">
        <v>6115.0506935945432</v>
      </c>
      <c r="H1708" s="376">
        <v>0</v>
      </c>
      <c r="I1708" s="376">
        <v>1</v>
      </c>
    </row>
    <row r="1709" spans="1:9" x14ac:dyDescent="0.35">
      <c r="A1709" s="376" t="s">
        <v>1606</v>
      </c>
      <c r="B1709" s="376" t="s">
        <v>1609</v>
      </c>
      <c r="C1709" s="376" t="s">
        <v>644</v>
      </c>
      <c r="D1709" s="376">
        <v>2022</v>
      </c>
      <c r="E1709" s="376">
        <v>2028</v>
      </c>
      <c r="F1709" s="376">
        <v>1</v>
      </c>
      <c r="G1709" s="376">
        <v>6115.0506935945432</v>
      </c>
      <c r="H1709" s="376">
        <v>0</v>
      </c>
      <c r="I1709" s="376">
        <v>1</v>
      </c>
    </row>
    <row r="1710" spans="1:9" x14ac:dyDescent="0.35">
      <c r="A1710" s="376" t="s">
        <v>1606</v>
      </c>
      <c r="B1710" s="376" t="s">
        <v>1609</v>
      </c>
      <c r="C1710" s="376" t="s">
        <v>628</v>
      </c>
      <c r="D1710" s="376">
        <v>2022</v>
      </c>
      <c r="E1710" s="376">
        <v>2028</v>
      </c>
      <c r="F1710" s="376">
        <v>1</v>
      </c>
      <c r="G1710" s="376">
        <v>6115.0506935945432</v>
      </c>
      <c r="H1710" s="376">
        <v>0</v>
      </c>
      <c r="I1710" s="376">
        <v>1</v>
      </c>
    </row>
    <row r="1711" spans="1:9" x14ac:dyDescent="0.35">
      <c r="A1711" s="376" t="s">
        <v>1606</v>
      </c>
      <c r="B1711" s="376" t="s">
        <v>1609</v>
      </c>
      <c r="C1711" s="376" t="s">
        <v>1051</v>
      </c>
      <c r="D1711" s="376">
        <v>2022</v>
      </c>
      <c r="E1711" s="376">
        <v>2028</v>
      </c>
      <c r="F1711" s="376">
        <v>1</v>
      </c>
      <c r="G1711" s="376">
        <v>6115.0506935945432</v>
      </c>
      <c r="H1711" s="376">
        <v>0</v>
      </c>
      <c r="I1711" s="376">
        <v>1</v>
      </c>
    </row>
    <row r="1712" spans="1:9" x14ac:dyDescent="0.35">
      <c r="A1712" s="376" t="s">
        <v>1606</v>
      </c>
      <c r="B1712" s="376" t="s">
        <v>1609</v>
      </c>
      <c r="C1712" s="376" t="s">
        <v>1054</v>
      </c>
      <c r="D1712" s="376">
        <v>2022</v>
      </c>
      <c r="E1712" s="376">
        <v>2028</v>
      </c>
      <c r="F1712" s="376">
        <v>1</v>
      </c>
      <c r="G1712" s="376">
        <v>6115.0506935945432</v>
      </c>
      <c r="H1712" s="376">
        <v>0</v>
      </c>
      <c r="I1712" s="376">
        <v>1</v>
      </c>
    </row>
    <row r="1713" spans="1:9" x14ac:dyDescent="0.35">
      <c r="A1713" s="376" t="s">
        <v>1606</v>
      </c>
      <c r="B1713" s="376" t="s">
        <v>1609</v>
      </c>
      <c r="C1713" s="376" t="s">
        <v>1046</v>
      </c>
      <c r="D1713" s="376">
        <v>2022</v>
      </c>
      <c r="E1713" s="376">
        <v>2029</v>
      </c>
      <c r="F1713" s="376">
        <v>1</v>
      </c>
      <c r="G1713" s="376">
        <v>6115.0506935945432</v>
      </c>
      <c r="H1713" s="376">
        <v>0</v>
      </c>
      <c r="I1713" s="376">
        <v>1</v>
      </c>
    </row>
    <row r="1714" spans="1:9" x14ac:dyDescent="0.35">
      <c r="A1714" s="376" t="s">
        <v>1606</v>
      </c>
      <c r="B1714" s="376" t="s">
        <v>1609</v>
      </c>
      <c r="C1714" s="376" t="s">
        <v>644</v>
      </c>
      <c r="D1714" s="376">
        <v>2022</v>
      </c>
      <c r="E1714" s="376">
        <v>2029</v>
      </c>
      <c r="F1714" s="376">
        <v>1</v>
      </c>
      <c r="G1714" s="376">
        <v>6115.0506935945432</v>
      </c>
      <c r="H1714" s="376">
        <v>0</v>
      </c>
      <c r="I1714" s="376">
        <v>1</v>
      </c>
    </row>
    <row r="1715" spans="1:9" x14ac:dyDescent="0.35">
      <c r="A1715" s="376" t="s">
        <v>1606</v>
      </c>
      <c r="B1715" s="376" t="s">
        <v>1609</v>
      </c>
      <c r="C1715" s="376" t="s">
        <v>628</v>
      </c>
      <c r="D1715" s="376">
        <v>2022</v>
      </c>
      <c r="E1715" s="376">
        <v>2029</v>
      </c>
      <c r="F1715" s="376">
        <v>1</v>
      </c>
      <c r="G1715" s="376">
        <v>6115.0506935945432</v>
      </c>
      <c r="H1715" s="376">
        <v>0</v>
      </c>
      <c r="I1715" s="376">
        <v>1</v>
      </c>
    </row>
    <row r="1716" spans="1:9" x14ac:dyDescent="0.35">
      <c r="A1716" s="376" t="s">
        <v>1606</v>
      </c>
      <c r="B1716" s="376" t="s">
        <v>1609</v>
      </c>
      <c r="C1716" s="376" t="s">
        <v>1051</v>
      </c>
      <c r="D1716" s="376">
        <v>2022</v>
      </c>
      <c r="E1716" s="376">
        <v>2029</v>
      </c>
      <c r="F1716" s="376">
        <v>1</v>
      </c>
      <c r="G1716" s="376">
        <v>6115.0506935945432</v>
      </c>
      <c r="H1716" s="376">
        <v>0</v>
      </c>
      <c r="I1716" s="376">
        <v>1</v>
      </c>
    </row>
    <row r="1717" spans="1:9" x14ac:dyDescent="0.35">
      <c r="A1717" s="376" t="s">
        <v>1606</v>
      </c>
      <c r="B1717" s="376" t="s">
        <v>1609</v>
      </c>
      <c r="C1717" s="376" t="s">
        <v>1054</v>
      </c>
      <c r="D1717" s="376">
        <v>2022</v>
      </c>
      <c r="E1717" s="376">
        <v>2029</v>
      </c>
      <c r="F1717" s="376">
        <v>1</v>
      </c>
      <c r="G1717" s="376">
        <v>6115.0506935945432</v>
      </c>
      <c r="H1717" s="376">
        <v>0</v>
      </c>
      <c r="I1717" s="376">
        <v>1</v>
      </c>
    </row>
    <row r="1718" spans="1:9" x14ac:dyDescent="0.35">
      <c r="A1718" s="376" t="s">
        <v>1606</v>
      </c>
      <c r="B1718" s="376" t="s">
        <v>1609</v>
      </c>
      <c r="C1718" s="376" t="s">
        <v>1046</v>
      </c>
      <c r="D1718" s="376">
        <v>2022</v>
      </c>
      <c r="E1718" s="376">
        <v>2030</v>
      </c>
      <c r="F1718" s="376">
        <v>1</v>
      </c>
      <c r="G1718" s="376">
        <v>6115.0506935945432</v>
      </c>
      <c r="H1718" s="376">
        <v>0</v>
      </c>
      <c r="I1718" s="376">
        <v>1</v>
      </c>
    </row>
    <row r="1719" spans="1:9" x14ac:dyDescent="0.35">
      <c r="A1719" s="376" t="s">
        <v>1606</v>
      </c>
      <c r="B1719" s="376" t="s">
        <v>1609</v>
      </c>
      <c r="C1719" s="376" t="s">
        <v>644</v>
      </c>
      <c r="D1719" s="376">
        <v>2022</v>
      </c>
      <c r="E1719" s="376">
        <v>2030</v>
      </c>
      <c r="F1719" s="376">
        <v>1</v>
      </c>
      <c r="G1719" s="376">
        <v>6115.0506935945432</v>
      </c>
      <c r="H1719" s="376">
        <v>0</v>
      </c>
      <c r="I1719" s="376">
        <v>1</v>
      </c>
    </row>
    <row r="1720" spans="1:9" x14ac:dyDescent="0.35">
      <c r="A1720" s="376" t="s">
        <v>1606</v>
      </c>
      <c r="B1720" s="376" t="s">
        <v>1609</v>
      </c>
      <c r="C1720" s="376" t="s">
        <v>628</v>
      </c>
      <c r="D1720" s="376">
        <v>2022</v>
      </c>
      <c r="E1720" s="376">
        <v>2030</v>
      </c>
      <c r="F1720" s="376">
        <v>1</v>
      </c>
      <c r="G1720" s="376">
        <v>6115.0506935945432</v>
      </c>
      <c r="H1720" s="376">
        <v>0</v>
      </c>
      <c r="I1720" s="376">
        <v>1</v>
      </c>
    </row>
    <row r="1721" spans="1:9" x14ac:dyDescent="0.35">
      <c r="A1721" s="376" t="s">
        <v>1606</v>
      </c>
      <c r="B1721" s="376" t="s">
        <v>1609</v>
      </c>
      <c r="C1721" s="376" t="s">
        <v>1051</v>
      </c>
      <c r="D1721" s="376">
        <v>2022</v>
      </c>
      <c r="E1721" s="376">
        <v>2030</v>
      </c>
      <c r="F1721" s="376">
        <v>1</v>
      </c>
      <c r="G1721" s="376">
        <v>6115.0506935945432</v>
      </c>
      <c r="H1721" s="376">
        <v>0</v>
      </c>
      <c r="I1721" s="376">
        <v>1</v>
      </c>
    </row>
    <row r="1722" spans="1:9" x14ac:dyDescent="0.35">
      <c r="A1722" s="376" t="s">
        <v>1606</v>
      </c>
      <c r="B1722" s="376" t="s">
        <v>1609</v>
      </c>
      <c r="C1722" s="376" t="s">
        <v>1054</v>
      </c>
      <c r="D1722" s="376">
        <v>2022</v>
      </c>
      <c r="E1722" s="376">
        <v>2030</v>
      </c>
      <c r="F1722" s="376">
        <v>1</v>
      </c>
      <c r="G1722" s="376">
        <v>6115.0506935945432</v>
      </c>
      <c r="H1722" s="376">
        <v>0</v>
      </c>
      <c r="I1722" s="376">
        <v>1</v>
      </c>
    </row>
    <row r="1723" spans="1:9" x14ac:dyDescent="0.35">
      <c r="A1723" s="376" t="s">
        <v>1606</v>
      </c>
      <c r="B1723" s="376" t="s">
        <v>1609</v>
      </c>
      <c r="C1723" s="376" t="s">
        <v>1046</v>
      </c>
      <c r="D1723" s="376">
        <v>2022</v>
      </c>
      <c r="E1723" s="376">
        <v>2031</v>
      </c>
      <c r="F1723" s="376">
        <v>1</v>
      </c>
      <c r="G1723" s="376">
        <v>6115.0506935945432</v>
      </c>
      <c r="H1723" s="376">
        <v>0</v>
      </c>
      <c r="I1723" s="376">
        <v>1</v>
      </c>
    </row>
    <row r="1724" spans="1:9" x14ac:dyDescent="0.35">
      <c r="A1724" s="376" t="s">
        <v>1606</v>
      </c>
      <c r="B1724" s="376" t="s">
        <v>1609</v>
      </c>
      <c r="C1724" s="376" t="s">
        <v>644</v>
      </c>
      <c r="D1724" s="376">
        <v>2022</v>
      </c>
      <c r="E1724" s="376">
        <v>2031</v>
      </c>
      <c r="F1724" s="376">
        <v>1</v>
      </c>
      <c r="G1724" s="376">
        <v>6115.0506935945432</v>
      </c>
      <c r="H1724" s="376">
        <v>0</v>
      </c>
      <c r="I1724" s="376">
        <v>1</v>
      </c>
    </row>
    <row r="1725" spans="1:9" x14ac:dyDescent="0.35">
      <c r="A1725" s="376" t="s">
        <v>1606</v>
      </c>
      <c r="B1725" s="376" t="s">
        <v>1609</v>
      </c>
      <c r="C1725" s="376" t="s">
        <v>628</v>
      </c>
      <c r="D1725" s="376">
        <v>2022</v>
      </c>
      <c r="E1725" s="376">
        <v>2031</v>
      </c>
      <c r="F1725" s="376">
        <v>1</v>
      </c>
      <c r="G1725" s="376">
        <v>6115.0506935945432</v>
      </c>
      <c r="H1725" s="376">
        <v>0</v>
      </c>
      <c r="I1725" s="376">
        <v>1</v>
      </c>
    </row>
    <row r="1726" spans="1:9" x14ac:dyDescent="0.35">
      <c r="A1726" s="376" t="s">
        <v>1606</v>
      </c>
      <c r="B1726" s="376" t="s">
        <v>1609</v>
      </c>
      <c r="C1726" s="376" t="s">
        <v>1051</v>
      </c>
      <c r="D1726" s="376">
        <v>2022</v>
      </c>
      <c r="E1726" s="376">
        <v>2031</v>
      </c>
      <c r="F1726" s="376">
        <v>1</v>
      </c>
      <c r="G1726" s="376">
        <v>6115.0506935945432</v>
      </c>
      <c r="H1726" s="376">
        <v>0</v>
      </c>
      <c r="I1726" s="376">
        <v>1</v>
      </c>
    </row>
    <row r="1727" spans="1:9" x14ac:dyDescent="0.35">
      <c r="A1727" s="376" t="s">
        <v>1606</v>
      </c>
      <c r="B1727" s="376" t="s">
        <v>1609</v>
      </c>
      <c r="C1727" s="376" t="s">
        <v>1054</v>
      </c>
      <c r="D1727" s="376">
        <v>2022</v>
      </c>
      <c r="E1727" s="376">
        <v>2031</v>
      </c>
      <c r="F1727" s="376">
        <v>1</v>
      </c>
      <c r="G1727" s="376">
        <v>6115.0506935945432</v>
      </c>
      <c r="H1727" s="376">
        <v>0</v>
      </c>
      <c r="I1727" s="376">
        <v>1</v>
      </c>
    </row>
    <row r="1728" spans="1:9" x14ac:dyDescent="0.35">
      <c r="A1728" s="376" t="s">
        <v>1612</v>
      </c>
      <c r="B1728" s="376" t="s">
        <v>1609</v>
      </c>
      <c r="C1728" s="376" t="s">
        <v>1046</v>
      </c>
      <c r="D1728" s="376">
        <v>2023</v>
      </c>
      <c r="E1728" s="376">
        <v>2023</v>
      </c>
      <c r="F1728" s="376">
        <v>0.37384575124303709</v>
      </c>
      <c r="G1728" s="376">
        <v>9928.6887826901675</v>
      </c>
      <c r="H1728" s="376">
        <v>0.26269358679872662</v>
      </c>
      <c r="I1728" s="376">
        <v>0.85</v>
      </c>
    </row>
    <row r="1729" spans="1:9" x14ac:dyDescent="0.35">
      <c r="A1729" s="376" t="s">
        <v>1612</v>
      </c>
      <c r="B1729" s="376" t="s">
        <v>1609</v>
      </c>
      <c r="C1729" s="376" t="s">
        <v>644</v>
      </c>
      <c r="D1729" s="376">
        <v>2023</v>
      </c>
      <c r="E1729" s="376">
        <v>2023</v>
      </c>
      <c r="F1729" s="376">
        <v>0.37384575124303709</v>
      </c>
      <c r="G1729" s="376">
        <v>9928.6887826901675</v>
      </c>
      <c r="H1729" s="376">
        <v>0.26269358679872662</v>
      </c>
      <c r="I1729" s="376">
        <v>0.85</v>
      </c>
    </row>
    <row r="1730" spans="1:9" x14ac:dyDescent="0.35">
      <c r="A1730" s="376" t="s">
        <v>1612</v>
      </c>
      <c r="B1730" s="376" t="s">
        <v>1609</v>
      </c>
      <c r="C1730" s="376" t="s">
        <v>628</v>
      </c>
      <c r="D1730" s="376">
        <v>2023</v>
      </c>
      <c r="E1730" s="376">
        <v>2023</v>
      </c>
      <c r="F1730" s="376">
        <v>0.37384575124303709</v>
      </c>
      <c r="G1730" s="376">
        <v>9928.6887826901675</v>
      </c>
      <c r="H1730" s="376">
        <v>0.26269358679872662</v>
      </c>
      <c r="I1730" s="376">
        <v>0.85</v>
      </c>
    </row>
    <row r="1731" spans="1:9" x14ac:dyDescent="0.35">
      <c r="A1731" s="376" t="s">
        <v>1612</v>
      </c>
      <c r="B1731" s="376" t="s">
        <v>1609</v>
      </c>
      <c r="C1731" s="376" t="s">
        <v>1051</v>
      </c>
      <c r="D1731" s="376">
        <v>2023</v>
      </c>
      <c r="E1731" s="376">
        <v>2023</v>
      </c>
      <c r="F1731" s="376">
        <v>0.37384575124303709</v>
      </c>
      <c r="G1731" s="376">
        <v>9928.6887826901675</v>
      </c>
      <c r="H1731" s="376">
        <v>0.26269358679872662</v>
      </c>
      <c r="I1731" s="376">
        <v>0.85</v>
      </c>
    </row>
    <row r="1732" spans="1:9" x14ac:dyDescent="0.35">
      <c r="A1732" s="376" t="s">
        <v>1612</v>
      </c>
      <c r="B1732" s="376" t="s">
        <v>1609</v>
      </c>
      <c r="C1732" s="376" t="s">
        <v>1054</v>
      </c>
      <c r="D1732" s="376">
        <v>2023</v>
      </c>
      <c r="E1732" s="376">
        <v>2023</v>
      </c>
      <c r="F1732" s="376">
        <v>0.37384575124303709</v>
      </c>
      <c r="G1732" s="376">
        <v>9928.6887826901675</v>
      </c>
      <c r="H1732" s="376">
        <v>0.26269358679872662</v>
      </c>
      <c r="I1732" s="376">
        <v>0.85</v>
      </c>
    </row>
    <row r="1733" spans="1:9" x14ac:dyDescent="0.35">
      <c r="A1733" s="376" t="s">
        <v>1612</v>
      </c>
      <c r="B1733" s="376" t="s">
        <v>1609</v>
      </c>
      <c r="C1733" s="376" t="s">
        <v>1046</v>
      </c>
      <c r="D1733" s="376">
        <v>2023</v>
      </c>
      <c r="E1733" s="376">
        <v>2024</v>
      </c>
      <c r="F1733" s="376">
        <v>0.37384575124303709</v>
      </c>
      <c r="G1733" s="376">
        <v>9928.6887826901675</v>
      </c>
      <c r="H1733" s="376">
        <v>0.26269358679872662</v>
      </c>
      <c r="I1733" s="376">
        <v>0.85</v>
      </c>
    </row>
    <row r="1734" spans="1:9" x14ac:dyDescent="0.35">
      <c r="A1734" s="376" t="s">
        <v>1612</v>
      </c>
      <c r="B1734" s="376" t="s">
        <v>1609</v>
      </c>
      <c r="C1734" s="376" t="s">
        <v>644</v>
      </c>
      <c r="D1734" s="376">
        <v>2023</v>
      </c>
      <c r="E1734" s="376">
        <v>2024</v>
      </c>
      <c r="F1734" s="376">
        <v>0.37384575124303709</v>
      </c>
      <c r="G1734" s="376">
        <v>9928.6887826901675</v>
      </c>
      <c r="H1734" s="376">
        <v>0.26269358679872662</v>
      </c>
      <c r="I1734" s="376">
        <v>0.85</v>
      </c>
    </row>
    <row r="1735" spans="1:9" x14ac:dyDescent="0.35">
      <c r="A1735" s="376" t="s">
        <v>1612</v>
      </c>
      <c r="B1735" s="376" t="s">
        <v>1609</v>
      </c>
      <c r="C1735" s="376" t="s">
        <v>628</v>
      </c>
      <c r="D1735" s="376">
        <v>2023</v>
      </c>
      <c r="E1735" s="376">
        <v>2024</v>
      </c>
      <c r="F1735" s="376">
        <v>0.37384575124303709</v>
      </c>
      <c r="G1735" s="376">
        <v>9928.6887826901675</v>
      </c>
      <c r="H1735" s="376">
        <v>0.26269358679872662</v>
      </c>
      <c r="I1735" s="376">
        <v>0.85</v>
      </c>
    </row>
    <row r="1736" spans="1:9" x14ac:dyDescent="0.35">
      <c r="A1736" s="376" t="s">
        <v>1612</v>
      </c>
      <c r="B1736" s="376" t="s">
        <v>1609</v>
      </c>
      <c r="C1736" s="376" t="s">
        <v>1051</v>
      </c>
      <c r="D1736" s="376">
        <v>2023</v>
      </c>
      <c r="E1736" s="376">
        <v>2024</v>
      </c>
      <c r="F1736" s="376">
        <v>0.37384575124303709</v>
      </c>
      <c r="G1736" s="376">
        <v>9928.6887826901675</v>
      </c>
      <c r="H1736" s="376">
        <v>0.26269358679872662</v>
      </c>
      <c r="I1736" s="376">
        <v>0.85</v>
      </c>
    </row>
    <row r="1737" spans="1:9" x14ac:dyDescent="0.35">
      <c r="A1737" s="376" t="s">
        <v>1612</v>
      </c>
      <c r="B1737" s="376" t="s">
        <v>1609</v>
      </c>
      <c r="C1737" s="376" t="s">
        <v>1054</v>
      </c>
      <c r="D1737" s="376">
        <v>2023</v>
      </c>
      <c r="E1737" s="376">
        <v>2024</v>
      </c>
      <c r="F1737" s="376">
        <v>0.37384575124303709</v>
      </c>
      <c r="G1737" s="376">
        <v>9928.6887826901675</v>
      </c>
      <c r="H1737" s="376">
        <v>0.26269358679872662</v>
      </c>
      <c r="I1737" s="376">
        <v>0.85</v>
      </c>
    </row>
    <row r="1738" spans="1:9" x14ac:dyDescent="0.35">
      <c r="A1738" s="376" t="s">
        <v>1612</v>
      </c>
      <c r="B1738" s="376" t="s">
        <v>1609</v>
      </c>
      <c r="C1738" s="376" t="s">
        <v>1046</v>
      </c>
      <c r="D1738" s="376">
        <v>2023</v>
      </c>
      <c r="E1738" s="376">
        <v>2025</v>
      </c>
      <c r="F1738" s="376">
        <v>0.37384575124303709</v>
      </c>
      <c r="G1738" s="376">
        <v>9928.6887826901675</v>
      </c>
      <c r="H1738" s="376">
        <v>0.26269358679872662</v>
      </c>
      <c r="I1738" s="376">
        <v>0.85</v>
      </c>
    </row>
    <row r="1739" spans="1:9" x14ac:dyDescent="0.35">
      <c r="A1739" s="376" t="s">
        <v>1612</v>
      </c>
      <c r="B1739" s="376" t="s">
        <v>1609</v>
      </c>
      <c r="C1739" s="376" t="s">
        <v>644</v>
      </c>
      <c r="D1739" s="376">
        <v>2023</v>
      </c>
      <c r="E1739" s="376">
        <v>2025</v>
      </c>
      <c r="F1739" s="376">
        <v>0.37384575124303709</v>
      </c>
      <c r="G1739" s="376">
        <v>9928.6887826901675</v>
      </c>
      <c r="H1739" s="376">
        <v>0.26269358679872662</v>
      </c>
      <c r="I1739" s="376">
        <v>0.85</v>
      </c>
    </row>
    <row r="1740" spans="1:9" x14ac:dyDescent="0.35">
      <c r="A1740" s="376" t="s">
        <v>1612</v>
      </c>
      <c r="B1740" s="376" t="s">
        <v>1609</v>
      </c>
      <c r="C1740" s="376" t="s">
        <v>628</v>
      </c>
      <c r="D1740" s="376">
        <v>2023</v>
      </c>
      <c r="E1740" s="376">
        <v>2025</v>
      </c>
      <c r="F1740" s="376">
        <v>0.37384575124303709</v>
      </c>
      <c r="G1740" s="376">
        <v>9928.6887826901675</v>
      </c>
      <c r="H1740" s="376">
        <v>0.26269358679872662</v>
      </c>
      <c r="I1740" s="376">
        <v>0.85</v>
      </c>
    </row>
    <row r="1741" spans="1:9" x14ac:dyDescent="0.35">
      <c r="A1741" s="376" t="s">
        <v>1612</v>
      </c>
      <c r="B1741" s="376" t="s">
        <v>1609</v>
      </c>
      <c r="C1741" s="376" t="s">
        <v>1051</v>
      </c>
      <c r="D1741" s="376">
        <v>2023</v>
      </c>
      <c r="E1741" s="376">
        <v>2025</v>
      </c>
      <c r="F1741" s="376">
        <v>0.37384575124303709</v>
      </c>
      <c r="G1741" s="376">
        <v>9928.6887826901675</v>
      </c>
      <c r="H1741" s="376">
        <v>0.26269358679872662</v>
      </c>
      <c r="I1741" s="376">
        <v>0.85</v>
      </c>
    </row>
    <row r="1742" spans="1:9" x14ac:dyDescent="0.35">
      <c r="A1742" s="376" t="s">
        <v>1612</v>
      </c>
      <c r="B1742" s="376" t="s">
        <v>1609</v>
      </c>
      <c r="C1742" s="376" t="s">
        <v>1054</v>
      </c>
      <c r="D1742" s="376">
        <v>2023</v>
      </c>
      <c r="E1742" s="376">
        <v>2025</v>
      </c>
      <c r="F1742" s="376">
        <v>0.37384575124303709</v>
      </c>
      <c r="G1742" s="376">
        <v>9928.6887826901675</v>
      </c>
      <c r="H1742" s="376">
        <v>0.26269358679872662</v>
      </c>
      <c r="I1742" s="376">
        <v>0.85</v>
      </c>
    </row>
    <row r="1743" spans="1:9" x14ac:dyDescent="0.35">
      <c r="A1743" s="376" t="s">
        <v>1612</v>
      </c>
      <c r="B1743" s="376" t="s">
        <v>1609</v>
      </c>
      <c r="C1743" s="376" t="s">
        <v>1046</v>
      </c>
      <c r="D1743" s="376">
        <v>2023</v>
      </c>
      <c r="E1743" s="376">
        <v>2026</v>
      </c>
      <c r="F1743" s="376">
        <v>0.37384575124303709</v>
      </c>
      <c r="G1743" s="376">
        <v>9928.6887826901675</v>
      </c>
      <c r="H1743" s="376">
        <v>0.26269358679872662</v>
      </c>
      <c r="I1743" s="376">
        <v>0.85</v>
      </c>
    </row>
    <row r="1744" spans="1:9" x14ac:dyDescent="0.35">
      <c r="A1744" s="376" t="s">
        <v>1612</v>
      </c>
      <c r="B1744" s="376" t="s">
        <v>1609</v>
      </c>
      <c r="C1744" s="376" t="s">
        <v>644</v>
      </c>
      <c r="D1744" s="376">
        <v>2023</v>
      </c>
      <c r="E1744" s="376">
        <v>2026</v>
      </c>
      <c r="F1744" s="376">
        <v>0.37384575124303709</v>
      </c>
      <c r="G1744" s="376">
        <v>9928.6887826901675</v>
      </c>
      <c r="H1744" s="376">
        <v>0.26269358679872662</v>
      </c>
      <c r="I1744" s="376">
        <v>0.85</v>
      </c>
    </row>
    <row r="1745" spans="1:9" x14ac:dyDescent="0.35">
      <c r="A1745" s="376" t="s">
        <v>1612</v>
      </c>
      <c r="B1745" s="376" t="s">
        <v>1609</v>
      </c>
      <c r="C1745" s="376" t="s">
        <v>628</v>
      </c>
      <c r="D1745" s="376">
        <v>2023</v>
      </c>
      <c r="E1745" s="376">
        <v>2026</v>
      </c>
      <c r="F1745" s="376">
        <v>0.37384575124303709</v>
      </c>
      <c r="G1745" s="376">
        <v>9928.6887826901675</v>
      </c>
      <c r="H1745" s="376">
        <v>0.26269358679872662</v>
      </c>
      <c r="I1745" s="376">
        <v>0.85</v>
      </c>
    </row>
    <row r="1746" spans="1:9" x14ac:dyDescent="0.35">
      <c r="A1746" s="376" t="s">
        <v>1612</v>
      </c>
      <c r="B1746" s="376" t="s">
        <v>1609</v>
      </c>
      <c r="C1746" s="376" t="s">
        <v>1051</v>
      </c>
      <c r="D1746" s="376">
        <v>2023</v>
      </c>
      <c r="E1746" s="376">
        <v>2026</v>
      </c>
      <c r="F1746" s="376">
        <v>0.37384575124303709</v>
      </c>
      <c r="G1746" s="376">
        <v>9928.6887826901675</v>
      </c>
      <c r="H1746" s="376">
        <v>0.26269358679872662</v>
      </c>
      <c r="I1746" s="376">
        <v>0.85</v>
      </c>
    </row>
    <row r="1747" spans="1:9" x14ac:dyDescent="0.35">
      <c r="A1747" s="376" t="s">
        <v>1612</v>
      </c>
      <c r="B1747" s="376" t="s">
        <v>1609</v>
      </c>
      <c r="C1747" s="376" t="s">
        <v>1054</v>
      </c>
      <c r="D1747" s="376">
        <v>2023</v>
      </c>
      <c r="E1747" s="376">
        <v>2026</v>
      </c>
      <c r="F1747" s="376">
        <v>0.37384575124303709</v>
      </c>
      <c r="G1747" s="376">
        <v>9928.6887826901675</v>
      </c>
      <c r="H1747" s="376">
        <v>0.26269358679872662</v>
      </c>
      <c r="I1747" s="376">
        <v>0.85</v>
      </c>
    </row>
    <row r="1748" spans="1:9" x14ac:dyDescent="0.35">
      <c r="A1748" s="376" t="s">
        <v>1612</v>
      </c>
      <c r="B1748" s="376" t="s">
        <v>1609</v>
      </c>
      <c r="C1748" s="376" t="s">
        <v>1046</v>
      </c>
      <c r="D1748" s="376">
        <v>2023</v>
      </c>
      <c r="E1748" s="376">
        <v>2027</v>
      </c>
      <c r="F1748" s="376">
        <v>0.37384575124303709</v>
      </c>
      <c r="G1748" s="376">
        <v>9928.6887826901675</v>
      </c>
      <c r="H1748" s="376">
        <v>0.26269358679872662</v>
      </c>
      <c r="I1748" s="376">
        <v>0.85</v>
      </c>
    </row>
    <row r="1749" spans="1:9" x14ac:dyDescent="0.35">
      <c r="A1749" s="376" t="s">
        <v>1612</v>
      </c>
      <c r="B1749" s="376" t="s">
        <v>1609</v>
      </c>
      <c r="C1749" s="376" t="s">
        <v>644</v>
      </c>
      <c r="D1749" s="376">
        <v>2023</v>
      </c>
      <c r="E1749" s="376">
        <v>2027</v>
      </c>
      <c r="F1749" s="376">
        <v>0.37384575124303709</v>
      </c>
      <c r="G1749" s="376">
        <v>9928.6887826901675</v>
      </c>
      <c r="H1749" s="376">
        <v>0.26269358679872662</v>
      </c>
      <c r="I1749" s="376">
        <v>0.85</v>
      </c>
    </row>
    <row r="1750" spans="1:9" x14ac:dyDescent="0.35">
      <c r="A1750" s="376" t="s">
        <v>1612</v>
      </c>
      <c r="B1750" s="376" t="s">
        <v>1609</v>
      </c>
      <c r="C1750" s="376" t="s">
        <v>628</v>
      </c>
      <c r="D1750" s="376">
        <v>2023</v>
      </c>
      <c r="E1750" s="376">
        <v>2027</v>
      </c>
      <c r="F1750" s="376">
        <v>0.37384575124303709</v>
      </c>
      <c r="G1750" s="376">
        <v>9928.6887826901675</v>
      </c>
      <c r="H1750" s="376">
        <v>0.26269358679872662</v>
      </c>
      <c r="I1750" s="376">
        <v>0.85</v>
      </c>
    </row>
    <row r="1751" spans="1:9" x14ac:dyDescent="0.35">
      <c r="A1751" s="376" t="s">
        <v>1612</v>
      </c>
      <c r="B1751" s="376" t="s">
        <v>1609</v>
      </c>
      <c r="C1751" s="376" t="s">
        <v>1051</v>
      </c>
      <c r="D1751" s="376">
        <v>2023</v>
      </c>
      <c r="E1751" s="376">
        <v>2027</v>
      </c>
      <c r="F1751" s="376">
        <v>0.37384575124303709</v>
      </c>
      <c r="G1751" s="376">
        <v>9928.6887826901675</v>
      </c>
      <c r="H1751" s="376">
        <v>0.26269358679872662</v>
      </c>
      <c r="I1751" s="376">
        <v>0.85</v>
      </c>
    </row>
    <row r="1752" spans="1:9" x14ac:dyDescent="0.35">
      <c r="A1752" s="376" t="s">
        <v>1612</v>
      </c>
      <c r="B1752" s="376" t="s">
        <v>1609</v>
      </c>
      <c r="C1752" s="376" t="s">
        <v>1054</v>
      </c>
      <c r="D1752" s="376">
        <v>2023</v>
      </c>
      <c r="E1752" s="376">
        <v>2027</v>
      </c>
      <c r="F1752" s="376">
        <v>0.37384575124303709</v>
      </c>
      <c r="G1752" s="376">
        <v>9928.6887826901675</v>
      </c>
      <c r="H1752" s="376">
        <v>0.26269358679872662</v>
      </c>
      <c r="I1752" s="376">
        <v>0.85</v>
      </c>
    </row>
    <row r="1753" spans="1:9" x14ac:dyDescent="0.35">
      <c r="A1753" s="376" t="s">
        <v>1612</v>
      </c>
      <c r="B1753" s="376" t="s">
        <v>1609</v>
      </c>
      <c r="C1753" s="376" t="s">
        <v>1046</v>
      </c>
      <c r="D1753" s="376">
        <v>2023</v>
      </c>
      <c r="E1753" s="376">
        <v>2028</v>
      </c>
      <c r="F1753" s="376">
        <v>0.37384575124303709</v>
      </c>
      <c r="G1753" s="376">
        <v>9928.6887826901675</v>
      </c>
      <c r="H1753" s="376">
        <v>0.26269358679872662</v>
      </c>
      <c r="I1753" s="376">
        <v>0.85</v>
      </c>
    </row>
    <row r="1754" spans="1:9" x14ac:dyDescent="0.35">
      <c r="A1754" s="376" t="s">
        <v>1612</v>
      </c>
      <c r="B1754" s="376" t="s">
        <v>1609</v>
      </c>
      <c r="C1754" s="376" t="s">
        <v>644</v>
      </c>
      <c r="D1754" s="376">
        <v>2023</v>
      </c>
      <c r="E1754" s="376">
        <v>2028</v>
      </c>
      <c r="F1754" s="376">
        <v>0.37384575124303709</v>
      </c>
      <c r="G1754" s="376">
        <v>9928.6887826901675</v>
      </c>
      <c r="H1754" s="376">
        <v>0.26269358679872662</v>
      </c>
      <c r="I1754" s="376">
        <v>0.85</v>
      </c>
    </row>
    <row r="1755" spans="1:9" x14ac:dyDescent="0.35">
      <c r="A1755" s="376" t="s">
        <v>1612</v>
      </c>
      <c r="B1755" s="376" t="s">
        <v>1609</v>
      </c>
      <c r="C1755" s="376" t="s">
        <v>628</v>
      </c>
      <c r="D1755" s="376">
        <v>2023</v>
      </c>
      <c r="E1755" s="376">
        <v>2028</v>
      </c>
      <c r="F1755" s="376">
        <v>0.37384575124303709</v>
      </c>
      <c r="G1755" s="376">
        <v>9928.6887826901675</v>
      </c>
      <c r="H1755" s="376">
        <v>0.26269358679872662</v>
      </c>
      <c r="I1755" s="376">
        <v>0.85</v>
      </c>
    </row>
    <row r="1756" spans="1:9" x14ac:dyDescent="0.35">
      <c r="A1756" s="376" t="s">
        <v>1612</v>
      </c>
      <c r="B1756" s="376" t="s">
        <v>1609</v>
      </c>
      <c r="C1756" s="376" t="s">
        <v>1051</v>
      </c>
      <c r="D1756" s="376">
        <v>2023</v>
      </c>
      <c r="E1756" s="376">
        <v>2028</v>
      </c>
      <c r="F1756" s="376">
        <v>0.37384575124303709</v>
      </c>
      <c r="G1756" s="376">
        <v>9928.6887826901675</v>
      </c>
      <c r="H1756" s="376">
        <v>0.26269358679872662</v>
      </c>
      <c r="I1756" s="376">
        <v>0.85</v>
      </c>
    </row>
    <row r="1757" spans="1:9" x14ac:dyDescent="0.35">
      <c r="A1757" s="376" t="s">
        <v>1612</v>
      </c>
      <c r="B1757" s="376" t="s">
        <v>1609</v>
      </c>
      <c r="C1757" s="376" t="s">
        <v>1054</v>
      </c>
      <c r="D1757" s="376">
        <v>2023</v>
      </c>
      <c r="E1757" s="376">
        <v>2028</v>
      </c>
      <c r="F1757" s="376">
        <v>0.37384575124303709</v>
      </c>
      <c r="G1757" s="376">
        <v>9928.6887826901675</v>
      </c>
      <c r="H1757" s="376">
        <v>0.26269358679872662</v>
      </c>
      <c r="I1757" s="376">
        <v>0.85</v>
      </c>
    </row>
    <row r="1758" spans="1:9" x14ac:dyDescent="0.35">
      <c r="A1758" s="376" t="s">
        <v>1612</v>
      </c>
      <c r="B1758" s="376" t="s">
        <v>1609</v>
      </c>
      <c r="C1758" s="376" t="s">
        <v>1046</v>
      </c>
      <c r="D1758" s="376">
        <v>2023</v>
      </c>
      <c r="E1758" s="376">
        <v>2029</v>
      </c>
      <c r="F1758" s="376">
        <v>0.37384575124303709</v>
      </c>
      <c r="G1758" s="376">
        <v>9928.6887826901675</v>
      </c>
      <c r="H1758" s="376">
        <v>0.26269358679872662</v>
      </c>
      <c r="I1758" s="376">
        <v>0.85</v>
      </c>
    </row>
    <row r="1759" spans="1:9" x14ac:dyDescent="0.35">
      <c r="A1759" s="376" t="s">
        <v>1612</v>
      </c>
      <c r="B1759" s="376" t="s">
        <v>1609</v>
      </c>
      <c r="C1759" s="376" t="s">
        <v>644</v>
      </c>
      <c r="D1759" s="376">
        <v>2023</v>
      </c>
      <c r="E1759" s="376">
        <v>2029</v>
      </c>
      <c r="F1759" s="376">
        <v>0.37384575124303709</v>
      </c>
      <c r="G1759" s="376">
        <v>9928.6887826901675</v>
      </c>
      <c r="H1759" s="376">
        <v>0.26269358679872662</v>
      </c>
      <c r="I1759" s="376">
        <v>0.85</v>
      </c>
    </row>
    <row r="1760" spans="1:9" x14ac:dyDescent="0.35">
      <c r="A1760" s="376" t="s">
        <v>1612</v>
      </c>
      <c r="B1760" s="376" t="s">
        <v>1609</v>
      </c>
      <c r="C1760" s="376" t="s">
        <v>628</v>
      </c>
      <c r="D1760" s="376">
        <v>2023</v>
      </c>
      <c r="E1760" s="376">
        <v>2029</v>
      </c>
      <c r="F1760" s="376">
        <v>0.37384575124303709</v>
      </c>
      <c r="G1760" s="376">
        <v>9928.6887826901675</v>
      </c>
      <c r="H1760" s="376">
        <v>0.26269358679872662</v>
      </c>
      <c r="I1760" s="376">
        <v>0.85</v>
      </c>
    </row>
    <row r="1761" spans="1:9" x14ac:dyDescent="0.35">
      <c r="A1761" s="376" t="s">
        <v>1612</v>
      </c>
      <c r="B1761" s="376" t="s">
        <v>1609</v>
      </c>
      <c r="C1761" s="376" t="s">
        <v>1051</v>
      </c>
      <c r="D1761" s="376">
        <v>2023</v>
      </c>
      <c r="E1761" s="376">
        <v>2029</v>
      </c>
      <c r="F1761" s="376">
        <v>0.37384575124303709</v>
      </c>
      <c r="G1761" s="376">
        <v>9928.6887826901675</v>
      </c>
      <c r="H1761" s="376">
        <v>0.26269358679872662</v>
      </c>
      <c r="I1761" s="376">
        <v>0.85</v>
      </c>
    </row>
    <row r="1762" spans="1:9" x14ac:dyDescent="0.35">
      <c r="A1762" s="376" t="s">
        <v>1612</v>
      </c>
      <c r="B1762" s="376" t="s">
        <v>1609</v>
      </c>
      <c r="C1762" s="376" t="s">
        <v>1054</v>
      </c>
      <c r="D1762" s="376">
        <v>2023</v>
      </c>
      <c r="E1762" s="376">
        <v>2029</v>
      </c>
      <c r="F1762" s="376">
        <v>0.37384575124303709</v>
      </c>
      <c r="G1762" s="376">
        <v>9928.6887826901675</v>
      </c>
      <c r="H1762" s="376">
        <v>0.26269358679872662</v>
      </c>
      <c r="I1762" s="376">
        <v>0.85</v>
      </c>
    </row>
    <row r="1763" spans="1:9" x14ac:dyDescent="0.35">
      <c r="A1763" s="376" t="s">
        <v>1612</v>
      </c>
      <c r="B1763" s="376" t="s">
        <v>1609</v>
      </c>
      <c r="C1763" s="376" t="s">
        <v>1046</v>
      </c>
      <c r="D1763" s="376">
        <v>2023</v>
      </c>
      <c r="E1763" s="376">
        <v>2030</v>
      </c>
      <c r="F1763" s="376">
        <v>0.37384575124303709</v>
      </c>
      <c r="G1763" s="376">
        <v>9928.6887826901675</v>
      </c>
      <c r="H1763" s="376">
        <v>0.26269358679872662</v>
      </c>
      <c r="I1763" s="376">
        <v>0.85</v>
      </c>
    </row>
    <row r="1764" spans="1:9" x14ac:dyDescent="0.35">
      <c r="A1764" s="376" t="s">
        <v>1612</v>
      </c>
      <c r="B1764" s="376" t="s">
        <v>1609</v>
      </c>
      <c r="C1764" s="376" t="s">
        <v>644</v>
      </c>
      <c r="D1764" s="376">
        <v>2023</v>
      </c>
      <c r="E1764" s="376">
        <v>2030</v>
      </c>
      <c r="F1764" s="376">
        <v>0.37384575124303709</v>
      </c>
      <c r="G1764" s="376">
        <v>9928.6887826901675</v>
      </c>
      <c r="H1764" s="376">
        <v>0.26269358679872662</v>
      </c>
      <c r="I1764" s="376">
        <v>0.85</v>
      </c>
    </row>
    <row r="1765" spans="1:9" x14ac:dyDescent="0.35">
      <c r="A1765" s="376" t="s">
        <v>1612</v>
      </c>
      <c r="B1765" s="376" t="s">
        <v>1609</v>
      </c>
      <c r="C1765" s="376" t="s">
        <v>628</v>
      </c>
      <c r="D1765" s="376">
        <v>2023</v>
      </c>
      <c r="E1765" s="376">
        <v>2030</v>
      </c>
      <c r="F1765" s="376">
        <v>0.37384575124303709</v>
      </c>
      <c r="G1765" s="376">
        <v>9928.6887826901675</v>
      </c>
      <c r="H1765" s="376">
        <v>0.26269358679872662</v>
      </c>
      <c r="I1765" s="376">
        <v>0.85</v>
      </c>
    </row>
    <row r="1766" spans="1:9" x14ac:dyDescent="0.35">
      <c r="A1766" s="376" t="s">
        <v>1612</v>
      </c>
      <c r="B1766" s="376" t="s">
        <v>1609</v>
      </c>
      <c r="C1766" s="376" t="s">
        <v>1051</v>
      </c>
      <c r="D1766" s="376">
        <v>2023</v>
      </c>
      <c r="E1766" s="376">
        <v>2030</v>
      </c>
      <c r="F1766" s="376">
        <v>0.37384575124303709</v>
      </c>
      <c r="G1766" s="376">
        <v>9928.6887826901675</v>
      </c>
      <c r="H1766" s="376">
        <v>0.26269358679872662</v>
      </c>
      <c r="I1766" s="376">
        <v>0.85</v>
      </c>
    </row>
    <row r="1767" spans="1:9" x14ac:dyDescent="0.35">
      <c r="A1767" s="376" t="s">
        <v>1612</v>
      </c>
      <c r="B1767" s="376" t="s">
        <v>1609</v>
      </c>
      <c r="C1767" s="376" t="s">
        <v>1054</v>
      </c>
      <c r="D1767" s="376">
        <v>2023</v>
      </c>
      <c r="E1767" s="376">
        <v>2030</v>
      </c>
      <c r="F1767" s="376">
        <v>0.37384575124303709</v>
      </c>
      <c r="G1767" s="376">
        <v>9928.6887826901675</v>
      </c>
      <c r="H1767" s="376">
        <v>0.26269358679872662</v>
      </c>
      <c r="I1767" s="376">
        <v>0.85</v>
      </c>
    </row>
    <row r="1768" spans="1:9" x14ac:dyDescent="0.35">
      <c r="A1768" s="376" t="s">
        <v>1612</v>
      </c>
      <c r="B1768" s="376" t="s">
        <v>1609</v>
      </c>
      <c r="C1768" s="376" t="s">
        <v>1046</v>
      </c>
      <c r="D1768" s="376">
        <v>2023</v>
      </c>
      <c r="E1768" s="376">
        <v>2031</v>
      </c>
      <c r="F1768" s="376">
        <v>0.37384575124303709</v>
      </c>
      <c r="G1768" s="376">
        <v>9928.6887826901675</v>
      </c>
      <c r="H1768" s="376">
        <v>0.26269358679872662</v>
      </c>
      <c r="I1768" s="376">
        <v>0.85</v>
      </c>
    </row>
    <row r="1769" spans="1:9" x14ac:dyDescent="0.35">
      <c r="A1769" s="376" t="s">
        <v>1612</v>
      </c>
      <c r="B1769" s="376" t="s">
        <v>1609</v>
      </c>
      <c r="C1769" s="376" t="s">
        <v>644</v>
      </c>
      <c r="D1769" s="376">
        <v>2023</v>
      </c>
      <c r="E1769" s="376">
        <v>2031</v>
      </c>
      <c r="F1769" s="376">
        <v>0.37384575124303709</v>
      </c>
      <c r="G1769" s="376">
        <v>9928.6887826901675</v>
      </c>
      <c r="H1769" s="376">
        <v>0.26269358679872662</v>
      </c>
      <c r="I1769" s="376">
        <v>0.85</v>
      </c>
    </row>
    <row r="1770" spans="1:9" x14ac:dyDescent="0.35">
      <c r="A1770" s="376" t="s">
        <v>1612</v>
      </c>
      <c r="B1770" s="376" t="s">
        <v>1609</v>
      </c>
      <c r="C1770" s="376" t="s">
        <v>628</v>
      </c>
      <c r="D1770" s="376">
        <v>2023</v>
      </c>
      <c r="E1770" s="376">
        <v>2031</v>
      </c>
      <c r="F1770" s="376">
        <v>0.37384575124303709</v>
      </c>
      <c r="G1770" s="376">
        <v>9928.6887826901675</v>
      </c>
      <c r="H1770" s="376">
        <v>0.26269358679872662</v>
      </c>
      <c r="I1770" s="376">
        <v>0.85</v>
      </c>
    </row>
    <row r="1771" spans="1:9" x14ac:dyDescent="0.35">
      <c r="A1771" s="376" t="s">
        <v>1612</v>
      </c>
      <c r="B1771" s="376" t="s">
        <v>1609</v>
      </c>
      <c r="C1771" s="376" t="s">
        <v>1051</v>
      </c>
      <c r="D1771" s="376">
        <v>2023</v>
      </c>
      <c r="E1771" s="376">
        <v>2031</v>
      </c>
      <c r="F1771" s="376">
        <v>0.37384575124303709</v>
      </c>
      <c r="G1771" s="376">
        <v>9928.6887826901675</v>
      </c>
      <c r="H1771" s="376">
        <v>0.26269358679872662</v>
      </c>
      <c r="I1771" s="376">
        <v>0.85</v>
      </c>
    </row>
    <row r="1772" spans="1:9" x14ac:dyDescent="0.35">
      <c r="A1772" s="376" t="s">
        <v>1612</v>
      </c>
      <c r="B1772" s="376" t="s">
        <v>1609</v>
      </c>
      <c r="C1772" s="376" t="s">
        <v>1054</v>
      </c>
      <c r="D1772" s="376">
        <v>2023</v>
      </c>
      <c r="E1772" s="376">
        <v>2031</v>
      </c>
      <c r="F1772" s="376">
        <v>0.37384575124303709</v>
      </c>
      <c r="G1772" s="376">
        <v>9928.6887826901675</v>
      </c>
      <c r="H1772" s="376">
        <v>0.26269358679872662</v>
      </c>
      <c r="I1772" s="376">
        <v>0.85</v>
      </c>
    </row>
    <row r="1773" spans="1:9" x14ac:dyDescent="0.35">
      <c r="A1773" s="376" t="s">
        <v>1613</v>
      </c>
      <c r="B1773" s="376" t="s">
        <v>1609</v>
      </c>
      <c r="C1773" s="376" t="s">
        <v>1046</v>
      </c>
      <c r="D1773" s="376">
        <v>2023</v>
      </c>
      <c r="E1773" s="376">
        <v>2023</v>
      </c>
      <c r="F1773" s="376">
        <v>0.40444272241720852</v>
      </c>
      <c r="G1773" s="376">
        <v>8848.5269568257354</v>
      </c>
      <c r="H1773" s="376">
        <v>0.25908039636509639</v>
      </c>
      <c r="I1773" s="376">
        <v>0.85</v>
      </c>
    </row>
    <row r="1774" spans="1:9" x14ac:dyDescent="0.35">
      <c r="A1774" s="376" t="s">
        <v>1613</v>
      </c>
      <c r="B1774" s="376" t="s">
        <v>1609</v>
      </c>
      <c r="C1774" s="376" t="s">
        <v>644</v>
      </c>
      <c r="D1774" s="376">
        <v>2023</v>
      </c>
      <c r="E1774" s="376">
        <v>2023</v>
      </c>
      <c r="F1774" s="376">
        <v>0.40444272241720852</v>
      </c>
      <c r="G1774" s="376">
        <v>8848.5269568257354</v>
      </c>
      <c r="H1774" s="376">
        <v>0.25908039636509639</v>
      </c>
      <c r="I1774" s="376">
        <v>0.85</v>
      </c>
    </row>
    <row r="1775" spans="1:9" x14ac:dyDescent="0.35">
      <c r="A1775" s="376" t="s">
        <v>1613</v>
      </c>
      <c r="B1775" s="376" t="s">
        <v>1609</v>
      </c>
      <c r="C1775" s="376" t="s">
        <v>628</v>
      </c>
      <c r="D1775" s="376">
        <v>2023</v>
      </c>
      <c r="E1775" s="376">
        <v>2023</v>
      </c>
      <c r="F1775" s="376">
        <v>0.40444272241720852</v>
      </c>
      <c r="G1775" s="376">
        <v>8848.5269568257354</v>
      </c>
      <c r="H1775" s="376">
        <v>0.25908039636509639</v>
      </c>
      <c r="I1775" s="376">
        <v>0.85</v>
      </c>
    </row>
    <row r="1776" spans="1:9" x14ac:dyDescent="0.35">
      <c r="A1776" s="376" t="s">
        <v>1613</v>
      </c>
      <c r="B1776" s="376" t="s">
        <v>1609</v>
      </c>
      <c r="C1776" s="376" t="s">
        <v>1051</v>
      </c>
      <c r="D1776" s="376">
        <v>2023</v>
      </c>
      <c r="E1776" s="376">
        <v>2023</v>
      </c>
      <c r="F1776" s="376">
        <v>0.40444272241720852</v>
      </c>
      <c r="G1776" s="376">
        <v>8848.5269568257354</v>
      </c>
      <c r="H1776" s="376">
        <v>0.25908039636509639</v>
      </c>
      <c r="I1776" s="376">
        <v>0.85</v>
      </c>
    </row>
    <row r="1777" spans="1:9" x14ac:dyDescent="0.35">
      <c r="A1777" s="376" t="s">
        <v>1613</v>
      </c>
      <c r="B1777" s="376" t="s">
        <v>1609</v>
      </c>
      <c r="C1777" s="376" t="s">
        <v>1054</v>
      </c>
      <c r="D1777" s="376">
        <v>2023</v>
      </c>
      <c r="E1777" s="376">
        <v>2023</v>
      </c>
      <c r="F1777" s="376">
        <v>0.40444272241720852</v>
      </c>
      <c r="G1777" s="376">
        <v>8848.5269568257354</v>
      </c>
      <c r="H1777" s="376">
        <v>0.25908039636509639</v>
      </c>
      <c r="I1777" s="376">
        <v>0.85</v>
      </c>
    </row>
    <row r="1778" spans="1:9" x14ac:dyDescent="0.35">
      <c r="A1778" s="376" t="s">
        <v>1613</v>
      </c>
      <c r="B1778" s="376" t="s">
        <v>1609</v>
      </c>
      <c r="C1778" s="376" t="s">
        <v>1046</v>
      </c>
      <c r="D1778" s="376">
        <v>2023</v>
      </c>
      <c r="E1778" s="376">
        <v>2024</v>
      </c>
      <c r="F1778" s="376">
        <v>0.40444272241720852</v>
      </c>
      <c r="G1778" s="376">
        <v>8848.5269568257354</v>
      </c>
      <c r="H1778" s="376">
        <v>0.25908039636509639</v>
      </c>
      <c r="I1778" s="376">
        <v>0.85</v>
      </c>
    </row>
    <row r="1779" spans="1:9" x14ac:dyDescent="0.35">
      <c r="A1779" s="376" t="s">
        <v>1613</v>
      </c>
      <c r="B1779" s="376" t="s">
        <v>1609</v>
      </c>
      <c r="C1779" s="376" t="s">
        <v>644</v>
      </c>
      <c r="D1779" s="376">
        <v>2023</v>
      </c>
      <c r="E1779" s="376">
        <v>2024</v>
      </c>
      <c r="F1779" s="376">
        <v>0.40444272241720852</v>
      </c>
      <c r="G1779" s="376">
        <v>8848.5269568257354</v>
      </c>
      <c r="H1779" s="376">
        <v>0.25908039636509639</v>
      </c>
      <c r="I1779" s="376">
        <v>0.85</v>
      </c>
    </row>
    <row r="1780" spans="1:9" x14ac:dyDescent="0.35">
      <c r="A1780" s="376" t="s">
        <v>1613</v>
      </c>
      <c r="B1780" s="376" t="s">
        <v>1609</v>
      </c>
      <c r="C1780" s="376" t="s">
        <v>628</v>
      </c>
      <c r="D1780" s="376">
        <v>2023</v>
      </c>
      <c r="E1780" s="376">
        <v>2024</v>
      </c>
      <c r="F1780" s="376">
        <v>0.40444272241720852</v>
      </c>
      <c r="G1780" s="376">
        <v>8848.5269568257354</v>
      </c>
      <c r="H1780" s="376">
        <v>0.25908039636509639</v>
      </c>
      <c r="I1780" s="376">
        <v>0.85</v>
      </c>
    </row>
    <row r="1781" spans="1:9" x14ac:dyDescent="0.35">
      <c r="A1781" s="376" t="s">
        <v>1613</v>
      </c>
      <c r="B1781" s="376" t="s">
        <v>1609</v>
      </c>
      <c r="C1781" s="376" t="s">
        <v>1051</v>
      </c>
      <c r="D1781" s="376">
        <v>2023</v>
      </c>
      <c r="E1781" s="376">
        <v>2024</v>
      </c>
      <c r="F1781" s="376">
        <v>0.40444272241720852</v>
      </c>
      <c r="G1781" s="376">
        <v>8848.5269568257354</v>
      </c>
      <c r="H1781" s="376">
        <v>0.25908039636509639</v>
      </c>
      <c r="I1781" s="376">
        <v>0.85</v>
      </c>
    </row>
    <row r="1782" spans="1:9" x14ac:dyDescent="0.35">
      <c r="A1782" s="376" t="s">
        <v>1613</v>
      </c>
      <c r="B1782" s="376" t="s">
        <v>1609</v>
      </c>
      <c r="C1782" s="376" t="s">
        <v>1054</v>
      </c>
      <c r="D1782" s="376">
        <v>2023</v>
      </c>
      <c r="E1782" s="376">
        <v>2024</v>
      </c>
      <c r="F1782" s="376">
        <v>0.40444272241720852</v>
      </c>
      <c r="G1782" s="376">
        <v>8848.5269568257354</v>
      </c>
      <c r="H1782" s="376">
        <v>0.25908039636509639</v>
      </c>
      <c r="I1782" s="376">
        <v>0.85</v>
      </c>
    </row>
    <row r="1783" spans="1:9" x14ac:dyDescent="0.35">
      <c r="A1783" s="376" t="s">
        <v>1613</v>
      </c>
      <c r="B1783" s="376" t="s">
        <v>1609</v>
      </c>
      <c r="C1783" s="376" t="s">
        <v>1046</v>
      </c>
      <c r="D1783" s="376">
        <v>2023</v>
      </c>
      <c r="E1783" s="376">
        <v>2025</v>
      </c>
      <c r="F1783" s="376">
        <v>0.40444272241720852</v>
      </c>
      <c r="G1783" s="376">
        <v>8848.5269568257354</v>
      </c>
      <c r="H1783" s="376">
        <v>0.25908039636509639</v>
      </c>
      <c r="I1783" s="376">
        <v>0.85</v>
      </c>
    </row>
    <row r="1784" spans="1:9" x14ac:dyDescent="0.35">
      <c r="A1784" s="376" t="s">
        <v>1613</v>
      </c>
      <c r="B1784" s="376" t="s">
        <v>1609</v>
      </c>
      <c r="C1784" s="376" t="s">
        <v>644</v>
      </c>
      <c r="D1784" s="376">
        <v>2023</v>
      </c>
      <c r="E1784" s="376">
        <v>2025</v>
      </c>
      <c r="F1784" s="376">
        <v>0.40444272241720852</v>
      </c>
      <c r="G1784" s="376">
        <v>8848.5269568257354</v>
      </c>
      <c r="H1784" s="376">
        <v>0.25908039636509639</v>
      </c>
      <c r="I1784" s="376">
        <v>0.85</v>
      </c>
    </row>
    <row r="1785" spans="1:9" x14ac:dyDescent="0.35">
      <c r="A1785" s="376" t="s">
        <v>1613</v>
      </c>
      <c r="B1785" s="376" t="s">
        <v>1609</v>
      </c>
      <c r="C1785" s="376" t="s">
        <v>628</v>
      </c>
      <c r="D1785" s="376">
        <v>2023</v>
      </c>
      <c r="E1785" s="376">
        <v>2025</v>
      </c>
      <c r="F1785" s="376">
        <v>0.40444272241720852</v>
      </c>
      <c r="G1785" s="376">
        <v>8848.5269568257354</v>
      </c>
      <c r="H1785" s="376">
        <v>0.25908039636509639</v>
      </c>
      <c r="I1785" s="376">
        <v>0.85</v>
      </c>
    </row>
    <row r="1786" spans="1:9" x14ac:dyDescent="0.35">
      <c r="A1786" s="376" t="s">
        <v>1613</v>
      </c>
      <c r="B1786" s="376" t="s">
        <v>1609</v>
      </c>
      <c r="C1786" s="376" t="s">
        <v>1051</v>
      </c>
      <c r="D1786" s="376">
        <v>2023</v>
      </c>
      <c r="E1786" s="376">
        <v>2025</v>
      </c>
      <c r="F1786" s="376">
        <v>0.40444272241720852</v>
      </c>
      <c r="G1786" s="376">
        <v>8848.5269568257354</v>
      </c>
      <c r="H1786" s="376">
        <v>0.25908039636509639</v>
      </c>
      <c r="I1786" s="376">
        <v>0.85</v>
      </c>
    </row>
    <row r="1787" spans="1:9" x14ac:dyDescent="0.35">
      <c r="A1787" s="376" t="s">
        <v>1613</v>
      </c>
      <c r="B1787" s="376" t="s">
        <v>1609</v>
      </c>
      <c r="C1787" s="376" t="s">
        <v>1054</v>
      </c>
      <c r="D1787" s="376">
        <v>2023</v>
      </c>
      <c r="E1787" s="376">
        <v>2025</v>
      </c>
      <c r="F1787" s="376">
        <v>0.40444272241720852</v>
      </c>
      <c r="G1787" s="376">
        <v>8848.5269568257354</v>
      </c>
      <c r="H1787" s="376">
        <v>0.25908039636509639</v>
      </c>
      <c r="I1787" s="376">
        <v>0.85</v>
      </c>
    </row>
    <row r="1788" spans="1:9" x14ac:dyDescent="0.35">
      <c r="A1788" s="376" t="s">
        <v>1613</v>
      </c>
      <c r="B1788" s="376" t="s">
        <v>1609</v>
      </c>
      <c r="C1788" s="376" t="s">
        <v>1046</v>
      </c>
      <c r="D1788" s="376">
        <v>2023</v>
      </c>
      <c r="E1788" s="376">
        <v>2026</v>
      </c>
      <c r="F1788" s="376">
        <v>0.40444272241720852</v>
      </c>
      <c r="G1788" s="376">
        <v>8848.5269568257354</v>
      </c>
      <c r="H1788" s="376">
        <v>0.25908039636509639</v>
      </c>
      <c r="I1788" s="376">
        <v>0.85</v>
      </c>
    </row>
    <row r="1789" spans="1:9" x14ac:dyDescent="0.35">
      <c r="A1789" s="376" t="s">
        <v>1613</v>
      </c>
      <c r="B1789" s="376" t="s">
        <v>1609</v>
      </c>
      <c r="C1789" s="376" t="s">
        <v>644</v>
      </c>
      <c r="D1789" s="376">
        <v>2023</v>
      </c>
      <c r="E1789" s="376">
        <v>2026</v>
      </c>
      <c r="F1789" s="376">
        <v>0.40444272241720852</v>
      </c>
      <c r="G1789" s="376">
        <v>8848.5269568257354</v>
      </c>
      <c r="H1789" s="376">
        <v>0.25908039636509639</v>
      </c>
      <c r="I1789" s="376">
        <v>0.85</v>
      </c>
    </row>
    <row r="1790" spans="1:9" x14ac:dyDescent="0.35">
      <c r="A1790" s="376" t="s">
        <v>1613</v>
      </c>
      <c r="B1790" s="376" t="s">
        <v>1609</v>
      </c>
      <c r="C1790" s="376" t="s">
        <v>628</v>
      </c>
      <c r="D1790" s="376">
        <v>2023</v>
      </c>
      <c r="E1790" s="376">
        <v>2026</v>
      </c>
      <c r="F1790" s="376">
        <v>0.40444272241720852</v>
      </c>
      <c r="G1790" s="376">
        <v>8848.5269568257354</v>
      </c>
      <c r="H1790" s="376">
        <v>0.25908039636509639</v>
      </c>
      <c r="I1790" s="376">
        <v>0.85</v>
      </c>
    </row>
    <row r="1791" spans="1:9" x14ac:dyDescent="0.35">
      <c r="A1791" s="376" t="s">
        <v>1613</v>
      </c>
      <c r="B1791" s="376" t="s">
        <v>1609</v>
      </c>
      <c r="C1791" s="376" t="s">
        <v>1051</v>
      </c>
      <c r="D1791" s="376">
        <v>2023</v>
      </c>
      <c r="E1791" s="376">
        <v>2026</v>
      </c>
      <c r="F1791" s="376">
        <v>0.40444272241720852</v>
      </c>
      <c r="G1791" s="376">
        <v>8848.5269568257354</v>
      </c>
      <c r="H1791" s="376">
        <v>0.25908039636509639</v>
      </c>
      <c r="I1791" s="376">
        <v>0.85</v>
      </c>
    </row>
    <row r="1792" spans="1:9" x14ac:dyDescent="0.35">
      <c r="A1792" s="376" t="s">
        <v>1613</v>
      </c>
      <c r="B1792" s="376" t="s">
        <v>1609</v>
      </c>
      <c r="C1792" s="376" t="s">
        <v>1054</v>
      </c>
      <c r="D1792" s="376">
        <v>2023</v>
      </c>
      <c r="E1792" s="376">
        <v>2026</v>
      </c>
      <c r="F1792" s="376">
        <v>0.40444272241720852</v>
      </c>
      <c r="G1792" s="376">
        <v>8848.5269568257354</v>
      </c>
      <c r="H1792" s="376">
        <v>0.25908039636509639</v>
      </c>
      <c r="I1792" s="376">
        <v>0.85</v>
      </c>
    </row>
    <row r="1793" spans="1:9" x14ac:dyDescent="0.35">
      <c r="A1793" s="376" t="s">
        <v>1613</v>
      </c>
      <c r="B1793" s="376" t="s">
        <v>1609</v>
      </c>
      <c r="C1793" s="376" t="s">
        <v>1046</v>
      </c>
      <c r="D1793" s="376">
        <v>2023</v>
      </c>
      <c r="E1793" s="376">
        <v>2027</v>
      </c>
      <c r="F1793" s="376">
        <v>0.40444272241720852</v>
      </c>
      <c r="G1793" s="376">
        <v>8848.5269568257354</v>
      </c>
      <c r="H1793" s="376">
        <v>0.25908039636509639</v>
      </c>
      <c r="I1793" s="376">
        <v>0.85</v>
      </c>
    </row>
    <row r="1794" spans="1:9" x14ac:dyDescent="0.35">
      <c r="A1794" s="376" t="s">
        <v>1613</v>
      </c>
      <c r="B1794" s="376" t="s">
        <v>1609</v>
      </c>
      <c r="C1794" s="376" t="s">
        <v>644</v>
      </c>
      <c r="D1794" s="376">
        <v>2023</v>
      </c>
      <c r="E1794" s="376">
        <v>2027</v>
      </c>
      <c r="F1794" s="376">
        <v>0.40444272241720852</v>
      </c>
      <c r="G1794" s="376">
        <v>8848.5269568257354</v>
      </c>
      <c r="H1794" s="376">
        <v>0.25908039636509639</v>
      </c>
      <c r="I1794" s="376">
        <v>0.85</v>
      </c>
    </row>
    <row r="1795" spans="1:9" x14ac:dyDescent="0.35">
      <c r="A1795" s="376" t="s">
        <v>1613</v>
      </c>
      <c r="B1795" s="376" t="s">
        <v>1609</v>
      </c>
      <c r="C1795" s="376" t="s">
        <v>628</v>
      </c>
      <c r="D1795" s="376">
        <v>2023</v>
      </c>
      <c r="E1795" s="376">
        <v>2027</v>
      </c>
      <c r="F1795" s="376">
        <v>0.40444272241720852</v>
      </c>
      <c r="G1795" s="376">
        <v>8848.5269568257354</v>
      </c>
      <c r="H1795" s="376">
        <v>0.25908039636509639</v>
      </c>
      <c r="I1795" s="376">
        <v>0.85</v>
      </c>
    </row>
    <row r="1796" spans="1:9" x14ac:dyDescent="0.35">
      <c r="A1796" s="376" t="s">
        <v>1613</v>
      </c>
      <c r="B1796" s="376" t="s">
        <v>1609</v>
      </c>
      <c r="C1796" s="376" t="s">
        <v>1051</v>
      </c>
      <c r="D1796" s="376">
        <v>2023</v>
      </c>
      <c r="E1796" s="376">
        <v>2027</v>
      </c>
      <c r="F1796" s="376">
        <v>0.40444272241720852</v>
      </c>
      <c r="G1796" s="376">
        <v>8848.5269568257354</v>
      </c>
      <c r="H1796" s="376">
        <v>0.25908039636509639</v>
      </c>
      <c r="I1796" s="376">
        <v>0.85</v>
      </c>
    </row>
    <row r="1797" spans="1:9" x14ac:dyDescent="0.35">
      <c r="A1797" s="376" t="s">
        <v>1613</v>
      </c>
      <c r="B1797" s="376" t="s">
        <v>1609</v>
      </c>
      <c r="C1797" s="376" t="s">
        <v>1054</v>
      </c>
      <c r="D1797" s="376">
        <v>2023</v>
      </c>
      <c r="E1797" s="376">
        <v>2027</v>
      </c>
      <c r="F1797" s="376">
        <v>0.40444272241720852</v>
      </c>
      <c r="G1797" s="376">
        <v>8848.5269568257354</v>
      </c>
      <c r="H1797" s="376">
        <v>0.25908039636509639</v>
      </c>
      <c r="I1797" s="376">
        <v>0.85</v>
      </c>
    </row>
    <row r="1798" spans="1:9" x14ac:dyDescent="0.35">
      <c r="A1798" s="376" t="s">
        <v>1613</v>
      </c>
      <c r="B1798" s="376" t="s">
        <v>1609</v>
      </c>
      <c r="C1798" s="376" t="s">
        <v>1046</v>
      </c>
      <c r="D1798" s="376">
        <v>2023</v>
      </c>
      <c r="E1798" s="376">
        <v>2028</v>
      </c>
      <c r="F1798" s="376">
        <v>0.40444272241720852</v>
      </c>
      <c r="G1798" s="376">
        <v>8848.5269568257354</v>
      </c>
      <c r="H1798" s="376">
        <v>0.25908039636509639</v>
      </c>
      <c r="I1798" s="376">
        <v>0.85</v>
      </c>
    </row>
    <row r="1799" spans="1:9" x14ac:dyDescent="0.35">
      <c r="A1799" s="376" t="s">
        <v>1613</v>
      </c>
      <c r="B1799" s="376" t="s">
        <v>1609</v>
      </c>
      <c r="C1799" s="376" t="s">
        <v>644</v>
      </c>
      <c r="D1799" s="376">
        <v>2023</v>
      </c>
      <c r="E1799" s="376">
        <v>2028</v>
      </c>
      <c r="F1799" s="376">
        <v>0.40444272241720852</v>
      </c>
      <c r="G1799" s="376">
        <v>8848.5269568257354</v>
      </c>
      <c r="H1799" s="376">
        <v>0.25908039636509639</v>
      </c>
      <c r="I1799" s="376">
        <v>0.85</v>
      </c>
    </row>
    <row r="1800" spans="1:9" x14ac:dyDescent="0.35">
      <c r="A1800" s="376" t="s">
        <v>1613</v>
      </c>
      <c r="B1800" s="376" t="s">
        <v>1609</v>
      </c>
      <c r="C1800" s="376" t="s">
        <v>628</v>
      </c>
      <c r="D1800" s="376">
        <v>2023</v>
      </c>
      <c r="E1800" s="376">
        <v>2028</v>
      </c>
      <c r="F1800" s="376">
        <v>0.40444272241720852</v>
      </c>
      <c r="G1800" s="376">
        <v>8848.5269568257354</v>
      </c>
      <c r="H1800" s="376">
        <v>0.25908039636509639</v>
      </c>
      <c r="I1800" s="376">
        <v>0.85</v>
      </c>
    </row>
    <row r="1801" spans="1:9" x14ac:dyDescent="0.35">
      <c r="A1801" s="376" t="s">
        <v>1613</v>
      </c>
      <c r="B1801" s="376" t="s">
        <v>1609</v>
      </c>
      <c r="C1801" s="376" t="s">
        <v>1051</v>
      </c>
      <c r="D1801" s="376">
        <v>2023</v>
      </c>
      <c r="E1801" s="376">
        <v>2028</v>
      </c>
      <c r="F1801" s="376">
        <v>0.40444272241720852</v>
      </c>
      <c r="G1801" s="376">
        <v>8848.5269568257354</v>
      </c>
      <c r="H1801" s="376">
        <v>0.25908039636509639</v>
      </c>
      <c r="I1801" s="376">
        <v>0.85</v>
      </c>
    </row>
    <row r="1802" spans="1:9" x14ac:dyDescent="0.35">
      <c r="A1802" s="376" t="s">
        <v>1613</v>
      </c>
      <c r="B1802" s="376" t="s">
        <v>1609</v>
      </c>
      <c r="C1802" s="376" t="s">
        <v>1054</v>
      </c>
      <c r="D1802" s="376">
        <v>2023</v>
      </c>
      <c r="E1802" s="376">
        <v>2028</v>
      </c>
      <c r="F1802" s="376">
        <v>0.40444272241720852</v>
      </c>
      <c r="G1802" s="376">
        <v>8848.5269568257354</v>
      </c>
      <c r="H1802" s="376">
        <v>0.25908039636509639</v>
      </c>
      <c r="I1802" s="376">
        <v>0.85</v>
      </c>
    </row>
    <row r="1803" spans="1:9" x14ac:dyDescent="0.35">
      <c r="A1803" s="376" t="s">
        <v>1613</v>
      </c>
      <c r="B1803" s="376" t="s">
        <v>1609</v>
      </c>
      <c r="C1803" s="376" t="s">
        <v>1046</v>
      </c>
      <c r="D1803" s="376">
        <v>2023</v>
      </c>
      <c r="E1803" s="376">
        <v>2029</v>
      </c>
      <c r="F1803" s="376">
        <v>0.40444272241720852</v>
      </c>
      <c r="G1803" s="376">
        <v>8848.5269568257354</v>
      </c>
      <c r="H1803" s="376">
        <v>0.25908039636509639</v>
      </c>
      <c r="I1803" s="376">
        <v>0.85</v>
      </c>
    </row>
    <row r="1804" spans="1:9" x14ac:dyDescent="0.35">
      <c r="A1804" s="376" t="s">
        <v>1613</v>
      </c>
      <c r="B1804" s="376" t="s">
        <v>1609</v>
      </c>
      <c r="C1804" s="376" t="s">
        <v>644</v>
      </c>
      <c r="D1804" s="376">
        <v>2023</v>
      </c>
      <c r="E1804" s="376">
        <v>2029</v>
      </c>
      <c r="F1804" s="376">
        <v>0.40444272241720852</v>
      </c>
      <c r="G1804" s="376">
        <v>8848.5269568257354</v>
      </c>
      <c r="H1804" s="376">
        <v>0.25908039636509639</v>
      </c>
      <c r="I1804" s="376">
        <v>0.85</v>
      </c>
    </row>
    <row r="1805" spans="1:9" x14ac:dyDescent="0.35">
      <c r="A1805" s="376" t="s">
        <v>1613</v>
      </c>
      <c r="B1805" s="376" t="s">
        <v>1609</v>
      </c>
      <c r="C1805" s="376" t="s">
        <v>628</v>
      </c>
      <c r="D1805" s="376">
        <v>2023</v>
      </c>
      <c r="E1805" s="376">
        <v>2029</v>
      </c>
      <c r="F1805" s="376">
        <v>0.40444272241720852</v>
      </c>
      <c r="G1805" s="376">
        <v>8848.5269568257354</v>
      </c>
      <c r="H1805" s="376">
        <v>0.25908039636509639</v>
      </c>
      <c r="I1805" s="376">
        <v>0.85</v>
      </c>
    </row>
    <row r="1806" spans="1:9" x14ac:dyDescent="0.35">
      <c r="A1806" s="376" t="s">
        <v>1613</v>
      </c>
      <c r="B1806" s="376" t="s">
        <v>1609</v>
      </c>
      <c r="C1806" s="376" t="s">
        <v>1051</v>
      </c>
      <c r="D1806" s="376">
        <v>2023</v>
      </c>
      <c r="E1806" s="376">
        <v>2029</v>
      </c>
      <c r="F1806" s="376">
        <v>0.40444272241720852</v>
      </c>
      <c r="G1806" s="376">
        <v>8848.5269568257354</v>
      </c>
      <c r="H1806" s="376">
        <v>0.25908039636509639</v>
      </c>
      <c r="I1806" s="376">
        <v>0.85</v>
      </c>
    </row>
    <row r="1807" spans="1:9" x14ac:dyDescent="0.35">
      <c r="A1807" s="376" t="s">
        <v>1613</v>
      </c>
      <c r="B1807" s="376" t="s">
        <v>1609</v>
      </c>
      <c r="C1807" s="376" t="s">
        <v>1054</v>
      </c>
      <c r="D1807" s="376">
        <v>2023</v>
      </c>
      <c r="E1807" s="376">
        <v>2029</v>
      </c>
      <c r="F1807" s="376">
        <v>0.40444272241720852</v>
      </c>
      <c r="G1807" s="376">
        <v>8848.5269568257354</v>
      </c>
      <c r="H1807" s="376">
        <v>0.25908039636509639</v>
      </c>
      <c r="I1807" s="376">
        <v>0.85</v>
      </c>
    </row>
    <row r="1808" spans="1:9" x14ac:dyDescent="0.35">
      <c r="A1808" s="376" t="s">
        <v>1613</v>
      </c>
      <c r="B1808" s="376" t="s">
        <v>1609</v>
      </c>
      <c r="C1808" s="376" t="s">
        <v>1046</v>
      </c>
      <c r="D1808" s="376">
        <v>2023</v>
      </c>
      <c r="E1808" s="376">
        <v>2030</v>
      </c>
      <c r="F1808" s="376">
        <v>0.40444272241720852</v>
      </c>
      <c r="G1808" s="376">
        <v>8848.5269568257354</v>
      </c>
      <c r="H1808" s="376">
        <v>0.25908039636509639</v>
      </c>
      <c r="I1808" s="376">
        <v>0.85</v>
      </c>
    </row>
    <row r="1809" spans="1:9" x14ac:dyDescent="0.35">
      <c r="A1809" s="376" t="s">
        <v>1613</v>
      </c>
      <c r="B1809" s="376" t="s">
        <v>1609</v>
      </c>
      <c r="C1809" s="376" t="s">
        <v>644</v>
      </c>
      <c r="D1809" s="376">
        <v>2023</v>
      </c>
      <c r="E1809" s="376">
        <v>2030</v>
      </c>
      <c r="F1809" s="376">
        <v>0.40444272241720852</v>
      </c>
      <c r="G1809" s="376">
        <v>8848.5269568257354</v>
      </c>
      <c r="H1809" s="376">
        <v>0.25908039636509639</v>
      </c>
      <c r="I1809" s="376">
        <v>0.85</v>
      </c>
    </row>
    <row r="1810" spans="1:9" x14ac:dyDescent="0.35">
      <c r="A1810" s="376" t="s">
        <v>1613</v>
      </c>
      <c r="B1810" s="376" t="s">
        <v>1609</v>
      </c>
      <c r="C1810" s="376" t="s">
        <v>628</v>
      </c>
      <c r="D1810" s="376">
        <v>2023</v>
      </c>
      <c r="E1810" s="376">
        <v>2030</v>
      </c>
      <c r="F1810" s="376">
        <v>0.40444272241720852</v>
      </c>
      <c r="G1810" s="376">
        <v>8848.5269568257354</v>
      </c>
      <c r="H1810" s="376">
        <v>0.25908039636509639</v>
      </c>
      <c r="I1810" s="376">
        <v>0.85</v>
      </c>
    </row>
    <row r="1811" spans="1:9" x14ac:dyDescent="0.35">
      <c r="A1811" s="376" t="s">
        <v>1613</v>
      </c>
      <c r="B1811" s="376" t="s">
        <v>1609</v>
      </c>
      <c r="C1811" s="376" t="s">
        <v>1051</v>
      </c>
      <c r="D1811" s="376">
        <v>2023</v>
      </c>
      <c r="E1811" s="376">
        <v>2030</v>
      </c>
      <c r="F1811" s="376">
        <v>0.40444272241720852</v>
      </c>
      <c r="G1811" s="376">
        <v>8848.5269568257354</v>
      </c>
      <c r="H1811" s="376">
        <v>0.25908039636509639</v>
      </c>
      <c r="I1811" s="376">
        <v>0.85</v>
      </c>
    </row>
    <row r="1812" spans="1:9" x14ac:dyDescent="0.35">
      <c r="A1812" s="376" t="s">
        <v>1613</v>
      </c>
      <c r="B1812" s="376" t="s">
        <v>1609</v>
      </c>
      <c r="C1812" s="376" t="s">
        <v>1054</v>
      </c>
      <c r="D1812" s="376">
        <v>2023</v>
      </c>
      <c r="E1812" s="376">
        <v>2030</v>
      </c>
      <c r="F1812" s="376">
        <v>0.40444272241720852</v>
      </c>
      <c r="G1812" s="376">
        <v>8848.5269568257354</v>
      </c>
      <c r="H1812" s="376">
        <v>0.25908039636509639</v>
      </c>
      <c r="I1812" s="376">
        <v>0.85</v>
      </c>
    </row>
    <row r="1813" spans="1:9" x14ac:dyDescent="0.35">
      <c r="A1813" s="376" t="s">
        <v>1613</v>
      </c>
      <c r="B1813" s="376" t="s">
        <v>1609</v>
      </c>
      <c r="C1813" s="376" t="s">
        <v>1046</v>
      </c>
      <c r="D1813" s="376">
        <v>2023</v>
      </c>
      <c r="E1813" s="376">
        <v>2031</v>
      </c>
      <c r="F1813" s="376">
        <v>0.40444272241720852</v>
      </c>
      <c r="G1813" s="376">
        <v>8848.5269568257354</v>
      </c>
      <c r="H1813" s="376">
        <v>0.25908039636509639</v>
      </c>
      <c r="I1813" s="376">
        <v>0.85</v>
      </c>
    </row>
    <row r="1814" spans="1:9" x14ac:dyDescent="0.35">
      <c r="A1814" s="376" t="s">
        <v>1613</v>
      </c>
      <c r="B1814" s="376" t="s">
        <v>1609</v>
      </c>
      <c r="C1814" s="376" t="s">
        <v>644</v>
      </c>
      <c r="D1814" s="376">
        <v>2023</v>
      </c>
      <c r="E1814" s="376">
        <v>2031</v>
      </c>
      <c r="F1814" s="376">
        <v>0.40444272241720852</v>
      </c>
      <c r="G1814" s="376">
        <v>8848.5269568257354</v>
      </c>
      <c r="H1814" s="376">
        <v>0.25908039636509639</v>
      </c>
      <c r="I1814" s="376">
        <v>0.85</v>
      </c>
    </row>
    <row r="1815" spans="1:9" x14ac:dyDescent="0.35">
      <c r="A1815" s="376" t="s">
        <v>1613</v>
      </c>
      <c r="B1815" s="376" t="s">
        <v>1609</v>
      </c>
      <c r="C1815" s="376" t="s">
        <v>628</v>
      </c>
      <c r="D1815" s="376">
        <v>2023</v>
      </c>
      <c r="E1815" s="376">
        <v>2031</v>
      </c>
      <c r="F1815" s="376">
        <v>0.40444272241720852</v>
      </c>
      <c r="G1815" s="376">
        <v>8848.5269568257354</v>
      </c>
      <c r="H1815" s="376">
        <v>0.25908039636509639</v>
      </c>
      <c r="I1815" s="376">
        <v>0.85</v>
      </c>
    </row>
    <row r="1816" spans="1:9" x14ac:dyDescent="0.35">
      <c r="A1816" s="376" t="s">
        <v>1613</v>
      </c>
      <c r="B1816" s="376" t="s">
        <v>1609</v>
      </c>
      <c r="C1816" s="376" t="s">
        <v>1051</v>
      </c>
      <c r="D1816" s="376">
        <v>2023</v>
      </c>
      <c r="E1816" s="376">
        <v>2031</v>
      </c>
      <c r="F1816" s="376">
        <v>0.40444272241720852</v>
      </c>
      <c r="G1816" s="376">
        <v>8848.5269568257354</v>
      </c>
      <c r="H1816" s="376">
        <v>0.25908039636509639</v>
      </c>
      <c r="I1816" s="376">
        <v>0.85</v>
      </c>
    </row>
    <row r="1817" spans="1:9" x14ac:dyDescent="0.35">
      <c r="A1817" s="376" t="s">
        <v>1613</v>
      </c>
      <c r="B1817" s="376" t="s">
        <v>1609</v>
      </c>
      <c r="C1817" s="376" t="s">
        <v>1054</v>
      </c>
      <c r="D1817" s="376">
        <v>2023</v>
      </c>
      <c r="E1817" s="376">
        <v>2031</v>
      </c>
      <c r="F1817" s="376">
        <v>0.40444272241720852</v>
      </c>
      <c r="G1817" s="376">
        <v>8848.5269568257354</v>
      </c>
      <c r="H1817" s="376">
        <v>0.25908039636509639</v>
      </c>
      <c r="I1817" s="376">
        <v>0.85</v>
      </c>
    </row>
    <row r="1818" spans="1:9" x14ac:dyDescent="0.35">
      <c r="A1818" s="376" t="s">
        <v>1614</v>
      </c>
      <c r="B1818" s="376" t="s">
        <v>1609</v>
      </c>
      <c r="C1818" s="376" t="s">
        <v>1046</v>
      </c>
      <c r="D1818" s="376">
        <v>2023</v>
      </c>
      <c r="E1818" s="376">
        <v>2023</v>
      </c>
      <c r="F1818" s="376">
        <v>0.28070162831646173</v>
      </c>
      <c r="G1818" s="376">
        <v>6454.3984013550207</v>
      </c>
      <c r="H1818" s="376">
        <v>0.25908039636509639</v>
      </c>
      <c r="I1818" s="376">
        <v>0.85</v>
      </c>
    </row>
    <row r="1819" spans="1:9" x14ac:dyDescent="0.35">
      <c r="A1819" s="376" t="s">
        <v>1614</v>
      </c>
      <c r="B1819" s="376" t="s">
        <v>1609</v>
      </c>
      <c r="C1819" s="376" t="s">
        <v>644</v>
      </c>
      <c r="D1819" s="376">
        <v>2023</v>
      </c>
      <c r="E1819" s="376">
        <v>2023</v>
      </c>
      <c r="F1819" s="376">
        <v>0.28070162831646173</v>
      </c>
      <c r="G1819" s="376">
        <v>6454.3984013550207</v>
      </c>
      <c r="H1819" s="376">
        <v>0.25908039636509639</v>
      </c>
      <c r="I1819" s="376">
        <v>0.85</v>
      </c>
    </row>
    <row r="1820" spans="1:9" x14ac:dyDescent="0.35">
      <c r="A1820" s="376" t="s">
        <v>1614</v>
      </c>
      <c r="B1820" s="376" t="s">
        <v>1609</v>
      </c>
      <c r="C1820" s="376" t="s">
        <v>628</v>
      </c>
      <c r="D1820" s="376">
        <v>2023</v>
      </c>
      <c r="E1820" s="376">
        <v>2023</v>
      </c>
      <c r="F1820" s="376">
        <v>0.28070162831646173</v>
      </c>
      <c r="G1820" s="376">
        <v>6454.3984013550207</v>
      </c>
      <c r="H1820" s="376">
        <v>0.25908039636509639</v>
      </c>
      <c r="I1820" s="376">
        <v>0.85</v>
      </c>
    </row>
    <row r="1821" spans="1:9" x14ac:dyDescent="0.35">
      <c r="A1821" s="376" t="s">
        <v>1614</v>
      </c>
      <c r="B1821" s="376" t="s">
        <v>1609</v>
      </c>
      <c r="C1821" s="376" t="s">
        <v>1051</v>
      </c>
      <c r="D1821" s="376">
        <v>2023</v>
      </c>
      <c r="E1821" s="376">
        <v>2023</v>
      </c>
      <c r="F1821" s="376">
        <v>0.28070162831646173</v>
      </c>
      <c r="G1821" s="376">
        <v>6454.3984013550207</v>
      </c>
      <c r="H1821" s="376">
        <v>0.25908039636509639</v>
      </c>
      <c r="I1821" s="376">
        <v>0.85</v>
      </c>
    </row>
    <row r="1822" spans="1:9" x14ac:dyDescent="0.35">
      <c r="A1822" s="376" t="s">
        <v>1614</v>
      </c>
      <c r="B1822" s="376" t="s">
        <v>1609</v>
      </c>
      <c r="C1822" s="376" t="s">
        <v>1054</v>
      </c>
      <c r="D1822" s="376">
        <v>2023</v>
      </c>
      <c r="E1822" s="376">
        <v>2023</v>
      </c>
      <c r="F1822" s="376">
        <v>0.28070162831646173</v>
      </c>
      <c r="G1822" s="376">
        <v>6454.3984013550207</v>
      </c>
      <c r="H1822" s="376">
        <v>0.25908039636509639</v>
      </c>
      <c r="I1822" s="376">
        <v>0.85</v>
      </c>
    </row>
    <row r="1823" spans="1:9" x14ac:dyDescent="0.35">
      <c r="A1823" s="376" t="s">
        <v>1614</v>
      </c>
      <c r="B1823" s="376" t="s">
        <v>1609</v>
      </c>
      <c r="C1823" s="376" t="s">
        <v>1046</v>
      </c>
      <c r="D1823" s="376">
        <v>2023</v>
      </c>
      <c r="E1823" s="376">
        <v>2024</v>
      </c>
      <c r="F1823" s="376">
        <v>0.28070162831646173</v>
      </c>
      <c r="G1823" s="376">
        <v>6454.3984013550207</v>
      </c>
      <c r="H1823" s="376">
        <v>0.25908039636509639</v>
      </c>
      <c r="I1823" s="376">
        <v>0.85</v>
      </c>
    </row>
    <row r="1824" spans="1:9" x14ac:dyDescent="0.35">
      <c r="A1824" s="376" t="s">
        <v>1614</v>
      </c>
      <c r="B1824" s="376" t="s">
        <v>1609</v>
      </c>
      <c r="C1824" s="376" t="s">
        <v>644</v>
      </c>
      <c r="D1824" s="376">
        <v>2023</v>
      </c>
      <c r="E1824" s="376">
        <v>2024</v>
      </c>
      <c r="F1824" s="376">
        <v>0.28070162831646173</v>
      </c>
      <c r="G1824" s="376">
        <v>6454.3984013550207</v>
      </c>
      <c r="H1824" s="376">
        <v>0.25908039636509639</v>
      </c>
      <c r="I1824" s="376">
        <v>0.85</v>
      </c>
    </row>
    <row r="1825" spans="1:9" x14ac:dyDescent="0.35">
      <c r="A1825" s="376" t="s">
        <v>1614</v>
      </c>
      <c r="B1825" s="376" t="s">
        <v>1609</v>
      </c>
      <c r="C1825" s="376" t="s">
        <v>628</v>
      </c>
      <c r="D1825" s="376">
        <v>2023</v>
      </c>
      <c r="E1825" s="376">
        <v>2024</v>
      </c>
      <c r="F1825" s="376">
        <v>0.28070162831646173</v>
      </c>
      <c r="G1825" s="376">
        <v>6454.3984013550207</v>
      </c>
      <c r="H1825" s="376">
        <v>0.25908039636509639</v>
      </c>
      <c r="I1825" s="376">
        <v>0.85</v>
      </c>
    </row>
    <row r="1826" spans="1:9" x14ac:dyDescent="0.35">
      <c r="A1826" s="376" t="s">
        <v>1614</v>
      </c>
      <c r="B1826" s="376" t="s">
        <v>1609</v>
      </c>
      <c r="C1826" s="376" t="s">
        <v>1051</v>
      </c>
      <c r="D1826" s="376">
        <v>2023</v>
      </c>
      <c r="E1826" s="376">
        <v>2024</v>
      </c>
      <c r="F1826" s="376">
        <v>0.28070162831646173</v>
      </c>
      <c r="G1826" s="376">
        <v>6454.3984013550207</v>
      </c>
      <c r="H1826" s="376">
        <v>0.25908039636509639</v>
      </c>
      <c r="I1826" s="376">
        <v>0.85</v>
      </c>
    </row>
    <row r="1827" spans="1:9" x14ac:dyDescent="0.35">
      <c r="A1827" s="376" t="s">
        <v>1614</v>
      </c>
      <c r="B1827" s="376" t="s">
        <v>1609</v>
      </c>
      <c r="C1827" s="376" t="s">
        <v>1054</v>
      </c>
      <c r="D1827" s="376">
        <v>2023</v>
      </c>
      <c r="E1827" s="376">
        <v>2024</v>
      </c>
      <c r="F1827" s="376">
        <v>0.28070162831646173</v>
      </c>
      <c r="G1827" s="376">
        <v>6454.3984013550207</v>
      </c>
      <c r="H1827" s="376">
        <v>0.25908039636509639</v>
      </c>
      <c r="I1827" s="376">
        <v>0.85</v>
      </c>
    </row>
    <row r="1828" spans="1:9" x14ac:dyDescent="0.35">
      <c r="A1828" s="376" t="s">
        <v>1614</v>
      </c>
      <c r="B1828" s="376" t="s">
        <v>1609</v>
      </c>
      <c r="C1828" s="376" t="s">
        <v>1046</v>
      </c>
      <c r="D1828" s="376">
        <v>2023</v>
      </c>
      <c r="E1828" s="376">
        <v>2025</v>
      </c>
      <c r="F1828" s="376">
        <v>0.28070162831646173</v>
      </c>
      <c r="G1828" s="376">
        <v>6454.3984013550207</v>
      </c>
      <c r="H1828" s="376">
        <v>0.25908039636509639</v>
      </c>
      <c r="I1828" s="376">
        <v>0.85</v>
      </c>
    </row>
    <row r="1829" spans="1:9" x14ac:dyDescent="0.35">
      <c r="A1829" s="376" t="s">
        <v>1614</v>
      </c>
      <c r="B1829" s="376" t="s">
        <v>1609</v>
      </c>
      <c r="C1829" s="376" t="s">
        <v>644</v>
      </c>
      <c r="D1829" s="376">
        <v>2023</v>
      </c>
      <c r="E1829" s="376">
        <v>2025</v>
      </c>
      <c r="F1829" s="376">
        <v>0.28070162831646173</v>
      </c>
      <c r="G1829" s="376">
        <v>6454.3984013550207</v>
      </c>
      <c r="H1829" s="376">
        <v>0.25908039636509639</v>
      </c>
      <c r="I1829" s="376">
        <v>0.85</v>
      </c>
    </row>
    <row r="1830" spans="1:9" x14ac:dyDescent="0.35">
      <c r="A1830" s="376" t="s">
        <v>1614</v>
      </c>
      <c r="B1830" s="376" t="s">
        <v>1609</v>
      </c>
      <c r="C1830" s="376" t="s">
        <v>628</v>
      </c>
      <c r="D1830" s="376">
        <v>2023</v>
      </c>
      <c r="E1830" s="376">
        <v>2025</v>
      </c>
      <c r="F1830" s="376">
        <v>0.28070162831646173</v>
      </c>
      <c r="G1830" s="376">
        <v>6454.3984013550207</v>
      </c>
      <c r="H1830" s="376">
        <v>0.25908039636509639</v>
      </c>
      <c r="I1830" s="376">
        <v>0.85</v>
      </c>
    </row>
    <row r="1831" spans="1:9" x14ac:dyDescent="0.35">
      <c r="A1831" s="376" t="s">
        <v>1614</v>
      </c>
      <c r="B1831" s="376" t="s">
        <v>1609</v>
      </c>
      <c r="C1831" s="376" t="s">
        <v>1051</v>
      </c>
      <c r="D1831" s="376">
        <v>2023</v>
      </c>
      <c r="E1831" s="376">
        <v>2025</v>
      </c>
      <c r="F1831" s="376">
        <v>0.28070162831646173</v>
      </c>
      <c r="G1831" s="376">
        <v>6454.3984013550207</v>
      </c>
      <c r="H1831" s="376">
        <v>0.25908039636509639</v>
      </c>
      <c r="I1831" s="376">
        <v>0.85</v>
      </c>
    </row>
    <row r="1832" spans="1:9" x14ac:dyDescent="0.35">
      <c r="A1832" s="376" t="s">
        <v>1614</v>
      </c>
      <c r="B1832" s="376" t="s">
        <v>1609</v>
      </c>
      <c r="C1832" s="376" t="s">
        <v>1054</v>
      </c>
      <c r="D1832" s="376">
        <v>2023</v>
      </c>
      <c r="E1832" s="376">
        <v>2025</v>
      </c>
      <c r="F1832" s="376">
        <v>0.28070162831646173</v>
      </c>
      <c r="G1832" s="376">
        <v>6454.3984013550207</v>
      </c>
      <c r="H1832" s="376">
        <v>0.25908039636509639</v>
      </c>
      <c r="I1832" s="376">
        <v>0.85</v>
      </c>
    </row>
    <row r="1833" spans="1:9" x14ac:dyDescent="0.35">
      <c r="A1833" s="376" t="s">
        <v>1614</v>
      </c>
      <c r="B1833" s="376" t="s">
        <v>1609</v>
      </c>
      <c r="C1833" s="376" t="s">
        <v>1046</v>
      </c>
      <c r="D1833" s="376">
        <v>2023</v>
      </c>
      <c r="E1833" s="376">
        <v>2026</v>
      </c>
      <c r="F1833" s="376">
        <v>0.28070162831646173</v>
      </c>
      <c r="G1833" s="376">
        <v>6454.3984013550207</v>
      </c>
      <c r="H1833" s="376">
        <v>0.25908039636509639</v>
      </c>
      <c r="I1833" s="376">
        <v>0.85</v>
      </c>
    </row>
    <row r="1834" spans="1:9" x14ac:dyDescent="0.35">
      <c r="A1834" s="376" t="s">
        <v>1614</v>
      </c>
      <c r="B1834" s="376" t="s">
        <v>1609</v>
      </c>
      <c r="C1834" s="376" t="s">
        <v>644</v>
      </c>
      <c r="D1834" s="376">
        <v>2023</v>
      </c>
      <c r="E1834" s="376">
        <v>2026</v>
      </c>
      <c r="F1834" s="376">
        <v>0.28070162831646173</v>
      </c>
      <c r="G1834" s="376">
        <v>6454.3984013550207</v>
      </c>
      <c r="H1834" s="376">
        <v>0.25908039636509639</v>
      </c>
      <c r="I1834" s="376">
        <v>0.85</v>
      </c>
    </row>
    <row r="1835" spans="1:9" x14ac:dyDescent="0.35">
      <c r="A1835" s="376" t="s">
        <v>1614</v>
      </c>
      <c r="B1835" s="376" t="s">
        <v>1609</v>
      </c>
      <c r="C1835" s="376" t="s">
        <v>628</v>
      </c>
      <c r="D1835" s="376">
        <v>2023</v>
      </c>
      <c r="E1835" s="376">
        <v>2026</v>
      </c>
      <c r="F1835" s="376">
        <v>0.28070162831646173</v>
      </c>
      <c r="G1835" s="376">
        <v>6454.3984013550207</v>
      </c>
      <c r="H1835" s="376">
        <v>0.25908039636509639</v>
      </c>
      <c r="I1835" s="376">
        <v>0.85</v>
      </c>
    </row>
    <row r="1836" spans="1:9" x14ac:dyDescent="0.35">
      <c r="A1836" s="376" t="s">
        <v>1614</v>
      </c>
      <c r="B1836" s="376" t="s">
        <v>1609</v>
      </c>
      <c r="C1836" s="376" t="s">
        <v>1051</v>
      </c>
      <c r="D1836" s="376">
        <v>2023</v>
      </c>
      <c r="E1836" s="376">
        <v>2026</v>
      </c>
      <c r="F1836" s="376">
        <v>0.28070162831646173</v>
      </c>
      <c r="G1836" s="376">
        <v>6454.3984013550207</v>
      </c>
      <c r="H1836" s="376">
        <v>0.25908039636509639</v>
      </c>
      <c r="I1836" s="376">
        <v>0.85</v>
      </c>
    </row>
    <row r="1837" spans="1:9" x14ac:dyDescent="0.35">
      <c r="A1837" s="376" t="s">
        <v>1614</v>
      </c>
      <c r="B1837" s="376" t="s">
        <v>1609</v>
      </c>
      <c r="C1837" s="376" t="s">
        <v>1054</v>
      </c>
      <c r="D1837" s="376">
        <v>2023</v>
      </c>
      <c r="E1837" s="376">
        <v>2026</v>
      </c>
      <c r="F1837" s="376">
        <v>0.28070162831646173</v>
      </c>
      <c r="G1837" s="376">
        <v>6454.3984013550207</v>
      </c>
      <c r="H1837" s="376">
        <v>0.25908039636509639</v>
      </c>
      <c r="I1837" s="376">
        <v>0.85</v>
      </c>
    </row>
    <row r="1838" spans="1:9" x14ac:dyDescent="0.35">
      <c r="A1838" s="376" t="s">
        <v>1614</v>
      </c>
      <c r="B1838" s="376" t="s">
        <v>1609</v>
      </c>
      <c r="C1838" s="376" t="s">
        <v>1046</v>
      </c>
      <c r="D1838" s="376">
        <v>2023</v>
      </c>
      <c r="E1838" s="376">
        <v>2027</v>
      </c>
      <c r="F1838" s="376">
        <v>0.28070162831646173</v>
      </c>
      <c r="G1838" s="376">
        <v>6454.3984013550207</v>
      </c>
      <c r="H1838" s="376">
        <v>0.25908039636509639</v>
      </c>
      <c r="I1838" s="376">
        <v>0.85</v>
      </c>
    </row>
    <row r="1839" spans="1:9" x14ac:dyDescent="0.35">
      <c r="A1839" s="376" t="s">
        <v>1614</v>
      </c>
      <c r="B1839" s="376" t="s">
        <v>1609</v>
      </c>
      <c r="C1839" s="376" t="s">
        <v>644</v>
      </c>
      <c r="D1839" s="376">
        <v>2023</v>
      </c>
      <c r="E1839" s="376">
        <v>2027</v>
      </c>
      <c r="F1839" s="376">
        <v>0.28070162831646173</v>
      </c>
      <c r="G1839" s="376">
        <v>6454.3984013550207</v>
      </c>
      <c r="H1839" s="376">
        <v>0.25908039636509639</v>
      </c>
      <c r="I1839" s="376">
        <v>0.85</v>
      </c>
    </row>
    <row r="1840" spans="1:9" x14ac:dyDescent="0.35">
      <c r="A1840" s="376" t="s">
        <v>1614</v>
      </c>
      <c r="B1840" s="376" t="s">
        <v>1609</v>
      </c>
      <c r="C1840" s="376" t="s">
        <v>628</v>
      </c>
      <c r="D1840" s="376">
        <v>2023</v>
      </c>
      <c r="E1840" s="376">
        <v>2027</v>
      </c>
      <c r="F1840" s="376">
        <v>0.28070162831646173</v>
      </c>
      <c r="G1840" s="376">
        <v>6454.3984013550207</v>
      </c>
      <c r="H1840" s="376">
        <v>0.25908039636509639</v>
      </c>
      <c r="I1840" s="376">
        <v>0.85</v>
      </c>
    </row>
    <row r="1841" spans="1:9" x14ac:dyDescent="0.35">
      <c r="A1841" s="376" t="s">
        <v>1614</v>
      </c>
      <c r="B1841" s="376" t="s">
        <v>1609</v>
      </c>
      <c r="C1841" s="376" t="s">
        <v>1051</v>
      </c>
      <c r="D1841" s="376">
        <v>2023</v>
      </c>
      <c r="E1841" s="376">
        <v>2027</v>
      </c>
      <c r="F1841" s="376">
        <v>0.28070162831646173</v>
      </c>
      <c r="G1841" s="376">
        <v>6454.3984013550207</v>
      </c>
      <c r="H1841" s="376">
        <v>0.25908039636509639</v>
      </c>
      <c r="I1841" s="376">
        <v>0.85</v>
      </c>
    </row>
    <row r="1842" spans="1:9" x14ac:dyDescent="0.35">
      <c r="A1842" s="376" t="s">
        <v>1614</v>
      </c>
      <c r="B1842" s="376" t="s">
        <v>1609</v>
      </c>
      <c r="C1842" s="376" t="s">
        <v>1054</v>
      </c>
      <c r="D1842" s="376">
        <v>2023</v>
      </c>
      <c r="E1842" s="376">
        <v>2027</v>
      </c>
      <c r="F1842" s="376">
        <v>0.28070162831646173</v>
      </c>
      <c r="G1842" s="376">
        <v>6454.3984013550207</v>
      </c>
      <c r="H1842" s="376">
        <v>0.25908039636509639</v>
      </c>
      <c r="I1842" s="376">
        <v>0.85</v>
      </c>
    </row>
    <row r="1843" spans="1:9" x14ac:dyDescent="0.35">
      <c r="A1843" s="376" t="s">
        <v>1614</v>
      </c>
      <c r="B1843" s="376" t="s">
        <v>1609</v>
      </c>
      <c r="C1843" s="376" t="s">
        <v>1046</v>
      </c>
      <c r="D1843" s="376">
        <v>2023</v>
      </c>
      <c r="E1843" s="376">
        <v>2028</v>
      </c>
      <c r="F1843" s="376">
        <v>0.28070162831646173</v>
      </c>
      <c r="G1843" s="376">
        <v>6454.3984013550207</v>
      </c>
      <c r="H1843" s="376">
        <v>0.25908039636509639</v>
      </c>
      <c r="I1843" s="376">
        <v>0.85</v>
      </c>
    </row>
    <row r="1844" spans="1:9" x14ac:dyDescent="0.35">
      <c r="A1844" s="376" t="s">
        <v>1614</v>
      </c>
      <c r="B1844" s="376" t="s">
        <v>1609</v>
      </c>
      <c r="C1844" s="376" t="s">
        <v>644</v>
      </c>
      <c r="D1844" s="376">
        <v>2023</v>
      </c>
      <c r="E1844" s="376">
        <v>2028</v>
      </c>
      <c r="F1844" s="376">
        <v>0.28070162831646173</v>
      </c>
      <c r="G1844" s="376">
        <v>6454.3984013550207</v>
      </c>
      <c r="H1844" s="376">
        <v>0.25908039636509639</v>
      </c>
      <c r="I1844" s="376">
        <v>0.85</v>
      </c>
    </row>
    <row r="1845" spans="1:9" x14ac:dyDescent="0.35">
      <c r="A1845" s="376" t="s">
        <v>1614</v>
      </c>
      <c r="B1845" s="376" t="s">
        <v>1609</v>
      </c>
      <c r="C1845" s="376" t="s">
        <v>628</v>
      </c>
      <c r="D1845" s="376">
        <v>2023</v>
      </c>
      <c r="E1845" s="376">
        <v>2028</v>
      </c>
      <c r="F1845" s="376">
        <v>0.28070162831646173</v>
      </c>
      <c r="G1845" s="376">
        <v>6454.3984013550207</v>
      </c>
      <c r="H1845" s="376">
        <v>0.25908039636509639</v>
      </c>
      <c r="I1845" s="376">
        <v>0.85</v>
      </c>
    </row>
    <row r="1846" spans="1:9" x14ac:dyDescent="0.35">
      <c r="A1846" s="376" t="s">
        <v>1614</v>
      </c>
      <c r="B1846" s="376" t="s">
        <v>1609</v>
      </c>
      <c r="C1846" s="376" t="s">
        <v>1051</v>
      </c>
      <c r="D1846" s="376">
        <v>2023</v>
      </c>
      <c r="E1846" s="376">
        <v>2028</v>
      </c>
      <c r="F1846" s="376">
        <v>0.28070162831646173</v>
      </c>
      <c r="G1846" s="376">
        <v>6454.3984013550207</v>
      </c>
      <c r="H1846" s="376">
        <v>0.25908039636509639</v>
      </c>
      <c r="I1846" s="376">
        <v>0.85</v>
      </c>
    </row>
    <row r="1847" spans="1:9" x14ac:dyDescent="0.35">
      <c r="A1847" s="376" t="s">
        <v>1614</v>
      </c>
      <c r="B1847" s="376" t="s">
        <v>1609</v>
      </c>
      <c r="C1847" s="376" t="s">
        <v>1054</v>
      </c>
      <c r="D1847" s="376">
        <v>2023</v>
      </c>
      <c r="E1847" s="376">
        <v>2028</v>
      </c>
      <c r="F1847" s="376">
        <v>0.28070162831646173</v>
      </c>
      <c r="G1847" s="376">
        <v>6454.3984013550207</v>
      </c>
      <c r="H1847" s="376">
        <v>0.25908039636509639</v>
      </c>
      <c r="I1847" s="376">
        <v>0.85</v>
      </c>
    </row>
    <row r="1848" spans="1:9" x14ac:dyDescent="0.35">
      <c r="A1848" s="376" t="s">
        <v>1614</v>
      </c>
      <c r="B1848" s="376" t="s">
        <v>1609</v>
      </c>
      <c r="C1848" s="376" t="s">
        <v>1046</v>
      </c>
      <c r="D1848" s="376">
        <v>2023</v>
      </c>
      <c r="E1848" s="376">
        <v>2029</v>
      </c>
      <c r="F1848" s="376">
        <v>0.28070162831646173</v>
      </c>
      <c r="G1848" s="376">
        <v>6454.3984013550207</v>
      </c>
      <c r="H1848" s="376">
        <v>0.25908039636509639</v>
      </c>
      <c r="I1848" s="376">
        <v>0.85</v>
      </c>
    </row>
    <row r="1849" spans="1:9" x14ac:dyDescent="0.35">
      <c r="A1849" s="376" t="s">
        <v>1614</v>
      </c>
      <c r="B1849" s="376" t="s">
        <v>1609</v>
      </c>
      <c r="C1849" s="376" t="s">
        <v>644</v>
      </c>
      <c r="D1849" s="376">
        <v>2023</v>
      </c>
      <c r="E1849" s="376">
        <v>2029</v>
      </c>
      <c r="F1849" s="376">
        <v>0.28070162831646173</v>
      </c>
      <c r="G1849" s="376">
        <v>6454.3984013550207</v>
      </c>
      <c r="H1849" s="376">
        <v>0.25908039636509639</v>
      </c>
      <c r="I1849" s="376">
        <v>0.85</v>
      </c>
    </row>
    <row r="1850" spans="1:9" x14ac:dyDescent="0.35">
      <c r="A1850" s="376" t="s">
        <v>1614</v>
      </c>
      <c r="B1850" s="376" t="s">
        <v>1609</v>
      </c>
      <c r="C1850" s="376" t="s">
        <v>628</v>
      </c>
      <c r="D1850" s="376">
        <v>2023</v>
      </c>
      <c r="E1850" s="376">
        <v>2029</v>
      </c>
      <c r="F1850" s="376">
        <v>0.28070162831646173</v>
      </c>
      <c r="G1850" s="376">
        <v>6454.3984013550207</v>
      </c>
      <c r="H1850" s="376">
        <v>0.25908039636509639</v>
      </c>
      <c r="I1850" s="376">
        <v>0.85</v>
      </c>
    </row>
    <row r="1851" spans="1:9" x14ac:dyDescent="0.35">
      <c r="A1851" s="376" t="s">
        <v>1614</v>
      </c>
      <c r="B1851" s="376" t="s">
        <v>1609</v>
      </c>
      <c r="C1851" s="376" t="s">
        <v>1051</v>
      </c>
      <c r="D1851" s="376">
        <v>2023</v>
      </c>
      <c r="E1851" s="376">
        <v>2029</v>
      </c>
      <c r="F1851" s="376">
        <v>0.28070162831646173</v>
      </c>
      <c r="G1851" s="376">
        <v>6454.3984013550207</v>
      </c>
      <c r="H1851" s="376">
        <v>0.25908039636509639</v>
      </c>
      <c r="I1851" s="376">
        <v>0.85</v>
      </c>
    </row>
    <row r="1852" spans="1:9" x14ac:dyDescent="0.35">
      <c r="A1852" s="376" t="s">
        <v>1614</v>
      </c>
      <c r="B1852" s="376" t="s">
        <v>1609</v>
      </c>
      <c r="C1852" s="376" t="s">
        <v>1054</v>
      </c>
      <c r="D1852" s="376">
        <v>2023</v>
      </c>
      <c r="E1852" s="376">
        <v>2029</v>
      </c>
      <c r="F1852" s="376">
        <v>0.28070162831646173</v>
      </c>
      <c r="G1852" s="376">
        <v>6454.3984013550207</v>
      </c>
      <c r="H1852" s="376">
        <v>0.25908039636509639</v>
      </c>
      <c r="I1852" s="376">
        <v>0.85</v>
      </c>
    </row>
    <row r="1853" spans="1:9" x14ac:dyDescent="0.35">
      <c r="A1853" s="376" t="s">
        <v>1614</v>
      </c>
      <c r="B1853" s="376" t="s">
        <v>1609</v>
      </c>
      <c r="C1853" s="376" t="s">
        <v>1046</v>
      </c>
      <c r="D1853" s="376">
        <v>2023</v>
      </c>
      <c r="E1853" s="376">
        <v>2030</v>
      </c>
      <c r="F1853" s="376">
        <v>0.28070162831646173</v>
      </c>
      <c r="G1853" s="376">
        <v>6454.3984013550207</v>
      </c>
      <c r="H1853" s="376">
        <v>0.25908039636509639</v>
      </c>
      <c r="I1853" s="376">
        <v>0.85</v>
      </c>
    </row>
    <row r="1854" spans="1:9" x14ac:dyDescent="0.35">
      <c r="A1854" s="376" t="s">
        <v>1614</v>
      </c>
      <c r="B1854" s="376" t="s">
        <v>1609</v>
      </c>
      <c r="C1854" s="376" t="s">
        <v>644</v>
      </c>
      <c r="D1854" s="376">
        <v>2023</v>
      </c>
      <c r="E1854" s="376">
        <v>2030</v>
      </c>
      <c r="F1854" s="376">
        <v>0.28070162831646173</v>
      </c>
      <c r="G1854" s="376">
        <v>6454.3984013550207</v>
      </c>
      <c r="H1854" s="376">
        <v>0.25908039636509639</v>
      </c>
      <c r="I1854" s="376">
        <v>0.85</v>
      </c>
    </row>
    <row r="1855" spans="1:9" x14ac:dyDescent="0.35">
      <c r="A1855" s="376" t="s">
        <v>1614</v>
      </c>
      <c r="B1855" s="376" t="s">
        <v>1609</v>
      </c>
      <c r="C1855" s="376" t="s">
        <v>628</v>
      </c>
      <c r="D1855" s="376">
        <v>2023</v>
      </c>
      <c r="E1855" s="376">
        <v>2030</v>
      </c>
      <c r="F1855" s="376">
        <v>0.28070162831646173</v>
      </c>
      <c r="G1855" s="376">
        <v>6454.3984013550207</v>
      </c>
      <c r="H1855" s="376">
        <v>0.25908039636509639</v>
      </c>
      <c r="I1855" s="376">
        <v>0.85</v>
      </c>
    </row>
    <row r="1856" spans="1:9" x14ac:dyDescent="0.35">
      <c r="A1856" s="376" t="s">
        <v>1614</v>
      </c>
      <c r="B1856" s="376" t="s">
        <v>1609</v>
      </c>
      <c r="C1856" s="376" t="s">
        <v>1051</v>
      </c>
      <c r="D1856" s="376">
        <v>2023</v>
      </c>
      <c r="E1856" s="376">
        <v>2030</v>
      </c>
      <c r="F1856" s="376">
        <v>0.28070162831646173</v>
      </c>
      <c r="G1856" s="376">
        <v>6454.3984013550207</v>
      </c>
      <c r="H1856" s="376">
        <v>0.25908039636509639</v>
      </c>
      <c r="I1856" s="376">
        <v>0.85</v>
      </c>
    </row>
    <row r="1857" spans="1:9" x14ac:dyDescent="0.35">
      <c r="A1857" s="376" t="s">
        <v>1614</v>
      </c>
      <c r="B1857" s="376" t="s">
        <v>1609</v>
      </c>
      <c r="C1857" s="376" t="s">
        <v>1054</v>
      </c>
      <c r="D1857" s="376">
        <v>2023</v>
      </c>
      <c r="E1857" s="376">
        <v>2030</v>
      </c>
      <c r="F1857" s="376">
        <v>0.28070162831646173</v>
      </c>
      <c r="G1857" s="376">
        <v>6454.3984013550207</v>
      </c>
      <c r="H1857" s="376">
        <v>0.25908039636509639</v>
      </c>
      <c r="I1857" s="376">
        <v>0.85</v>
      </c>
    </row>
    <row r="1858" spans="1:9" x14ac:dyDescent="0.35">
      <c r="A1858" s="376" t="s">
        <v>1614</v>
      </c>
      <c r="B1858" s="376" t="s">
        <v>1609</v>
      </c>
      <c r="C1858" s="376" t="s">
        <v>1046</v>
      </c>
      <c r="D1858" s="376">
        <v>2023</v>
      </c>
      <c r="E1858" s="376">
        <v>2031</v>
      </c>
      <c r="F1858" s="376">
        <v>0.28070162831646173</v>
      </c>
      <c r="G1858" s="376">
        <v>6454.3984013550207</v>
      </c>
      <c r="H1858" s="376">
        <v>0.25908039636509639</v>
      </c>
      <c r="I1858" s="376">
        <v>0.85</v>
      </c>
    </row>
    <row r="1859" spans="1:9" x14ac:dyDescent="0.35">
      <c r="A1859" s="376" t="s">
        <v>1614</v>
      </c>
      <c r="B1859" s="376" t="s">
        <v>1609</v>
      </c>
      <c r="C1859" s="376" t="s">
        <v>644</v>
      </c>
      <c r="D1859" s="376">
        <v>2023</v>
      </c>
      <c r="E1859" s="376">
        <v>2031</v>
      </c>
      <c r="F1859" s="376">
        <v>0.28070162831646173</v>
      </c>
      <c r="G1859" s="376">
        <v>6454.3984013550207</v>
      </c>
      <c r="H1859" s="376">
        <v>0.25908039636509639</v>
      </c>
      <c r="I1859" s="376">
        <v>0.85</v>
      </c>
    </row>
    <row r="1860" spans="1:9" x14ac:dyDescent="0.35">
      <c r="A1860" s="376" t="s">
        <v>1614</v>
      </c>
      <c r="B1860" s="376" t="s">
        <v>1609</v>
      </c>
      <c r="C1860" s="376" t="s">
        <v>628</v>
      </c>
      <c r="D1860" s="376">
        <v>2023</v>
      </c>
      <c r="E1860" s="376">
        <v>2031</v>
      </c>
      <c r="F1860" s="376">
        <v>0.28070162831646173</v>
      </c>
      <c r="G1860" s="376">
        <v>6454.3984013550207</v>
      </c>
      <c r="H1860" s="376">
        <v>0.25908039636509639</v>
      </c>
      <c r="I1860" s="376">
        <v>0.85</v>
      </c>
    </row>
    <row r="1861" spans="1:9" x14ac:dyDescent="0.35">
      <c r="A1861" s="376" t="s">
        <v>1614</v>
      </c>
      <c r="B1861" s="376" t="s">
        <v>1609</v>
      </c>
      <c r="C1861" s="376" t="s">
        <v>1051</v>
      </c>
      <c r="D1861" s="376">
        <v>2023</v>
      </c>
      <c r="E1861" s="376">
        <v>2031</v>
      </c>
      <c r="F1861" s="376">
        <v>0.28070162831646173</v>
      </c>
      <c r="G1861" s="376">
        <v>6454.3984013550207</v>
      </c>
      <c r="H1861" s="376">
        <v>0.25908039636509639</v>
      </c>
      <c r="I1861" s="376">
        <v>0.85</v>
      </c>
    </row>
    <row r="1862" spans="1:9" x14ac:dyDescent="0.35">
      <c r="A1862" s="376" t="s">
        <v>1614</v>
      </c>
      <c r="B1862" s="376" t="s">
        <v>1609</v>
      </c>
      <c r="C1862" s="376" t="s">
        <v>1054</v>
      </c>
      <c r="D1862" s="376">
        <v>2023</v>
      </c>
      <c r="E1862" s="376">
        <v>2031</v>
      </c>
      <c r="F1862" s="376">
        <v>0.28070162831646173</v>
      </c>
      <c r="G1862" s="376">
        <v>6454.3984013550207</v>
      </c>
      <c r="H1862" s="376">
        <v>0.25908039636509639</v>
      </c>
      <c r="I1862" s="376">
        <v>0.85</v>
      </c>
    </row>
    <row r="1863" spans="1:9" x14ac:dyDescent="0.35">
      <c r="A1863" s="376" t="s">
        <v>1604</v>
      </c>
      <c r="B1863" s="376" t="s">
        <v>1609</v>
      </c>
      <c r="C1863" s="376" t="s">
        <v>1046</v>
      </c>
      <c r="D1863" s="376">
        <v>2023</v>
      </c>
      <c r="E1863" s="376">
        <v>2023</v>
      </c>
      <c r="F1863" s="376">
        <v>1</v>
      </c>
      <c r="G1863" s="376">
        <v>10872.741503138899</v>
      </c>
      <c r="H1863" s="376">
        <v>0</v>
      </c>
      <c r="I1863" s="376">
        <v>1</v>
      </c>
    </row>
    <row r="1864" spans="1:9" x14ac:dyDescent="0.35">
      <c r="A1864" s="376" t="s">
        <v>1604</v>
      </c>
      <c r="B1864" s="376" t="s">
        <v>1609</v>
      </c>
      <c r="C1864" s="376" t="s">
        <v>644</v>
      </c>
      <c r="D1864" s="376">
        <v>2023</v>
      </c>
      <c r="E1864" s="376">
        <v>2023</v>
      </c>
      <c r="F1864" s="376">
        <v>1</v>
      </c>
      <c r="G1864" s="376">
        <v>10872.741503138899</v>
      </c>
      <c r="H1864" s="376">
        <v>0</v>
      </c>
      <c r="I1864" s="376">
        <v>1</v>
      </c>
    </row>
    <row r="1865" spans="1:9" x14ac:dyDescent="0.35">
      <c r="A1865" s="376" t="s">
        <v>1604</v>
      </c>
      <c r="B1865" s="376" t="s">
        <v>1609</v>
      </c>
      <c r="C1865" s="376" t="s">
        <v>628</v>
      </c>
      <c r="D1865" s="376">
        <v>2023</v>
      </c>
      <c r="E1865" s="376">
        <v>2023</v>
      </c>
      <c r="F1865" s="376">
        <v>1</v>
      </c>
      <c r="G1865" s="376">
        <v>10872.741503138899</v>
      </c>
      <c r="H1865" s="376">
        <v>0</v>
      </c>
      <c r="I1865" s="376">
        <v>1</v>
      </c>
    </row>
    <row r="1866" spans="1:9" x14ac:dyDescent="0.35">
      <c r="A1866" s="376" t="s">
        <v>1604</v>
      </c>
      <c r="B1866" s="376" t="s">
        <v>1609</v>
      </c>
      <c r="C1866" s="376" t="s">
        <v>1051</v>
      </c>
      <c r="D1866" s="376">
        <v>2023</v>
      </c>
      <c r="E1866" s="376">
        <v>2023</v>
      </c>
      <c r="F1866" s="376">
        <v>1</v>
      </c>
      <c r="G1866" s="376">
        <v>10872.741503138899</v>
      </c>
      <c r="H1866" s="376">
        <v>0</v>
      </c>
      <c r="I1866" s="376">
        <v>1</v>
      </c>
    </row>
    <row r="1867" spans="1:9" x14ac:dyDescent="0.35">
      <c r="A1867" s="376" t="s">
        <v>1604</v>
      </c>
      <c r="B1867" s="376" t="s">
        <v>1609</v>
      </c>
      <c r="C1867" s="376" t="s">
        <v>1054</v>
      </c>
      <c r="D1867" s="376">
        <v>2023</v>
      </c>
      <c r="E1867" s="376">
        <v>2023</v>
      </c>
      <c r="F1867" s="376">
        <v>1</v>
      </c>
      <c r="G1867" s="376">
        <v>10872.741503138899</v>
      </c>
      <c r="H1867" s="376">
        <v>0</v>
      </c>
      <c r="I1867" s="376">
        <v>1</v>
      </c>
    </row>
    <row r="1868" spans="1:9" x14ac:dyDescent="0.35">
      <c r="A1868" s="376" t="s">
        <v>1604</v>
      </c>
      <c r="B1868" s="376" t="s">
        <v>1609</v>
      </c>
      <c r="C1868" s="376" t="s">
        <v>1046</v>
      </c>
      <c r="D1868" s="376">
        <v>2023</v>
      </c>
      <c r="E1868" s="376">
        <v>2024</v>
      </c>
      <c r="F1868" s="376">
        <v>1</v>
      </c>
      <c r="G1868" s="376">
        <v>10872.741503138899</v>
      </c>
      <c r="H1868" s="376">
        <v>0</v>
      </c>
      <c r="I1868" s="376">
        <v>1</v>
      </c>
    </row>
    <row r="1869" spans="1:9" x14ac:dyDescent="0.35">
      <c r="A1869" s="376" t="s">
        <v>1604</v>
      </c>
      <c r="B1869" s="376" t="s">
        <v>1609</v>
      </c>
      <c r="C1869" s="376" t="s">
        <v>644</v>
      </c>
      <c r="D1869" s="376">
        <v>2023</v>
      </c>
      <c r="E1869" s="376">
        <v>2024</v>
      </c>
      <c r="F1869" s="376">
        <v>1</v>
      </c>
      <c r="G1869" s="376">
        <v>10872.741503138899</v>
      </c>
      <c r="H1869" s="376">
        <v>0</v>
      </c>
      <c r="I1869" s="376">
        <v>1</v>
      </c>
    </row>
    <row r="1870" spans="1:9" x14ac:dyDescent="0.35">
      <c r="A1870" s="376" t="s">
        <v>1604</v>
      </c>
      <c r="B1870" s="376" t="s">
        <v>1609</v>
      </c>
      <c r="C1870" s="376" t="s">
        <v>628</v>
      </c>
      <c r="D1870" s="376">
        <v>2023</v>
      </c>
      <c r="E1870" s="376">
        <v>2024</v>
      </c>
      <c r="F1870" s="376">
        <v>1</v>
      </c>
      <c r="G1870" s="376">
        <v>10872.741503138899</v>
      </c>
      <c r="H1870" s="376">
        <v>0</v>
      </c>
      <c r="I1870" s="376">
        <v>1</v>
      </c>
    </row>
    <row r="1871" spans="1:9" x14ac:dyDescent="0.35">
      <c r="A1871" s="376" t="s">
        <v>1604</v>
      </c>
      <c r="B1871" s="376" t="s">
        <v>1609</v>
      </c>
      <c r="C1871" s="376" t="s">
        <v>1051</v>
      </c>
      <c r="D1871" s="376">
        <v>2023</v>
      </c>
      <c r="E1871" s="376">
        <v>2024</v>
      </c>
      <c r="F1871" s="376">
        <v>1</v>
      </c>
      <c r="G1871" s="376">
        <v>10872.741503138899</v>
      </c>
      <c r="H1871" s="376">
        <v>0</v>
      </c>
      <c r="I1871" s="376">
        <v>1</v>
      </c>
    </row>
    <row r="1872" spans="1:9" x14ac:dyDescent="0.35">
      <c r="A1872" s="376" t="s">
        <v>1604</v>
      </c>
      <c r="B1872" s="376" t="s">
        <v>1609</v>
      </c>
      <c r="C1872" s="376" t="s">
        <v>1054</v>
      </c>
      <c r="D1872" s="376">
        <v>2023</v>
      </c>
      <c r="E1872" s="376">
        <v>2024</v>
      </c>
      <c r="F1872" s="376">
        <v>1</v>
      </c>
      <c r="G1872" s="376">
        <v>10872.741503138899</v>
      </c>
      <c r="H1872" s="376">
        <v>0</v>
      </c>
      <c r="I1872" s="376">
        <v>1</v>
      </c>
    </row>
    <row r="1873" spans="1:9" x14ac:dyDescent="0.35">
      <c r="A1873" s="376" t="s">
        <v>1604</v>
      </c>
      <c r="B1873" s="376" t="s">
        <v>1609</v>
      </c>
      <c r="C1873" s="376" t="s">
        <v>1046</v>
      </c>
      <c r="D1873" s="376">
        <v>2023</v>
      </c>
      <c r="E1873" s="376">
        <v>2025</v>
      </c>
      <c r="F1873" s="376">
        <v>1</v>
      </c>
      <c r="G1873" s="376">
        <v>10872.741503138899</v>
      </c>
      <c r="H1873" s="376">
        <v>0</v>
      </c>
      <c r="I1873" s="376">
        <v>1</v>
      </c>
    </row>
    <row r="1874" spans="1:9" x14ac:dyDescent="0.35">
      <c r="A1874" s="376" t="s">
        <v>1604</v>
      </c>
      <c r="B1874" s="376" t="s">
        <v>1609</v>
      </c>
      <c r="C1874" s="376" t="s">
        <v>644</v>
      </c>
      <c r="D1874" s="376">
        <v>2023</v>
      </c>
      <c r="E1874" s="376">
        <v>2025</v>
      </c>
      <c r="F1874" s="376">
        <v>1</v>
      </c>
      <c r="G1874" s="376">
        <v>10872.741503138899</v>
      </c>
      <c r="H1874" s="376">
        <v>0</v>
      </c>
      <c r="I1874" s="376">
        <v>1</v>
      </c>
    </row>
    <row r="1875" spans="1:9" x14ac:dyDescent="0.35">
      <c r="A1875" s="376" t="s">
        <v>1604</v>
      </c>
      <c r="B1875" s="376" t="s">
        <v>1609</v>
      </c>
      <c r="C1875" s="376" t="s">
        <v>628</v>
      </c>
      <c r="D1875" s="376">
        <v>2023</v>
      </c>
      <c r="E1875" s="376">
        <v>2025</v>
      </c>
      <c r="F1875" s="376">
        <v>1</v>
      </c>
      <c r="G1875" s="376">
        <v>10872.741503138899</v>
      </c>
      <c r="H1875" s="376">
        <v>0</v>
      </c>
      <c r="I1875" s="376">
        <v>1</v>
      </c>
    </row>
    <row r="1876" spans="1:9" x14ac:dyDescent="0.35">
      <c r="A1876" s="376" t="s">
        <v>1604</v>
      </c>
      <c r="B1876" s="376" t="s">
        <v>1609</v>
      </c>
      <c r="C1876" s="376" t="s">
        <v>1051</v>
      </c>
      <c r="D1876" s="376">
        <v>2023</v>
      </c>
      <c r="E1876" s="376">
        <v>2025</v>
      </c>
      <c r="F1876" s="376">
        <v>1</v>
      </c>
      <c r="G1876" s="376">
        <v>10872.741503138899</v>
      </c>
      <c r="H1876" s="376">
        <v>0</v>
      </c>
      <c r="I1876" s="376">
        <v>1</v>
      </c>
    </row>
    <row r="1877" spans="1:9" x14ac:dyDescent="0.35">
      <c r="A1877" s="376" t="s">
        <v>1604</v>
      </c>
      <c r="B1877" s="376" t="s">
        <v>1609</v>
      </c>
      <c r="C1877" s="376" t="s">
        <v>1054</v>
      </c>
      <c r="D1877" s="376">
        <v>2023</v>
      </c>
      <c r="E1877" s="376">
        <v>2025</v>
      </c>
      <c r="F1877" s="376">
        <v>1</v>
      </c>
      <c r="G1877" s="376">
        <v>10872.741503138899</v>
      </c>
      <c r="H1877" s="376">
        <v>0</v>
      </c>
      <c r="I1877" s="376">
        <v>1</v>
      </c>
    </row>
    <row r="1878" spans="1:9" x14ac:dyDescent="0.35">
      <c r="A1878" s="376" t="s">
        <v>1604</v>
      </c>
      <c r="B1878" s="376" t="s">
        <v>1609</v>
      </c>
      <c r="C1878" s="376" t="s">
        <v>1046</v>
      </c>
      <c r="D1878" s="376">
        <v>2023</v>
      </c>
      <c r="E1878" s="376">
        <v>2026</v>
      </c>
      <c r="F1878" s="376">
        <v>1</v>
      </c>
      <c r="G1878" s="376">
        <v>10872.741503138899</v>
      </c>
      <c r="H1878" s="376">
        <v>0</v>
      </c>
      <c r="I1878" s="376">
        <v>1</v>
      </c>
    </row>
    <row r="1879" spans="1:9" x14ac:dyDescent="0.35">
      <c r="A1879" s="376" t="s">
        <v>1604</v>
      </c>
      <c r="B1879" s="376" t="s">
        <v>1609</v>
      </c>
      <c r="C1879" s="376" t="s">
        <v>644</v>
      </c>
      <c r="D1879" s="376">
        <v>2023</v>
      </c>
      <c r="E1879" s="376">
        <v>2026</v>
      </c>
      <c r="F1879" s="376">
        <v>1</v>
      </c>
      <c r="G1879" s="376">
        <v>10872.741503138899</v>
      </c>
      <c r="H1879" s="376">
        <v>0</v>
      </c>
      <c r="I1879" s="376">
        <v>1</v>
      </c>
    </row>
    <row r="1880" spans="1:9" x14ac:dyDescent="0.35">
      <c r="A1880" s="376" t="s">
        <v>1604</v>
      </c>
      <c r="B1880" s="376" t="s">
        <v>1609</v>
      </c>
      <c r="C1880" s="376" t="s">
        <v>628</v>
      </c>
      <c r="D1880" s="376">
        <v>2023</v>
      </c>
      <c r="E1880" s="376">
        <v>2026</v>
      </c>
      <c r="F1880" s="376">
        <v>1</v>
      </c>
      <c r="G1880" s="376">
        <v>10872.741503138899</v>
      </c>
      <c r="H1880" s="376">
        <v>0</v>
      </c>
      <c r="I1880" s="376">
        <v>1</v>
      </c>
    </row>
    <row r="1881" spans="1:9" x14ac:dyDescent="0.35">
      <c r="A1881" s="376" t="s">
        <v>1604</v>
      </c>
      <c r="B1881" s="376" t="s">
        <v>1609</v>
      </c>
      <c r="C1881" s="376" t="s">
        <v>1051</v>
      </c>
      <c r="D1881" s="376">
        <v>2023</v>
      </c>
      <c r="E1881" s="376">
        <v>2026</v>
      </c>
      <c r="F1881" s="376">
        <v>1</v>
      </c>
      <c r="G1881" s="376">
        <v>10872.741503138899</v>
      </c>
      <c r="H1881" s="376">
        <v>0</v>
      </c>
      <c r="I1881" s="376">
        <v>1</v>
      </c>
    </row>
    <row r="1882" spans="1:9" x14ac:dyDescent="0.35">
      <c r="A1882" s="376" t="s">
        <v>1604</v>
      </c>
      <c r="B1882" s="376" t="s">
        <v>1609</v>
      </c>
      <c r="C1882" s="376" t="s">
        <v>1054</v>
      </c>
      <c r="D1882" s="376">
        <v>2023</v>
      </c>
      <c r="E1882" s="376">
        <v>2026</v>
      </c>
      <c r="F1882" s="376">
        <v>1</v>
      </c>
      <c r="G1882" s="376">
        <v>10872.741503138899</v>
      </c>
      <c r="H1882" s="376">
        <v>0</v>
      </c>
      <c r="I1882" s="376">
        <v>1</v>
      </c>
    </row>
    <row r="1883" spans="1:9" x14ac:dyDescent="0.35">
      <c r="A1883" s="376" t="s">
        <v>1604</v>
      </c>
      <c r="B1883" s="376" t="s">
        <v>1609</v>
      </c>
      <c r="C1883" s="376" t="s">
        <v>1046</v>
      </c>
      <c r="D1883" s="376">
        <v>2023</v>
      </c>
      <c r="E1883" s="376">
        <v>2027</v>
      </c>
      <c r="F1883" s="376">
        <v>1</v>
      </c>
      <c r="G1883" s="376">
        <v>10872.741503138899</v>
      </c>
      <c r="H1883" s="376">
        <v>0</v>
      </c>
      <c r="I1883" s="376">
        <v>1</v>
      </c>
    </row>
    <row r="1884" spans="1:9" x14ac:dyDescent="0.35">
      <c r="A1884" s="376" t="s">
        <v>1604</v>
      </c>
      <c r="B1884" s="376" t="s">
        <v>1609</v>
      </c>
      <c r="C1884" s="376" t="s">
        <v>644</v>
      </c>
      <c r="D1884" s="376">
        <v>2023</v>
      </c>
      <c r="E1884" s="376">
        <v>2027</v>
      </c>
      <c r="F1884" s="376">
        <v>1</v>
      </c>
      <c r="G1884" s="376">
        <v>10872.741503138899</v>
      </c>
      <c r="H1884" s="376">
        <v>0</v>
      </c>
      <c r="I1884" s="376">
        <v>1</v>
      </c>
    </row>
    <row r="1885" spans="1:9" x14ac:dyDescent="0.35">
      <c r="A1885" s="376" t="s">
        <v>1604</v>
      </c>
      <c r="B1885" s="376" t="s">
        <v>1609</v>
      </c>
      <c r="C1885" s="376" t="s">
        <v>628</v>
      </c>
      <c r="D1885" s="376">
        <v>2023</v>
      </c>
      <c r="E1885" s="376">
        <v>2027</v>
      </c>
      <c r="F1885" s="376">
        <v>1</v>
      </c>
      <c r="G1885" s="376">
        <v>10872.741503138899</v>
      </c>
      <c r="H1885" s="376">
        <v>0</v>
      </c>
      <c r="I1885" s="376">
        <v>1</v>
      </c>
    </row>
    <row r="1886" spans="1:9" x14ac:dyDescent="0.35">
      <c r="A1886" s="376" t="s">
        <v>1604</v>
      </c>
      <c r="B1886" s="376" t="s">
        <v>1609</v>
      </c>
      <c r="C1886" s="376" t="s">
        <v>1051</v>
      </c>
      <c r="D1886" s="376">
        <v>2023</v>
      </c>
      <c r="E1886" s="376">
        <v>2027</v>
      </c>
      <c r="F1886" s="376">
        <v>1</v>
      </c>
      <c r="G1886" s="376">
        <v>10872.741503138899</v>
      </c>
      <c r="H1886" s="376">
        <v>0</v>
      </c>
      <c r="I1886" s="376">
        <v>1</v>
      </c>
    </row>
    <row r="1887" spans="1:9" x14ac:dyDescent="0.35">
      <c r="A1887" s="376" t="s">
        <v>1604</v>
      </c>
      <c r="B1887" s="376" t="s">
        <v>1609</v>
      </c>
      <c r="C1887" s="376" t="s">
        <v>1054</v>
      </c>
      <c r="D1887" s="376">
        <v>2023</v>
      </c>
      <c r="E1887" s="376">
        <v>2027</v>
      </c>
      <c r="F1887" s="376">
        <v>1</v>
      </c>
      <c r="G1887" s="376">
        <v>10872.741503138899</v>
      </c>
      <c r="H1887" s="376">
        <v>0</v>
      </c>
      <c r="I1887" s="376">
        <v>1</v>
      </c>
    </row>
    <row r="1888" spans="1:9" x14ac:dyDescent="0.35">
      <c r="A1888" s="376" t="s">
        <v>1604</v>
      </c>
      <c r="B1888" s="376" t="s">
        <v>1609</v>
      </c>
      <c r="C1888" s="376" t="s">
        <v>1046</v>
      </c>
      <c r="D1888" s="376">
        <v>2023</v>
      </c>
      <c r="E1888" s="376">
        <v>2028</v>
      </c>
      <c r="F1888" s="376">
        <v>1</v>
      </c>
      <c r="G1888" s="376">
        <v>10872.741503138899</v>
      </c>
      <c r="H1888" s="376">
        <v>0</v>
      </c>
      <c r="I1888" s="376">
        <v>1</v>
      </c>
    </row>
    <row r="1889" spans="1:9" x14ac:dyDescent="0.35">
      <c r="A1889" s="376" t="s">
        <v>1604</v>
      </c>
      <c r="B1889" s="376" t="s">
        <v>1609</v>
      </c>
      <c r="C1889" s="376" t="s">
        <v>644</v>
      </c>
      <c r="D1889" s="376">
        <v>2023</v>
      </c>
      <c r="E1889" s="376">
        <v>2028</v>
      </c>
      <c r="F1889" s="376">
        <v>1</v>
      </c>
      <c r="G1889" s="376">
        <v>10872.741503138899</v>
      </c>
      <c r="H1889" s="376">
        <v>0</v>
      </c>
      <c r="I1889" s="376">
        <v>1</v>
      </c>
    </row>
    <row r="1890" spans="1:9" x14ac:dyDescent="0.35">
      <c r="A1890" s="376" t="s">
        <v>1604</v>
      </c>
      <c r="B1890" s="376" t="s">
        <v>1609</v>
      </c>
      <c r="C1890" s="376" t="s">
        <v>628</v>
      </c>
      <c r="D1890" s="376">
        <v>2023</v>
      </c>
      <c r="E1890" s="376">
        <v>2028</v>
      </c>
      <c r="F1890" s="376">
        <v>1</v>
      </c>
      <c r="G1890" s="376">
        <v>10872.741503138899</v>
      </c>
      <c r="H1890" s="376">
        <v>0</v>
      </c>
      <c r="I1890" s="376">
        <v>1</v>
      </c>
    </row>
    <row r="1891" spans="1:9" x14ac:dyDescent="0.35">
      <c r="A1891" s="376" t="s">
        <v>1604</v>
      </c>
      <c r="B1891" s="376" t="s">
        <v>1609</v>
      </c>
      <c r="C1891" s="376" t="s">
        <v>1051</v>
      </c>
      <c r="D1891" s="376">
        <v>2023</v>
      </c>
      <c r="E1891" s="376">
        <v>2028</v>
      </c>
      <c r="F1891" s="376">
        <v>1</v>
      </c>
      <c r="G1891" s="376">
        <v>10872.741503138899</v>
      </c>
      <c r="H1891" s="376">
        <v>0</v>
      </c>
      <c r="I1891" s="376">
        <v>1</v>
      </c>
    </row>
    <row r="1892" spans="1:9" x14ac:dyDescent="0.35">
      <c r="A1892" s="376" t="s">
        <v>1604</v>
      </c>
      <c r="B1892" s="376" t="s">
        <v>1609</v>
      </c>
      <c r="C1892" s="376" t="s">
        <v>1054</v>
      </c>
      <c r="D1892" s="376">
        <v>2023</v>
      </c>
      <c r="E1892" s="376">
        <v>2028</v>
      </c>
      <c r="F1892" s="376">
        <v>1</v>
      </c>
      <c r="G1892" s="376">
        <v>10872.741503138899</v>
      </c>
      <c r="H1892" s="376">
        <v>0</v>
      </c>
      <c r="I1892" s="376">
        <v>1</v>
      </c>
    </row>
    <row r="1893" spans="1:9" x14ac:dyDescent="0.35">
      <c r="A1893" s="376" t="s">
        <v>1604</v>
      </c>
      <c r="B1893" s="376" t="s">
        <v>1609</v>
      </c>
      <c r="C1893" s="376" t="s">
        <v>1046</v>
      </c>
      <c r="D1893" s="376">
        <v>2023</v>
      </c>
      <c r="E1893" s="376">
        <v>2029</v>
      </c>
      <c r="F1893" s="376">
        <v>1</v>
      </c>
      <c r="G1893" s="376">
        <v>10872.741503138899</v>
      </c>
      <c r="H1893" s="376">
        <v>0</v>
      </c>
      <c r="I1893" s="376">
        <v>1</v>
      </c>
    </row>
    <row r="1894" spans="1:9" x14ac:dyDescent="0.35">
      <c r="A1894" s="376" t="s">
        <v>1604</v>
      </c>
      <c r="B1894" s="376" t="s">
        <v>1609</v>
      </c>
      <c r="C1894" s="376" t="s">
        <v>644</v>
      </c>
      <c r="D1894" s="376">
        <v>2023</v>
      </c>
      <c r="E1894" s="376">
        <v>2029</v>
      </c>
      <c r="F1894" s="376">
        <v>1</v>
      </c>
      <c r="G1894" s="376">
        <v>10872.741503138899</v>
      </c>
      <c r="H1894" s="376">
        <v>0</v>
      </c>
      <c r="I1894" s="376">
        <v>1</v>
      </c>
    </row>
    <row r="1895" spans="1:9" x14ac:dyDescent="0.35">
      <c r="A1895" s="376" t="s">
        <v>1604</v>
      </c>
      <c r="B1895" s="376" t="s">
        <v>1609</v>
      </c>
      <c r="C1895" s="376" t="s">
        <v>628</v>
      </c>
      <c r="D1895" s="376">
        <v>2023</v>
      </c>
      <c r="E1895" s="376">
        <v>2029</v>
      </c>
      <c r="F1895" s="376">
        <v>1</v>
      </c>
      <c r="G1895" s="376">
        <v>10872.741503138899</v>
      </c>
      <c r="H1895" s="376">
        <v>0</v>
      </c>
      <c r="I1895" s="376">
        <v>1</v>
      </c>
    </row>
    <row r="1896" spans="1:9" x14ac:dyDescent="0.35">
      <c r="A1896" s="376" t="s">
        <v>1604</v>
      </c>
      <c r="B1896" s="376" t="s">
        <v>1609</v>
      </c>
      <c r="C1896" s="376" t="s">
        <v>1051</v>
      </c>
      <c r="D1896" s="376">
        <v>2023</v>
      </c>
      <c r="E1896" s="376">
        <v>2029</v>
      </c>
      <c r="F1896" s="376">
        <v>1</v>
      </c>
      <c r="G1896" s="376">
        <v>10872.741503138899</v>
      </c>
      <c r="H1896" s="376">
        <v>0</v>
      </c>
      <c r="I1896" s="376">
        <v>1</v>
      </c>
    </row>
    <row r="1897" spans="1:9" x14ac:dyDescent="0.35">
      <c r="A1897" s="376" t="s">
        <v>1604</v>
      </c>
      <c r="B1897" s="376" t="s">
        <v>1609</v>
      </c>
      <c r="C1897" s="376" t="s">
        <v>1054</v>
      </c>
      <c r="D1897" s="376">
        <v>2023</v>
      </c>
      <c r="E1897" s="376">
        <v>2029</v>
      </c>
      <c r="F1897" s="376">
        <v>1</v>
      </c>
      <c r="G1897" s="376">
        <v>10872.741503138899</v>
      </c>
      <c r="H1897" s="376">
        <v>0</v>
      </c>
      <c r="I1897" s="376">
        <v>1</v>
      </c>
    </row>
    <row r="1898" spans="1:9" x14ac:dyDescent="0.35">
      <c r="A1898" s="376" t="s">
        <v>1604</v>
      </c>
      <c r="B1898" s="376" t="s">
        <v>1609</v>
      </c>
      <c r="C1898" s="376" t="s">
        <v>1046</v>
      </c>
      <c r="D1898" s="376">
        <v>2023</v>
      </c>
      <c r="E1898" s="376">
        <v>2030</v>
      </c>
      <c r="F1898" s="376">
        <v>1</v>
      </c>
      <c r="G1898" s="376">
        <v>10872.741503138899</v>
      </c>
      <c r="H1898" s="376">
        <v>0</v>
      </c>
      <c r="I1898" s="376">
        <v>1</v>
      </c>
    </row>
    <row r="1899" spans="1:9" x14ac:dyDescent="0.35">
      <c r="A1899" s="376" t="s">
        <v>1604</v>
      </c>
      <c r="B1899" s="376" t="s">
        <v>1609</v>
      </c>
      <c r="C1899" s="376" t="s">
        <v>644</v>
      </c>
      <c r="D1899" s="376">
        <v>2023</v>
      </c>
      <c r="E1899" s="376">
        <v>2030</v>
      </c>
      <c r="F1899" s="376">
        <v>1</v>
      </c>
      <c r="G1899" s="376">
        <v>10872.741503138899</v>
      </c>
      <c r="H1899" s="376">
        <v>0</v>
      </c>
      <c r="I1899" s="376">
        <v>1</v>
      </c>
    </row>
    <row r="1900" spans="1:9" x14ac:dyDescent="0.35">
      <c r="A1900" s="376" t="s">
        <v>1604</v>
      </c>
      <c r="B1900" s="376" t="s">
        <v>1609</v>
      </c>
      <c r="C1900" s="376" t="s">
        <v>628</v>
      </c>
      <c r="D1900" s="376">
        <v>2023</v>
      </c>
      <c r="E1900" s="376">
        <v>2030</v>
      </c>
      <c r="F1900" s="376">
        <v>1</v>
      </c>
      <c r="G1900" s="376">
        <v>10872.741503138899</v>
      </c>
      <c r="H1900" s="376">
        <v>0</v>
      </c>
      <c r="I1900" s="376">
        <v>1</v>
      </c>
    </row>
    <row r="1901" spans="1:9" x14ac:dyDescent="0.35">
      <c r="A1901" s="376" t="s">
        <v>1604</v>
      </c>
      <c r="B1901" s="376" t="s">
        <v>1609</v>
      </c>
      <c r="C1901" s="376" t="s">
        <v>1051</v>
      </c>
      <c r="D1901" s="376">
        <v>2023</v>
      </c>
      <c r="E1901" s="376">
        <v>2030</v>
      </c>
      <c r="F1901" s="376">
        <v>1</v>
      </c>
      <c r="G1901" s="376">
        <v>10872.741503138899</v>
      </c>
      <c r="H1901" s="376">
        <v>0</v>
      </c>
      <c r="I1901" s="376">
        <v>1</v>
      </c>
    </row>
    <row r="1902" spans="1:9" x14ac:dyDescent="0.35">
      <c r="A1902" s="376" t="s">
        <v>1604</v>
      </c>
      <c r="B1902" s="376" t="s">
        <v>1609</v>
      </c>
      <c r="C1902" s="376" t="s">
        <v>1054</v>
      </c>
      <c r="D1902" s="376">
        <v>2023</v>
      </c>
      <c r="E1902" s="376">
        <v>2030</v>
      </c>
      <c r="F1902" s="376">
        <v>1</v>
      </c>
      <c r="G1902" s="376">
        <v>10872.741503138899</v>
      </c>
      <c r="H1902" s="376">
        <v>0</v>
      </c>
      <c r="I1902" s="376">
        <v>1</v>
      </c>
    </row>
    <row r="1903" spans="1:9" x14ac:dyDescent="0.35">
      <c r="A1903" s="376" t="s">
        <v>1604</v>
      </c>
      <c r="B1903" s="376" t="s">
        <v>1609</v>
      </c>
      <c r="C1903" s="376" t="s">
        <v>1046</v>
      </c>
      <c r="D1903" s="376">
        <v>2023</v>
      </c>
      <c r="E1903" s="376">
        <v>2031</v>
      </c>
      <c r="F1903" s="376">
        <v>1</v>
      </c>
      <c r="G1903" s="376">
        <v>10872.741503138899</v>
      </c>
      <c r="H1903" s="376">
        <v>0</v>
      </c>
      <c r="I1903" s="376">
        <v>1</v>
      </c>
    </row>
    <row r="1904" spans="1:9" x14ac:dyDescent="0.35">
      <c r="A1904" s="376" t="s">
        <v>1604</v>
      </c>
      <c r="B1904" s="376" t="s">
        <v>1609</v>
      </c>
      <c r="C1904" s="376" t="s">
        <v>644</v>
      </c>
      <c r="D1904" s="376">
        <v>2023</v>
      </c>
      <c r="E1904" s="376">
        <v>2031</v>
      </c>
      <c r="F1904" s="376">
        <v>1</v>
      </c>
      <c r="G1904" s="376">
        <v>10872.741503138899</v>
      </c>
      <c r="H1904" s="376">
        <v>0</v>
      </c>
      <c r="I1904" s="376">
        <v>1</v>
      </c>
    </row>
    <row r="1905" spans="1:9" x14ac:dyDescent="0.35">
      <c r="A1905" s="376" t="s">
        <v>1604</v>
      </c>
      <c r="B1905" s="376" t="s">
        <v>1609</v>
      </c>
      <c r="C1905" s="376" t="s">
        <v>628</v>
      </c>
      <c r="D1905" s="376">
        <v>2023</v>
      </c>
      <c r="E1905" s="376">
        <v>2031</v>
      </c>
      <c r="F1905" s="376">
        <v>1</v>
      </c>
      <c r="G1905" s="376">
        <v>10872.741503138899</v>
      </c>
      <c r="H1905" s="376">
        <v>0</v>
      </c>
      <c r="I1905" s="376">
        <v>1</v>
      </c>
    </row>
    <row r="1906" spans="1:9" x14ac:dyDescent="0.35">
      <c r="A1906" s="376" t="s">
        <v>1604</v>
      </c>
      <c r="B1906" s="376" t="s">
        <v>1609</v>
      </c>
      <c r="C1906" s="376" t="s">
        <v>1051</v>
      </c>
      <c r="D1906" s="376">
        <v>2023</v>
      </c>
      <c r="E1906" s="376">
        <v>2031</v>
      </c>
      <c r="F1906" s="376">
        <v>1</v>
      </c>
      <c r="G1906" s="376">
        <v>10872.741503138899</v>
      </c>
      <c r="H1906" s="376">
        <v>0</v>
      </c>
      <c r="I1906" s="376">
        <v>1</v>
      </c>
    </row>
    <row r="1907" spans="1:9" x14ac:dyDescent="0.35">
      <c r="A1907" s="376" t="s">
        <v>1604</v>
      </c>
      <c r="B1907" s="376" t="s">
        <v>1609</v>
      </c>
      <c r="C1907" s="376" t="s">
        <v>1054</v>
      </c>
      <c r="D1907" s="376">
        <v>2023</v>
      </c>
      <c r="E1907" s="376">
        <v>2031</v>
      </c>
      <c r="F1907" s="376">
        <v>1</v>
      </c>
      <c r="G1907" s="376">
        <v>10872.741503138899</v>
      </c>
      <c r="H1907" s="376">
        <v>0</v>
      </c>
      <c r="I1907" s="376">
        <v>1</v>
      </c>
    </row>
    <row r="1908" spans="1:9" x14ac:dyDescent="0.35">
      <c r="A1908" s="376" t="s">
        <v>1615</v>
      </c>
      <c r="B1908" s="376" t="s">
        <v>1609</v>
      </c>
      <c r="C1908" s="376" t="s">
        <v>1046</v>
      </c>
      <c r="D1908" s="376">
        <v>2023</v>
      </c>
      <c r="E1908" s="376">
        <v>2023</v>
      </c>
      <c r="F1908" s="376">
        <v>1</v>
      </c>
      <c r="G1908" s="376">
        <v>20148.813739673951</v>
      </c>
      <c r="H1908" s="376">
        <v>0</v>
      </c>
      <c r="I1908" s="376">
        <v>0.65716939790195539</v>
      </c>
    </row>
    <row r="1909" spans="1:9" x14ac:dyDescent="0.35">
      <c r="A1909" s="376" t="s">
        <v>1615</v>
      </c>
      <c r="B1909" s="376" t="s">
        <v>1609</v>
      </c>
      <c r="C1909" s="376" t="s">
        <v>644</v>
      </c>
      <c r="D1909" s="376">
        <v>2023</v>
      </c>
      <c r="E1909" s="376">
        <v>2023</v>
      </c>
      <c r="F1909" s="376">
        <v>1</v>
      </c>
      <c r="G1909" s="376">
        <v>20148.813739673951</v>
      </c>
      <c r="H1909" s="376">
        <v>0</v>
      </c>
      <c r="I1909" s="376">
        <v>0.65716939790195539</v>
      </c>
    </row>
    <row r="1910" spans="1:9" x14ac:dyDescent="0.35">
      <c r="A1910" s="376" t="s">
        <v>1615</v>
      </c>
      <c r="B1910" s="376" t="s">
        <v>1609</v>
      </c>
      <c r="C1910" s="376" t="s">
        <v>628</v>
      </c>
      <c r="D1910" s="376">
        <v>2023</v>
      </c>
      <c r="E1910" s="376">
        <v>2023</v>
      </c>
      <c r="F1910" s="376">
        <v>1</v>
      </c>
      <c r="G1910" s="376">
        <v>20148.813739673951</v>
      </c>
      <c r="H1910" s="376">
        <v>0</v>
      </c>
      <c r="I1910" s="376">
        <v>0.65716939790195539</v>
      </c>
    </row>
    <row r="1911" spans="1:9" x14ac:dyDescent="0.35">
      <c r="A1911" s="376" t="s">
        <v>1615</v>
      </c>
      <c r="B1911" s="376" t="s">
        <v>1609</v>
      </c>
      <c r="C1911" s="376" t="s">
        <v>1051</v>
      </c>
      <c r="D1911" s="376">
        <v>2023</v>
      </c>
      <c r="E1911" s="376">
        <v>2023</v>
      </c>
      <c r="F1911" s="376">
        <v>1</v>
      </c>
      <c r="G1911" s="376">
        <v>20148.813739673951</v>
      </c>
      <c r="H1911" s="376">
        <v>0</v>
      </c>
      <c r="I1911" s="376">
        <v>0.65716939790195539</v>
      </c>
    </row>
    <row r="1912" spans="1:9" x14ac:dyDescent="0.35">
      <c r="A1912" s="376" t="s">
        <v>1615</v>
      </c>
      <c r="B1912" s="376" t="s">
        <v>1609</v>
      </c>
      <c r="C1912" s="376" t="s">
        <v>1054</v>
      </c>
      <c r="D1912" s="376">
        <v>2023</v>
      </c>
      <c r="E1912" s="376">
        <v>2023</v>
      </c>
      <c r="F1912" s="376">
        <v>1</v>
      </c>
      <c r="G1912" s="376">
        <v>20148.813739673951</v>
      </c>
      <c r="H1912" s="376">
        <v>0</v>
      </c>
      <c r="I1912" s="376">
        <v>0.65716939790195539</v>
      </c>
    </row>
    <row r="1913" spans="1:9" x14ac:dyDescent="0.35">
      <c r="A1913" s="376" t="s">
        <v>1615</v>
      </c>
      <c r="B1913" s="376" t="s">
        <v>1609</v>
      </c>
      <c r="C1913" s="376" t="s">
        <v>1046</v>
      </c>
      <c r="D1913" s="376">
        <v>2023</v>
      </c>
      <c r="E1913" s="376">
        <v>2024</v>
      </c>
      <c r="F1913" s="376">
        <v>1</v>
      </c>
      <c r="G1913" s="376">
        <v>20148.813739673951</v>
      </c>
      <c r="H1913" s="376">
        <v>0</v>
      </c>
      <c r="I1913" s="376">
        <v>0.65716939790195539</v>
      </c>
    </row>
    <row r="1914" spans="1:9" x14ac:dyDescent="0.35">
      <c r="A1914" s="376" t="s">
        <v>1615</v>
      </c>
      <c r="B1914" s="376" t="s">
        <v>1609</v>
      </c>
      <c r="C1914" s="376" t="s">
        <v>644</v>
      </c>
      <c r="D1914" s="376">
        <v>2023</v>
      </c>
      <c r="E1914" s="376">
        <v>2024</v>
      </c>
      <c r="F1914" s="376">
        <v>1</v>
      </c>
      <c r="G1914" s="376">
        <v>20148.813739673951</v>
      </c>
      <c r="H1914" s="376">
        <v>0</v>
      </c>
      <c r="I1914" s="376">
        <v>0.65716939790195539</v>
      </c>
    </row>
    <row r="1915" spans="1:9" x14ac:dyDescent="0.35">
      <c r="A1915" s="376" t="s">
        <v>1615</v>
      </c>
      <c r="B1915" s="376" t="s">
        <v>1609</v>
      </c>
      <c r="C1915" s="376" t="s">
        <v>628</v>
      </c>
      <c r="D1915" s="376">
        <v>2023</v>
      </c>
      <c r="E1915" s="376">
        <v>2024</v>
      </c>
      <c r="F1915" s="376">
        <v>1</v>
      </c>
      <c r="G1915" s="376">
        <v>20148.813739673951</v>
      </c>
      <c r="H1915" s="376">
        <v>0</v>
      </c>
      <c r="I1915" s="376">
        <v>0.65716939790195539</v>
      </c>
    </row>
    <row r="1916" spans="1:9" x14ac:dyDescent="0.35">
      <c r="A1916" s="376" t="s">
        <v>1615</v>
      </c>
      <c r="B1916" s="376" t="s">
        <v>1609</v>
      </c>
      <c r="C1916" s="376" t="s">
        <v>1051</v>
      </c>
      <c r="D1916" s="376">
        <v>2023</v>
      </c>
      <c r="E1916" s="376">
        <v>2024</v>
      </c>
      <c r="F1916" s="376">
        <v>1</v>
      </c>
      <c r="G1916" s="376">
        <v>20148.813739673951</v>
      </c>
      <c r="H1916" s="376">
        <v>0</v>
      </c>
      <c r="I1916" s="376">
        <v>0.65716939790195539</v>
      </c>
    </row>
    <row r="1917" spans="1:9" x14ac:dyDescent="0.35">
      <c r="A1917" s="376" t="s">
        <v>1615</v>
      </c>
      <c r="B1917" s="376" t="s">
        <v>1609</v>
      </c>
      <c r="C1917" s="376" t="s">
        <v>1054</v>
      </c>
      <c r="D1917" s="376">
        <v>2023</v>
      </c>
      <c r="E1917" s="376">
        <v>2024</v>
      </c>
      <c r="F1917" s="376">
        <v>1</v>
      </c>
      <c r="G1917" s="376">
        <v>20148.813739673951</v>
      </c>
      <c r="H1917" s="376">
        <v>0</v>
      </c>
      <c r="I1917" s="376">
        <v>0.65716939790195539</v>
      </c>
    </row>
    <row r="1918" spans="1:9" x14ac:dyDescent="0.35">
      <c r="A1918" s="376" t="s">
        <v>1615</v>
      </c>
      <c r="B1918" s="376" t="s">
        <v>1609</v>
      </c>
      <c r="C1918" s="376" t="s">
        <v>1046</v>
      </c>
      <c r="D1918" s="376">
        <v>2023</v>
      </c>
      <c r="E1918" s="376">
        <v>2025</v>
      </c>
      <c r="F1918" s="376">
        <v>1</v>
      </c>
      <c r="G1918" s="376">
        <v>20148.813739673951</v>
      </c>
      <c r="H1918" s="376">
        <v>0</v>
      </c>
      <c r="I1918" s="376">
        <v>0.65716939790195539</v>
      </c>
    </row>
    <row r="1919" spans="1:9" x14ac:dyDescent="0.35">
      <c r="A1919" s="376" t="s">
        <v>1615</v>
      </c>
      <c r="B1919" s="376" t="s">
        <v>1609</v>
      </c>
      <c r="C1919" s="376" t="s">
        <v>644</v>
      </c>
      <c r="D1919" s="376">
        <v>2023</v>
      </c>
      <c r="E1919" s="376">
        <v>2025</v>
      </c>
      <c r="F1919" s="376">
        <v>1</v>
      </c>
      <c r="G1919" s="376">
        <v>20148.813739673951</v>
      </c>
      <c r="H1919" s="376">
        <v>0</v>
      </c>
      <c r="I1919" s="376">
        <v>0.65716939790195539</v>
      </c>
    </row>
    <row r="1920" spans="1:9" x14ac:dyDescent="0.35">
      <c r="A1920" s="376" t="s">
        <v>1615</v>
      </c>
      <c r="B1920" s="376" t="s">
        <v>1609</v>
      </c>
      <c r="C1920" s="376" t="s">
        <v>628</v>
      </c>
      <c r="D1920" s="376">
        <v>2023</v>
      </c>
      <c r="E1920" s="376">
        <v>2025</v>
      </c>
      <c r="F1920" s="376">
        <v>1</v>
      </c>
      <c r="G1920" s="376">
        <v>20148.813739673951</v>
      </c>
      <c r="H1920" s="376">
        <v>0</v>
      </c>
      <c r="I1920" s="376">
        <v>0.65716939790195539</v>
      </c>
    </row>
    <row r="1921" spans="1:9" x14ac:dyDescent="0.35">
      <c r="A1921" s="376" t="s">
        <v>1615</v>
      </c>
      <c r="B1921" s="376" t="s">
        <v>1609</v>
      </c>
      <c r="C1921" s="376" t="s">
        <v>1051</v>
      </c>
      <c r="D1921" s="376">
        <v>2023</v>
      </c>
      <c r="E1921" s="376">
        <v>2025</v>
      </c>
      <c r="F1921" s="376">
        <v>1</v>
      </c>
      <c r="G1921" s="376">
        <v>20148.813739673951</v>
      </c>
      <c r="H1921" s="376">
        <v>0</v>
      </c>
      <c r="I1921" s="376">
        <v>0.65716939790195539</v>
      </c>
    </row>
    <row r="1922" spans="1:9" x14ac:dyDescent="0.35">
      <c r="A1922" s="376" t="s">
        <v>1615</v>
      </c>
      <c r="B1922" s="376" t="s">
        <v>1609</v>
      </c>
      <c r="C1922" s="376" t="s">
        <v>1054</v>
      </c>
      <c r="D1922" s="376">
        <v>2023</v>
      </c>
      <c r="E1922" s="376">
        <v>2025</v>
      </c>
      <c r="F1922" s="376">
        <v>1</v>
      </c>
      <c r="G1922" s="376">
        <v>20148.813739673951</v>
      </c>
      <c r="H1922" s="376">
        <v>0</v>
      </c>
      <c r="I1922" s="376">
        <v>0.65716939790195539</v>
      </c>
    </row>
    <row r="1923" spans="1:9" x14ac:dyDescent="0.35">
      <c r="A1923" s="376" t="s">
        <v>1615</v>
      </c>
      <c r="B1923" s="376" t="s">
        <v>1609</v>
      </c>
      <c r="C1923" s="376" t="s">
        <v>1046</v>
      </c>
      <c r="D1923" s="376">
        <v>2023</v>
      </c>
      <c r="E1923" s="376">
        <v>2026</v>
      </c>
      <c r="F1923" s="376">
        <v>1</v>
      </c>
      <c r="G1923" s="376">
        <v>20148.813739673951</v>
      </c>
      <c r="H1923" s="376">
        <v>0</v>
      </c>
      <c r="I1923" s="376">
        <v>0.65716939790195539</v>
      </c>
    </row>
    <row r="1924" spans="1:9" x14ac:dyDescent="0.35">
      <c r="A1924" s="376" t="s">
        <v>1615</v>
      </c>
      <c r="B1924" s="376" t="s">
        <v>1609</v>
      </c>
      <c r="C1924" s="376" t="s">
        <v>644</v>
      </c>
      <c r="D1924" s="376">
        <v>2023</v>
      </c>
      <c r="E1924" s="376">
        <v>2026</v>
      </c>
      <c r="F1924" s="376">
        <v>1</v>
      </c>
      <c r="G1924" s="376">
        <v>20148.813739673951</v>
      </c>
      <c r="H1924" s="376">
        <v>0</v>
      </c>
      <c r="I1924" s="376">
        <v>0.65716939790195539</v>
      </c>
    </row>
    <row r="1925" spans="1:9" x14ac:dyDescent="0.35">
      <c r="A1925" s="376" t="s">
        <v>1615</v>
      </c>
      <c r="B1925" s="376" t="s">
        <v>1609</v>
      </c>
      <c r="C1925" s="376" t="s">
        <v>628</v>
      </c>
      <c r="D1925" s="376">
        <v>2023</v>
      </c>
      <c r="E1925" s="376">
        <v>2026</v>
      </c>
      <c r="F1925" s="376">
        <v>1</v>
      </c>
      <c r="G1925" s="376">
        <v>20148.813739673951</v>
      </c>
      <c r="H1925" s="376">
        <v>0</v>
      </c>
      <c r="I1925" s="376">
        <v>0.65716939790195539</v>
      </c>
    </row>
    <row r="1926" spans="1:9" x14ac:dyDescent="0.35">
      <c r="A1926" s="376" t="s">
        <v>1615</v>
      </c>
      <c r="B1926" s="376" t="s">
        <v>1609</v>
      </c>
      <c r="C1926" s="376" t="s">
        <v>1051</v>
      </c>
      <c r="D1926" s="376">
        <v>2023</v>
      </c>
      <c r="E1926" s="376">
        <v>2026</v>
      </c>
      <c r="F1926" s="376">
        <v>1</v>
      </c>
      <c r="G1926" s="376">
        <v>20148.813739673951</v>
      </c>
      <c r="H1926" s="376">
        <v>0</v>
      </c>
      <c r="I1926" s="376">
        <v>0.65716939790195539</v>
      </c>
    </row>
    <row r="1927" spans="1:9" x14ac:dyDescent="0.35">
      <c r="A1927" s="376" t="s">
        <v>1615</v>
      </c>
      <c r="B1927" s="376" t="s">
        <v>1609</v>
      </c>
      <c r="C1927" s="376" t="s">
        <v>1054</v>
      </c>
      <c r="D1927" s="376">
        <v>2023</v>
      </c>
      <c r="E1927" s="376">
        <v>2026</v>
      </c>
      <c r="F1927" s="376">
        <v>1</v>
      </c>
      <c r="G1927" s="376">
        <v>20148.813739673951</v>
      </c>
      <c r="H1927" s="376">
        <v>0</v>
      </c>
      <c r="I1927" s="376">
        <v>0.65716939790195539</v>
      </c>
    </row>
    <row r="1928" spans="1:9" x14ac:dyDescent="0.35">
      <c r="A1928" s="376" t="s">
        <v>1615</v>
      </c>
      <c r="B1928" s="376" t="s">
        <v>1609</v>
      </c>
      <c r="C1928" s="376" t="s">
        <v>1046</v>
      </c>
      <c r="D1928" s="376">
        <v>2023</v>
      </c>
      <c r="E1928" s="376">
        <v>2027</v>
      </c>
      <c r="F1928" s="376">
        <v>1</v>
      </c>
      <c r="G1928" s="376">
        <v>20148.813739673951</v>
      </c>
      <c r="H1928" s="376">
        <v>0</v>
      </c>
      <c r="I1928" s="376">
        <v>0.65716939790195539</v>
      </c>
    </row>
    <row r="1929" spans="1:9" x14ac:dyDescent="0.35">
      <c r="A1929" s="376" t="s">
        <v>1615</v>
      </c>
      <c r="B1929" s="376" t="s">
        <v>1609</v>
      </c>
      <c r="C1929" s="376" t="s">
        <v>644</v>
      </c>
      <c r="D1929" s="376">
        <v>2023</v>
      </c>
      <c r="E1929" s="376">
        <v>2027</v>
      </c>
      <c r="F1929" s="376">
        <v>1</v>
      </c>
      <c r="G1929" s="376">
        <v>20148.813739673951</v>
      </c>
      <c r="H1929" s="376">
        <v>0</v>
      </c>
      <c r="I1929" s="376">
        <v>0.65716939790195539</v>
      </c>
    </row>
    <row r="1930" spans="1:9" x14ac:dyDescent="0.35">
      <c r="A1930" s="376" t="s">
        <v>1615</v>
      </c>
      <c r="B1930" s="376" t="s">
        <v>1609</v>
      </c>
      <c r="C1930" s="376" t="s">
        <v>628</v>
      </c>
      <c r="D1930" s="376">
        <v>2023</v>
      </c>
      <c r="E1930" s="376">
        <v>2027</v>
      </c>
      <c r="F1930" s="376">
        <v>1</v>
      </c>
      <c r="G1930" s="376">
        <v>20148.813739673951</v>
      </c>
      <c r="H1930" s="376">
        <v>0</v>
      </c>
      <c r="I1930" s="376">
        <v>0.65716939790195539</v>
      </c>
    </row>
    <row r="1931" spans="1:9" x14ac:dyDescent="0.35">
      <c r="A1931" s="376" t="s">
        <v>1615</v>
      </c>
      <c r="B1931" s="376" t="s">
        <v>1609</v>
      </c>
      <c r="C1931" s="376" t="s">
        <v>1051</v>
      </c>
      <c r="D1931" s="376">
        <v>2023</v>
      </c>
      <c r="E1931" s="376">
        <v>2027</v>
      </c>
      <c r="F1931" s="376">
        <v>1</v>
      </c>
      <c r="G1931" s="376">
        <v>20148.813739673951</v>
      </c>
      <c r="H1931" s="376">
        <v>0</v>
      </c>
      <c r="I1931" s="376">
        <v>0.65716939790195539</v>
      </c>
    </row>
    <row r="1932" spans="1:9" x14ac:dyDescent="0.35">
      <c r="A1932" s="376" t="s">
        <v>1615</v>
      </c>
      <c r="B1932" s="376" t="s">
        <v>1609</v>
      </c>
      <c r="C1932" s="376" t="s">
        <v>1054</v>
      </c>
      <c r="D1932" s="376">
        <v>2023</v>
      </c>
      <c r="E1932" s="376">
        <v>2027</v>
      </c>
      <c r="F1932" s="376">
        <v>1</v>
      </c>
      <c r="G1932" s="376">
        <v>20148.813739673951</v>
      </c>
      <c r="H1932" s="376">
        <v>0</v>
      </c>
      <c r="I1932" s="376">
        <v>0.65716939790195539</v>
      </c>
    </row>
    <row r="1933" spans="1:9" x14ac:dyDescent="0.35">
      <c r="A1933" s="376" t="s">
        <v>1615</v>
      </c>
      <c r="B1933" s="376" t="s">
        <v>1609</v>
      </c>
      <c r="C1933" s="376" t="s">
        <v>1046</v>
      </c>
      <c r="D1933" s="376">
        <v>2023</v>
      </c>
      <c r="E1933" s="376">
        <v>2028</v>
      </c>
      <c r="F1933" s="376">
        <v>1</v>
      </c>
      <c r="G1933" s="376">
        <v>20148.813739673951</v>
      </c>
      <c r="H1933" s="376">
        <v>0</v>
      </c>
      <c r="I1933" s="376">
        <v>0.65716939790195539</v>
      </c>
    </row>
    <row r="1934" spans="1:9" x14ac:dyDescent="0.35">
      <c r="A1934" s="376" t="s">
        <v>1615</v>
      </c>
      <c r="B1934" s="376" t="s">
        <v>1609</v>
      </c>
      <c r="C1934" s="376" t="s">
        <v>644</v>
      </c>
      <c r="D1934" s="376">
        <v>2023</v>
      </c>
      <c r="E1934" s="376">
        <v>2028</v>
      </c>
      <c r="F1934" s="376">
        <v>1</v>
      </c>
      <c r="G1934" s="376">
        <v>20148.813739673951</v>
      </c>
      <c r="H1934" s="376">
        <v>0</v>
      </c>
      <c r="I1934" s="376">
        <v>0.65716939790195539</v>
      </c>
    </row>
    <row r="1935" spans="1:9" x14ac:dyDescent="0.35">
      <c r="A1935" s="376" t="s">
        <v>1615</v>
      </c>
      <c r="B1935" s="376" t="s">
        <v>1609</v>
      </c>
      <c r="C1935" s="376" t="s">
        <v>628</v>
      </c>
      <c r="D1935" s="376">
        <v>2023</v>
      </c>
      <c r="E1935" s="376">
        <v>2028</v>
      </c>
      <c r="F1935" s="376">
        <v>1</v>
      </c>
      <c r="G1935" s="376">
        <v>20148.813739673951</v>
      </c>
      <c r="H1935" s="376">
        <v>0</v>
      </c>
      <c r="I1935" s="376">
        <v>0.65716939790195539</v>
      </c>
    </row>
    <row r="1936" spans="1:9" x14ac:dyDescent="0.35">
      <c r="A1936" s="376" t="s">
        <v>1615</v>
      </c>
      <c r="B1936" s="376" t="s">
        <v>1609</v>
      </c>
      <c r="C1936" s="376" t="s">
        <v>1051</v>
      </c>
      <c r="D1936" s="376">
        <v>2023</v>
      </c>
      <c r="E1936" s="376">
        <v>2028</v>
      </c>
      <c r="F1936" s="376">
        <v>1</v>
      </c>
      <c r="G1936" s="376">
        <v>20148.813739673951</v>
      </c>
      <c r="H1936" s="376">
        <v>0</v>
      </c>
      <c r="I1936" s="376">
        <v>0.65716939790195539</v>
      </c>
    </row>
    <row r="1937" spans="1:9" x14ac:dyDescent="0.35">
      <c r="A1937" s="376" t="s">
        <v>1615</v>
      </c>
      <c r="B1937" s="376" t="s">
        <v>1609</v>
      </c>
      <c r="C1937" s="376" t="s">
        <v>1054</v>
      </c>
      <c r="D1937" s="376">
        <v>2023</v>
      </c>
      <c r="E1937" s="376">
        <v>2028</v>
      </c>
      <c r="F1937" s="376">
        <v>1</v>
      </c>
      <c r="G1937" s="376">
        <v>20148.813739673951</v>
      </c>
      <c r="H1937" s="376">
        <v>0</v>
      </c>
      <c r="I1937" s="376">
        <v>0.65716939790195539</v>
      </c>
    </row>
    <row r="1938" spans="1:9" x14ac:dyDescent="0.35">
      <c r="A1938" s="376" t="s">
        <v>1615</v>
      </c>
      <c r="B1938" s="376" t="s">
        <v>1609</v>
      </c>
      <c r="C1938" s="376" t="s">
        <v>1046</v>
      </c>
      <c r="D1938" s="376">
        <v>2023</v>
      </c>
      <c r="E1938" s="376">
        <v>2029</v>
      </c>
      <c r="F1938" s="376">
        <v>1</v>
      </c>
      <c r="G1938" s="376">
        <v>20148.813739673951</v>
      </c>
      <c r="H1938" s="376">
        <v>0</v>
      </c>
      <c r="I1938" s="376">
        <v>0.65716939790195539</v>
      </c>
    </row>
    <row r="1939" spans="1:9" x14ac:dyDescent="0.35">
      <c r="A1939" s="376" t="s">
        <v>1615</v>
      </c>
      <c r="B1939" s="376" t="s">
        <v>1609</v>
      </c>
      <c r="C1939" s="376" t="s">
        <v>644</v>
      </c>
      <c r="D1939" s="376">
        <v>2023</v>
      </c>
      <c r="E1939" s="376">
        <v>2029</v>
      </c>
      <c r="F1939" s="376">
        <v>1</v>
      </c>
      <c r="G1939" s="376">
        <v>20148.813739673951</v>
      </c>
      <c r="H1939" s="376">
        <v>0</v>
      </c>
      <c r="I1939" s="376">
        <v>0.65716939790195539</v>
      </c>
    </row>
    <row r="1940" spans="1:9" x14ac:dyDescent="0.35">
      <c r="A1940" s="376" t="s">
        <v>1615</v>
      </c>
      <c r="B1940" s="376" t="s">
        <v>1609</v>
      </c>
      <c r="C1940" s="376" t="s">
        <v>628</v>
      </c>
      <c r="D1940" s="376">
        <v>2023</v>
      </c>
      <c r="E1940" s="376">
        <v>2029</v>
      </c>
      <c r="F1940" s="376">
        <v>1</v>
      </c>
      <c r="G1940" s="376">
        <v>20148.813739673951</v>
      </c>
      <c r="H1940" s="376">
        <v>0</v>
      </c>
      <c r="I1940" s="376">
        <v>0.65716939790195539</v>
      </c>
    </row>
    <row r="1941" spans="1:9" x14ac:dyDescent="0.35">
      <c r="A1941" s="376" t="s">
        <v>1615</v>
      </c>
      <c r="B1941" s="376" t="s">
        <v>1609</v>
      </c>
      <c r="C1941" s="376" t="s">
        <v>1051</v>
      </c>
      <c r="D1941" s="376">
        <v>2023</v>
      </c>
      <c r="E1941" s="376">
        <v>2029</v>
      </c>
      <c r="F1941" s="376">
        <v>1</v>
      </c>
      <c r="G1941" s="376">
        <v>20148.813739673951</v>
      </c>
      <c r="H1941" s="376">
        <v>0</v>
      </c>
      <c r="I1941" s="376">
        <v>0.65716939790195539</v>
      </c>
    </row>
    <row r="1942" spans="1:9" x14ac:dyDescent="0.35">
      <c r="A1942" s="376" t="s">
        <v>1615</v>
      </c>
      <c r="B1942" s="376" t="s">
        <v>1609</v>
      </c>
      <c r="C1942" s="376" t="s">
        <v>1054</v>
      </c>
      <c r="D1942" s="376">
        <v>2023</v>
      </c>
      <c r="E1942" s="376">
        <v>2029</v>
      </c>
      <c r="F1942" s="376">
        <v>1</v>
      </c>
      <c r="G1942" s="376">
        <v>20148.813739673951</v>
      </c>
      <c r="H1942" s="376">
        <v>0</v>
      </c>
      <c r="I1942" s="376">
        <v>0.65716939790195539</v>
      </c>
    </row>
    <row r="1943" spans="1:9" x14ac:dyDescent="0.35">
      <c r="A1943" s="376" t="s">
        <v>1615</v>
      </c>
      <c r="B1943" s="376" t="s">
        <v>1609</v>
      </c>
      <c r="C1943" s="376" t="s">
        <v>1046</v>
      </c>
      <c r="D1943" s="376">
        <v>2023</v>
      </c>
      <c r="E1943" s="376">
        <v>2030</v>
      </c>
      <c r="F1943" s="376">
        <v>1</v>
      </c>
      <c r="G1943" s="376">
        <v>20148.813739673951</v>
      </c>
      <c r="H1943" s="376">
        <v>0</v>
      </c>
      <c r="I1943" s="376">
        <v>0.65716939790195539</v>
      </c>
    </row>
    <row r="1944" spans="1:9" x14ac:dyDescent="0.35">
      <c r="A1944" s="376" t="s">
        <v>1615</v>
      </c>
      <c r="B1944" s="376" t="s">
        <v>1609</v>
      </c>
      <c r="C1944" s="376" t="s">
        <v>644</v>
      </c>
      <c r="D1944" s="376">
        <v>2023</v>
      </c>
      <c r="E1944" s="376">
        <v>2030</v>
      </c>
      <c r="F1944" s="376">
        <v>1</v>
      </c>
      <c r="G1944" s="376">
        <v>20148.813739673951</v>
      </c>
      <c r="H1944" s="376">
        <v>0</v>
      </c>
      <c r="I1944" s="376">
        <v>0.65716939790195539</v>
      </c>
    </row>
    <row r="1945" spans="1:9" x14ac:dyDescent="0.35">
      <c r="A1945" s="376" t="s">
        <v>1615</v>
      </c>
      <c r="B1945" s="376" t="s">
        <v>1609</v>
      </c>
      <c r="C1945" s="376" t="s">
        <v>628</v>
      </c>
      <c r="D1945" s="376">
        <v>2023</v>
      </c>
      <c r="E1945" s="376">
        <v>2030</v>
      </c>
      <c r="F1945" s="376">
        <v>1</v>
      </c>
      <c r="G1945" s="376">
        <v>20148.813739673951</v>
      </c>
      <c r="H1945" s="376">
        <v>0</v>
      </c>
      <c r="I1945" s="376">
        <v>0.65716939790195539</v>
      </c>
    </row>
    <row r="1946" spans="1:9" x14ac:dyDescent="0.35">
      <c r="A1946" s="376" t="s">
        <v>1615</v>
      </c>
      <c r="B1946" s="376" t="s">
        <v>1609</v>
      </c>
      <c r="C1946" s="376" t="s">
        <v>1051</v>
      </c>
      <c r="D1946" s="376">
        <v>2023</v>
      </c>
      <c r="E1946" s="376">
        <v>2030</v>
      </c>
      <c r="F1946" s="376">
        <v>1</v>
      </c>
      <c r="G1946" s="376">
        <v>20148.813739673951</v>
      </c>
      <c r="H1946" s="376">
        <v>0</v>
      </c>
      <c r="I1946" s="376">
        <v>0.65716939790195539</v>
      </c>
    </row>
    <row r="1947" spans="1:9" x14ac:dyDescent="0.35">
      <c r="A1947" s="376" t="s">
        <v>1615</v>
      </c>
      <c r="B1947" s="376" t="s">
        <v>1609</v>
      </c>
      <c r="C1947" s="376" t="s">
        <v>1054</v>
      </c>
      <c r="D1947" s="376">
        <v>2023</v>
      </c>
      <c r="E1947" s="376">
        <v>2030</v>
      </c>
      <c r="F1947" s="376">
        <v>1</v>
      </c>
      <c r="G1947" s="376">
        <v>20148.813739673951</v>
      </c>
      <c r="H1947" s="376">
        <v>0</v>
      </c>
      <c r="I1947" s="376">
        <v>0.65716939790195539</v>
      </c>
    </row>
    <row r="1948" spans="1:9" x14ac:dyDescent="0.35">
      <c r="A1948" s="376" t="s">
        <v>1615</v>
      </c>
      <c r="B1948" s="376" t="s">
        <v>1609</v>
      </c>
      <c r="C1948" s="376" t="s">
        <v>1046</v>
      </c>
      <c r="D1948" s="376">
        <v>2023</v>
      </c>
      <c r="E1948" s="376">
        <v>2031</v>
      </c>
      <c r="F1948" s="376">
        <v>1</v>
      </c>
      <c r="G1948" s="376">
        <v>20148.813739673951</v>
      </c>
      <c r="H1948" s="376">
        <v>0</v>
      </c>
      <c r="I1948" s="376">
        <v>0.65716939790195539</v>
      </c>
    </row>
    <row r="1949" spans="1:9" x14ac:dyDescent="0.35">
      <c r="A1949" s="376" t="s">
        <v>1615</v>
      </c>
      <c r="B1949" s="376" t="s">
        <v>1609</v>
      </c>
      <c r="C1949" s="376" t="s">
        <v>644</v>
      </c>
      <c r="D1949" s="376">
        <v>2023</v>
      </c>
      <c r="E1949" s="376">
        <v>2031</v>
      </c>
      <c r="F1949" s="376">
        <v>1</v>
      </c>
      <c r="G1949" s="376">
        <v>20148.813739673951</v>
      </c>
      <c r="H1949" s="376">
        <v>0</v>
      </c>
      <c r="I1949" s="376">
        <v>0.65716939790195539</v>
      </c>
    </row>
    <row r="1950" spans="1:9" x14ac:dyDescent="0.35">
      <c r="A1950" s="376" t="s">
        <v>1615</v>
      </c>
      <c r="B1950" s="376" t="s">
        <v>1609</v>
      </c>
      <c r="C1950" s="376" t="s">
        <v>628</v>
      </c>
      <c r="D1950" s="376">
        <v>2023</v>
      </c>
      <c r="E1950" s="376">
        <v>2031</v>
      </c>
      <c r="F1950" s="376">
        <v>1</v>
      </c>
      <c r="G1950" s="376">
        <v>20148.813739673951</v>
      </c>
      <c r="H1950" s="376">
        <v>0</v>
      </c>
      <c r="I1950" s="376">
        <v>0.65716939790195539</v>
      </c>
    </row>
    <row r="1951" spans="1:9" x14ac:dyDescent="0.35">
      <c r="A1951" s="376" t="s">
        <v>1615</v>
      </c>
      <c r="B1951" s="376" t="s">
        <v>1609</v>
      </c>
      <c r="C1951" s="376" t="s">
        <v>1051</v>
      </c>
      <c r="D1951" s="376">
        <v>2023</v>
      </c>
      <c r="E1951" s="376">
        <v>2031</v>
      </c>
      <c r="F1951" s="376">
        <v>1</v>
      </c>
      <c r="G1951" s="376">
        <v>20148.813739673951</v>
      </c>
      <c r="H1951" s="376">
        <v>0</v>
      </c>
      <c r="I1951" s="376">
        <v>0.65716939790195539</v>
      </c>
    </row>
    <row r="1952" spans="1:9" x14ac:dyDescent="0.35">
      <c r="A1952" s="376" t="s">
        <v>1615</v>
      </c>
      <c r="B1952" s="376" t="s">
        <v>1609</v>
      </c>
      <c r="C1952" s="376" t="s">
        <v>1054</v>
      </c>
      <c r="D1952" s="376">
        <v>2023</v>
      </c>
      <c r="E1952" s="376">
        <v>2031</v>
      </c>
      <c r="F1952" s="376">
        <v>1</v>
      </c>
      <c r="G1952" s="376">
        <v>20148.813739673951</v>
      </c>
      <c r="H1952" s="376">
        <v>0</v>
      </c>
      <c r="I1952" s="376">
        <v>0.65716939790195539</v>
      </c>
    </row>
    <row r="1953" spans="1:9" x14ac:dyDescent="0.35">
      <c r="A1953" s="376" t="s">
        <v>1603</v>
      </c>
      <c r="B1953" s="376" t="s">
        <v>1609</v>
      </c>
      <c r="C1953" s="376" t="s">
        <v>1046</v>
      </c>
      <c r="D1953" s="376">
        <v>2023</v>
      </c>
      <c r="E1953" s="376">
        <v>2023</v>
      </c>
      <c r="F1953" s="376">
        <v>1</v>
      </c>
      <c r="G1953" s="376">
        <v>6101.463203368502</v>
      </c>
      <c r="H1953" s="376">
        <v>0</v>
      </c>
      <c r="I1953" s="376">
        <v>1</v>
      </c>
    </row>
    <row r="1954" spans="1:9" x14ac:dyDescent="0.35">
      <c r="A1954" s="376" t="s">
        <v>1603</v>
      </c>
      <c r="B1954" s="376" t="s">
        <v>1609</v>
      </c>
      <c r="C1954" s="376" t="s">
        <v>644</v>
      </c>
      <c r="D1954" s="376">
        <v>2023</v>
      </c>
      <c r="E1954" s="376">
        <v>2023</v>
      </c>
      <c r="F1954" s="376">
        <v>1</v>
      </c>
      <c r="G1954" s="376">
        <v>6101.463203368502</v>
      </c>
      <c r="H1954" s="376">
        <v>0</v>
      </c>
      <c r="I1954" s="376">
        <v>1</v>
      </c>
    </row>
    <row r="1955" spans="1:9" x14ac:dyDescent="0.35">
      <c r="A1955" s="376" t="s">
        <v>1603</v>
      </c>
      <c r="B1955" s="376" t="s">
        <v>1609</v>
      </c>
      <c r="C1955" s="376" t="s">
        <v>628</v>
      </c>
      <c r="D1955" s="376">
        <v>2023</v>
      </c>
      <c r="E1955" s="376">
        <v>2023</v>
      </c>
      <c r="F1955" s="376">
        <v>1</v>
      </c>
      <c r="G1955" s="376">
        <v>6101.463203368502</v>
      </c>
      <c r="H1955" s="376">
        <v>0</v>
      </c>
      <c r="I1955" s="376">
        <v>1</v>
      </c>
    </row>
    <row r="1956" spans="1:9" x14ac:dyDescent="0.35">
      <c r="A1956" s="376" t="s">
        <v>1603</v>
      </c>
      <c r="B1956" s="376" t="s">
        <v>1609</v>
      </c>
      <c r="C1956" s="376" t="s">
        <v>1051</v>
      </c>
      <c r="D1956" s="376">
        <v>2023</v>
      </c>
      <c r="E1956" s="376">
        <v>2023</v>
      </c>
      <c r="F1956" s="376">
        <v>1</v>
      </c>
      <c r="G1956" s="376">
        <v>6101.463203368502</v>
      </c>
      <c r="H1956" s="376">
        <v>0</v>
      </c>
      <c r="I1956" s="376">
        <v>1</v>
      </c>
    </row>
    <row r="1957" spans="1:9" x14ac:dyDescent="0.35">
      <c r="A1957" s="376" t="s">
        <v>1603</v>
      </c>
      <c r="B1957" s="376" t="s">
        <v>1609</v>
      </c>
      <c r="C1957" s="376" t="s">
        <v>1054</v>
      </c>
      <c r="D1957" s="376">
        <v>2023</v>
      </c>
      <c r="E1957" s="376">
        <v>2023</v>
      </c>
      <c r="F1957" s="376">
        <v>1</v>
      </c>
      <c r="G1957" s="376">
        <v>6101.463203368502</v>
      </c>
      <c r="H1957" s="376">
        <v>0</v>
      </c>
      <c r="I1957" s="376">
        <v>1</v>
      </c>
    </row>
    <row r="1958" spans="1:9" x14ac:dyDescent="0.35">
      <c r="A1958" s="376" t="s">
        <v>1603</v>
      </c>
      <c r="B1958" s="376" t="s">
        <v>1609</v>
      </c>
      <c r="C1958" s="376" t="s">
        <v>1046</v>
      </c>
      <c r="D1958" s="376">
        <v>2023</v>
      </c>
      <c r="E1958" s="376">
        <v>2024</v>
      </c>
      <c r="F1958" s="376">
        <v>1</v>
      </c>
      <c r="G1958" s="376">
        <v>6101.463203368502</v>
      </c>
      <c r="H1958" s="376">
        <v>0</v>
      </c>
      <c r="I1958" s="376">
        <v>1</v>
      </c>
    </row>
    <row r="1959" spans="1:9" x14ac:dyDescent="0.35">
      <c r="A1959" s="376" t="s">
        <v>1603</v>
      </c>
      <c r="B1959" s="376" t="s">
        <v>1609</v>
      </c>
      <c r="C1959" s="376" t="s">
        <v>644</v>
      </c>
      <c r="D1959" s="376">
        <v>2023</v>
      </c>
      <c r="E1959" s="376">
        <v>2024</v>
      </c>
      <c r="F1959" s="376">
        <v>1</v>
      </c>
      <c r="G1959" s="376">
        <v>6101.463203368502</v>
      </c>
      <c r="H1959" s="376">
        <v>0</v>
      </c>
      <c r="I1959" s="376">
        <v>1</v>
      </c>
    </row>
    <row r="1960" spans="1:9" x14ac:dyDescent="0.35">
      <c r="A1960" s="376" t="s">
        <v>1603</v>
      </c>
      <c r="B1960" s="376" t="s">
        <v>1609</v>
      </c>
      <c r="C1960" s="376" t="s">
        <v>628</v>
      </c>
      <c r="D1960" s="376">
        <v>2023</v>
      </c>
      <c r="E1960" s="376">
        <v>2024</v>
      </c>
      <c r="F1960" s="376">
        <v>1</v>
      </c>
      <c r="G1960" s="376">
        <v>6101.463203368502</v>
      </c>
      <c r="H1960" s="376">
        <v>0</v>
      </c>
      <c r="I1960" s="376">
        <v>1</v>
      </c>
    </row>
    <row r="1961" spans="1:9" x14ac:dyDescent="0.35">
      <c r="A1961" s="376" t="s">
        <v>1603</v>
      </c>
      <c r="B1961" s="376" t="s">
        <v>1609</v>
      </c>
      <c r="C1961" s="376" t="s">
        <v>1051</v>
      </c>
      <c r="D1961" s="376">
        <v>2023</v>
      </c>
      <c r="E1961" s="376">
        <v>2024</v>
      </c>
      <c r="F1961" s="376">
        <v>1</v>
      </c>
      <c r="G1961" s="376">
        <v>6101.463203368502</v>
      </c>
      <c r="H1961" s="376">
        <v>0</v>
      </c>
      <c r="I1961" s="376">
        <v>1</v>
      </c>
    </row>
    <row r="1962" spans="1:9" x14ac:dyDescent="0.35">
      <c r="A1962" s="376" t="s">
        <v>1603</v>
      </c>
      <c r="B1962" s="376" t="s">
        <v>1609</v>
      </c>
      <c r="C1962" s="376" t="s">
        <v>1054</v>
      </c>
      <c r="D1962" s="376">
        <v>2023</v>
      </c>
      <c r="E1962" s="376">
        <v>2024</v>
      </c>
      <c r="F1962" s="376">
        <v>1</v>
      </c>
      <c r="G1962" s="376">
        <v>6101.463203368502</v>
      </c>
      <c r="H1962" s="376">
        <v>0</v>
      </c>
      <c r="I1962" s="376">
        <v>1</v>
      </c>
    </row>
    <row r="1963" spans="1:9" x14ac:dyDescent="0.35">
      <c r="A1963" s="376" t="s">
        <v>1603</v>
      </c>
      <c r="B1963" s="376" t="s">
        <v>1609</v>
      </c>
      <c r="C1963" s="376" t="s">
        <v>1046</v>
      </c>
      <c r="D1963" s="376">
        <v>2023</v>
      </c>
      <c r="E1963" s="376">
        <v>2025</v>
      </c>
      <c r="F1963" s="376">
        <v>1</v>
      </c>
      <c r="G1963" s="376">
        <v>6101.463203368502</v>
      </c>
      <c r="H1963" s="376">
        <v>0</v>
      </c>
      <c r="I1963" s="376">
        <v>1</v>
      </c>
    </row>
    <row r="1964" spans="1:9" x14ac:dyDescent="0.35">
      <c r="A1964" s="376" t="s">
        <v>1603</v>
      </c>
      <c r="B1964" s="376" t="s">
        <v>1609</v>
      </c>
      <c r="C1964" s="376" t="s">
        <v>644</v>
      </c>
      <c r="D1964" s="376">
        <v>2023</v>
      </c>
      <c r="E1964" s="376">
        <v>2025</v>
      </c>
      <c r="F1964" s="376">
        <v>1</v>
      </c>
      <c r="G1964" s="376">
        <v>6101.463203368502</v>
      </c>
      <c r="H1964" s="376">
        <v>0</v>
      </c>
      <c r="I1964" s="376">
        <v>1</v>
      </c>
    </row>
    <row r="1965" spans="1:9" x14ac:dyDescent="0.35">
      <c r="A1965" s="376" t="s">
        <v>1603</v>
      </c>
      <c r="B1965" s="376" t="s">
        <v>1609</v>
      </c>
      <c r="C1965" s="376" t="s">
        <v>628</v>
      </c>
      <c r="D1965" s="376">
        <v>2023</v>
      </c>
      <c r="E1965" s="376">
        <v>2025</v>
      </c>
      <c r="F1965" s="376">
        <v>1</v>
      </c>
      <c r="G1965" s="376">
        <v>6101.463203368502</v>
      </c>
      <c r="H1965" s="376">
        <v>0</v>
      </c>
      <c r="I1965" s="376">
        <v>1</v>
      </c>
    </row>
    <row r="1966" spans="1:9" x14ac:dyDescent="0.35">
      <c r="A1966" s="376" t="s">
        <v>1603</v>
      </c>
      <c r="B1966" s="376" t="s">
        <v>1609</v>
      </c>
      <c r="C1966" s="376" t="s">
        <v>1051</v>
      </c>
      <c r="D1966" s="376">
        <v>2023</v>
      </c>
      <c r="E1966" s="376">
        <v>2025</v>
      </c>
      <c r="F1966" s="376">
        <v>1</v>
      </c>
      <c r="G1966" s="376">
        <v>6101.463203368502</v>
      </c>
      <c r="H1966" s="376">
        <v>0</v>
      </c>
      <c r="I1966" s="376">
        <v>1</v>
      </c>
    </row>
    <row r="1967" spans="1:9" x14ac:dyDescent="0.35">
      <c r="A1967" s="376" t="s">
        <v>1603</v>
      </c>
      <c r="B1967" s="376" t="s">
        <v>1609</v>
      </c>
      <c r="C1967" s="376" t="s">
        <v>1054</v>
      </c>
      <c r="D1967" s="376">
        <v>2023</v>
      </c>
      <c r="E1967" s="376">
        <v>2025</v>
      </c>
      <c r="F1967" s="376">
        <v>1</v>
      </c>
      <c r="G1967" s="376">
        <v>6101.463203368502</v>
      </c>
      <c r="H1967" s="376">
        <v>0</v>
      </c>
      <c r="I1967" s="376">
        <v>1</v>
      </c>
    </row>
    <row r="1968" spans="1:9" x14ac:dyDescent="0.35">
      <c r="A1968" s="376" t="s">
        <v>1603</v>
      </c>
      <c r="B1968" s="376" t="s">
        <v>1609</v>
      </c>
      <c r="C1968" s="376" t="s">
        <v>1046</v>
      </c>
      <c r="D1968" s="376">
        <v>2023</v>
      </c>
      <c r="E1968" s="376">
        <v>2026</v>
      </c>
      <c r="F1968" s="376">
        <v>1</v>
      </c>
      <c r="G1968" s="376">
        <v>6101.463203368502</v>
      </c>
      <c r="H1968" s="376">
        <v>0</v>
      </c>
      <c r="I1968" s="376">
        <v>1</v>
      </c>
    </row>
    <row r="1969" spans="1:9" x14ac:dyDescent="0.35">
      <c r="A1969" s="376" t="s">
        <v>1603</v>
      </c>
      <c r="B1969" s="376" t="s">
        <v>1609</v>
      </c>
      <c r="C1969" s="376" t="s">
        <v>644</v>
      </c>
      <c r="D1969" s="376">
        <v>2023</v>
      </c>
      <c r="E1969" s="376">
        <v>2026</v>
      </c>
      <c r="F1969" s="376">
        <v>1</v>
      </c>
      <c r="G1969" s="376">
        <v>6101.463203368502</v>
      </c>
      <c r="H1969" s="376">
        <v>0</v>
      </c>
      <c r="I1969" s="376">
        <v>1</v>
      </c>
    </row>
    <row r="1970" spans="1:9" x14ac:dyDescent="0.35">
      <c r="A1970" s="376" t="s">
        <v>1603</v>
      </c>
      <c r="B1970" s="376" t="s">
        <v>1609</v>
      </c>
      <c r="C1970" s="376" t="s">
        <v>628</v>
      </c>
      <c r="D1970" s="376">
        <v>2023</v>
      </c>
      <c r="E1970" s="376">
        <v>2026</v>
      </c>
      <c r="F1970" s="376">
        <v>1</v>
      </c>
      <c r="G1970" s="376">
        <v>6101.463203368502</v>
      </c>
      <c r="H1970" s="376">
        <v>0</v>
      </c>
      <c r="I1970" s="376">
        <v>1</v>
      </c>
    </row>
    <row r="1971" spans="1:9" x14ac:dyDescent="0.35">
      <c r="A1971" s="376" t="s">
        <v>1603</v>
      </c>
      <c r="B1971" s="376" t="s">
        <v>1609</v>
      </c>
      <c r="C1971" s="376" t="s">
        <v>1051</v>
      </c>
      <c r="D1971" s="376">
        <v>2023</v>
      </c>
      <c r="E1971" s="376">
        <v>2026</v>
      </c>
      <c r="F1971" s="376">
        <v>1</v>
      </c>
      <c r="G1971" s="376">
        <v>6101.463203368502</v>
      </c>
      <c r="H1971" s="376">
        <v>0</v>
      </c>
      <c r="I1971" s="376">
        <v>1</v>
      </c>
    </row>
    <row r="1972" spans="1:9" x14ac:dyDescent="0.35">
      <c r="A1972" s="376" t="s">
        <v>1603</v>
      </c>
      <c r="B1972" s="376" t="s">
        <v>1609</v>
      </c>
      <c r="C1972" s="376" t="s">
        <v>1054</v>
      </c>
      <c r="D1972" s="376">
        <v>2023</v>
      </c>
      <c r="E1972" s="376">
        <v>2026</v>
      </c>
      <c r="F1972" s="376">
        <v>1</v>
      </c>
      <c r="G1972" s="376">
        <v>6101.463203368502</v>
      </c>
      <c r="H1972" s="376">
        <v>0</v>
      </c>
      <c r="I1972" s="376">
        <v>1</v>
      </c>
    </row>
    <row r="1973" spans="1:9" x14ac:dyDescent="0.35">
      <c r="A1973" s="376" t="s">
        <v>1603</v>
      </c>
      <c r="B1973" s="376" t="s">
        <v>1609</v>
      </c>
      <c r="C1973" s="376" t="s">
        <v>1046</v>
      </c>
      <c r="D1973" s="376">
        <v>2023</v>
      </c>
      <c r="E1973" s="376">
        <v>2027</v>
      </c>
      <c r="F1973" s="376">
        <v>1</v>
      </c>
      <c r="G1973" s="376">
        <v>6101.463203368502</v>
      </c>
      <c r="H1973" s="376">
        <v>0</v>
      </c>
      <c r="I1973" s="376">
        <v>1</v>
      </c>
    </row>
    <row r="1974" spans="1:9" x14ac:dyDescent="0.35">
      <c r="A1974" s="376" t="s">
        <v>1603</v>
      </c>
      <c r="B1974" s="376" t="s">
        <v>1609</v>
      </c>
      <c r="C1974" s="376" t="s">
        <v>644</v>
      </c>
      <c r="D1974" s="376">
        <v>2023</v>
      </c>
      <c r="E1974" s="376">
        <v>2027</v>
      </c>
      <c r="F1974" s="376">
        <v>1</v>
      </c>
      <c r="G1974" s="376">
        <v>6101.463203368502</v>
      </c>
      <c r="H1974" s="376">
        <v>0</v>
      </c>
      <c r="I1974" s="376">
        <v>1</v>
      </c>
    </row>
    <row r="1975" spans="1:9" x14ac:dyDescent="0.35">
      <c r="A1975" s="376" t="s">
        <v>1603</v>
      </c>
      <c r="B1975" s="376" t="s">
        <v>1609</v>
      </c>
      <c r="C1975" s="376" t="s">
        <v>628</v>
      </c>
      <c r="D1975" s="376">
        <v>2023</v>
      </c>
      <c r="E1975" s="376">
        <v>2027</v>
      </c>
      <c r="F1975" s="376">
        <v>1</v>
      </c>
      <c r="G1975" s="376">
        <v>6101.463203368502</v>
      </c>
      <c r="H1975" s="376">
        <v>0</v>
      </c>
      <c r="I1975" s="376">
        <v>1</v>
      </c>
    </row>
    <row r="1976" spans="1:9" x14ac:dyDescent="0.35">
      <c r="A1976" s="376" t="s">
        <v>1603</v>
      </c>
      <c r="B1976" s="376" t="s">
        <v>1609</v>
      </c>
      <c r="C1976" s="376" t="s">
        <v>1051</v>
      </c>
      <c r="D1976" s="376">
        <v>2023</v>
      </c>
      <c r="E1976" s="376">
        <v>2027</v>
      </c>
      <c r="F1976" s="376">
        <v>1</v>
      </c>
      <c r="G1976" s="376">
        <v>6101.463203368502</v>
      </c>
      <c r="H1976" s="376">
        <v>0</v>
      </c>
      <c r="I1976" s="376">
        <v>1</v>
      </c>
    </row>
    <row r="1977" spans="1:9" x14ac:dyDescent="0.35">
      <c r="A1977" s="376" t="s">
        <v>1603</v>
      </c>
      <c r="B1977" s="376" t="s">
        <v>1609</v>
      </c>
      <c r="C1977" s="376" t="s">
        <v>1054</v>
      </c>
      <c r="D1977" s="376">
        <v>2023</v>
      </c>
      <c r="E1977" s="376">
        <v>2027</v>
      </c>
      <c r="F1977" s="376">
        <v>1</v>
      </c>
      <c r="G1977" s="376">
        <v>6101.463203368502</v>
      </c>
      <c r="H1977" s="376">
        <v>0</v>
      </c>
      <c r="I1977" s="376">
        <v>1</v>
      </c>
    </row>
    <row r="1978" spans="1:9" x14ac:dyDescent="0.35">
      <c r="A1978" s="376" t="s">
        <v>1603</v>
      </c>
      <c r="B1978" s="376" t="s">
        <v>1609</v>
      </c>
      <c r="C1978" s="376" t="s">
        <v>1046</v>
      </c>
      <c r="D1978" s="376">
        <v>2023</v>
      </c>
      <c r="E1978" s="376">
        <v>2028</v>
      </c>
      <c r="F1978" s="376">
        <v>1</v>
      </c>
      <c r="G1978" s="376">
        <v>6101.463203368502</v>
      </c>
      <c r="H1978" s="376">
        <v>0</v>
      </c>
      <c r="I1978" s="376">
        <v>1</v>
      </c>
    </row>
    <row r="1979" spans="1:9" x14ac:dyDescent="0.35">
      <c r="A1979" s="376" t="s">
        <v>1603</v>
      </c>
      <c r="B1979" s="376" t="s">
        <v>1609</v>
      </c>
      <c r="C1979" s="376" t="s">
        <v>644</v>
      </c>
      <c r="D1979" s="376">
        <v>2023</v>
      </c>
      <c r="E1979" s="376">
        <v>2028</v>
      </c>
      <c r="F1979" s="376">
        <v>1</v>
      </c>
      <c r="G1979" s="376">
        <v>6101.463203368502</v>
      </c>
      <c r="H1979" s="376">
        <v>0</v>
      </c>
      <c r="I1979" s="376">
        <v>1</v>
      </c>
    </row>
    <row r="1980" spans="1:9" x14ac:dyDescent="0.35">
      <c r="A1980" s="376" t="s">
        <v>1603</v>
      </c>
      <c r="B1980" s="376" t="s">
        <v>1609</v>
      </c>
      <c r="C1980" s="376" t="s">
        <v>628</v>
      </c>
      <c r="D1980" s="376">
        <v>2023</v>
      </c>
      <c r="E1980" s="376">
        <v>2028</v>
      </c>
      <c r="F1980" s="376">
        <v>1</v>
      </c>
      <c r="G1980" s="376">
        <v>6101.463203368502</v>
      </c>
      <c r="H1980" s="376">
        <v>0</v>
      </c>
      <c r="I1980" s="376">
        <v>1</v>
      </c>
    </row>
    <row r="1981" spans="1:9" x14ac:dyDescent="0.35">
      <c r="A1981" s="376" t="s">
        <v>1603</v>
      </c>
      <c r="B1981" s="376" t="s">
        <v>1609</v>
      </c>
      <c r="C1981" s="376" t="s">
        <v>1051</v>
      </c>
      <c r="D1981" s="376">
        <v>2023</v>
      </c>
      <c r="E1981" s="376">
        <v>2028</v>
      </c>
      <c r="F1981" s="376">
        <v>1</v>
      </c>
      <c r="G1981" s="376">
        <v>6101.463203368502</v>
      </c>
      <c r="H1981" s="376">
        <v>0</v>
      </c>
      <c r="I1981" s="376">
        <v>1</v>
      </c>
    </row>
    <row r="1982" spans="1:9" x14ac:dyDescent="0.35">
      <c r="A1982" s="376" t="s">
        <v>1603</v>
      </c>
      <c r="B1982" s="376" t="s">
        <v>1609</v>
      </c>
      <c r="C1982" s="376" t="s">
        <v>1054</v>
      </c>
      <c r="D1982" s="376">
        <v>2023</v>
      </c>
      <c r="E1982" s="376">
        <v>2028</v>
      </c>
      <c r="F1982" s="376">
        <v>1</v>
      </c>
      <c r="G1982" s="376">
        <v>6101.463203368502</v>
      </c>
      <c r="H1982" s="376">
        <v>0</v>
      </c>
      <c r="I1982" s="376">
        <v>1</v>
      </c>
    </row>
    <row r="1983" spans="1:9" x14ac:dyDescent="0.35">
      <c r="A1983" s="376" t="s">
        <v>1603</v>
      </c>
      <c r="B1983" s="376" t="s">
        <v>1609</v>
      </c>
      <c r="C1983" s="376" t="s">
        <v>1046</v>
      </c>
      <c r="D1983" s="376">
        <v>2023</v>
      </c>
      <c r="E1983" s="376">
        <v>2029</v>
      </c>
      <c r="F1983" s="376">
        <v>1</v>
      </c>
      <c r="G1983" s="376">
        <v>6101.463203368502</v>
      </c>
      <c r="H1983" s="376">
        <v>0</v>
      </c>
      <c r="I1983" s="376">
        <v>1</v>
      </c>
    </row>
    <row r="1984" spans="1:9" x14ac:dyDescent="0.35">
      <c r="A1984" s="376" t="s">
        <v>1603</v>
      </c>
      <c r="B1984" s="376" t="s">
        <v>1609</v>
      </c>
      <c r="C1984" s="376" t="s">
        <v>644</v>
      </c>
      <c r="D1984" s="376">
        <v>2023</v>
      </c>
      <c r="E1984" s="376">
        <v>2029</v>
      </c>
      <c r="F1984" s="376">
        <v>1</v>
      </c>
      <c r="G1984" s="376">
        <v>6101.463203368502</v>
      </c>
      <c r="H1984" s="376">
        <v>0</v>
      </c>
      <c r="I1984" s="376">
        <v>1</v>
      </c>
    </row>
    <row r="1985" spans="1:9" x14ac:dyDescent="0.35">
      <c r="A1985" s="376" t="s">
        <v>1603</v>
      </c>
      <c r="B1985" s="376" t="s">
        <v>1609</v>
      </c>
      <c r="C1985" s="376" t="s">
        <v>628</v>
      </c>
      <c r="D1985" s="376">
        <v>2023</v>
      </c>
      <c r="E1985" s="376">
        <v>2029</v>
      </c>
      <c r="F1985" s="376">
        <v>1</v>
      </c>
      <c r="G1985" s="376">
        <v>6101.463203368502</v>
      </c>
      <c r="H1985" s="376">
        <v>0</v>
      </c>
      <c r="I1985" s="376">
        <v>1</v>
      </c>
    </row>
    <row r="1986" spans="1:9" x14ac:dyDescent="0.35">
      <c r="A1986" s="376" t="s">
        <v>1603</v>
      </c>
      <c r="B1986" s="376" t="s">
        <v>1609</v>
      </c>
      <c r="C1986" s="376" t="s">
        <v>1051</v>
      </c>
      <c r="D1986" s="376">
        <v>2023</v>
      </c>
      <c r="E1986" s="376">
        <v>2029</v>
      </c>
      <c r="F1986" s="376">
        <v>1</v>
      </c>
      <c r="G1986" s="376">
        <v>6101.463203368502</v>
      </c>
      <c r="H1986" s="376">
        <v>0</v>
      </c>
      <c r="I1986" s="376">
        <v>1</v>
      </c>
    </row>
    <row r="1987" spans="1:9" x14ac:dyDescent="0.35">
      <c r="A1987" s="376" t="s">
        <v>1603</v>
      </c>
      <c r="B1987" s="376" t="s">
        <v>1609</v>
      </c>
      <c r="C1987" s="376" t="s">
        <v>1054</v>
      </c>
      <c r="D1987" s="376">
        <v>2023</v>
      </c>
      <c r="E1987" s="376">
        <v>2029</v>
      </c>
      <c r="F1987" s="376">
        <v>1</v>
      </c>
      <c r="G1987" s="376">
        <v>6101.463203368502</v>
      </c>
      <c r="H1987" s="376">
        <v>0</v>
      </c>
      <c r="I1987" s="376">
        <v>1</v>
      </c>
    </row>
    <row r="1988" spans="1:9" x14ac:dyDescent="0.35">
      <c r="A1988" s="376" t="s">
        <v>1603</v>
      </c>
      <c r="B1988" s="376" t="s">
        <v>1609</v>
      </c>
      <c r="C1988" s="376" t="s">
        <v>1046</v>
      </c>
      <c r="D1988" s="376">
        <v>2023</v>
      </c>
      <c r="E1988" s="376">
        <v>2030</v>
      </c>
      <c r="F1988" s="376">
        <v>1</v>
      </c>
      <c r="G1988" s="376">
        <v>6101.463203368502</v>
      </c>
      <c r="H1988" s="376">
        <v>0</v>
      </c>
      <c r="I1988" s="376">
        <v>1</v>
      </c>
    </row>
    <row r="1989" spans="1:9" x14ac:dyDescent="0.35">
      <c r="A1989" s="376" t="s">
        <v>1603</v>
      </c>
      <c r="B1989" s="376" t="s">
        <v>1609</v>
      </c>
      <c r="C1989" s="376" t="s">
        <v>644</v>
      </c>
      <c r="D1989" s="376">
        <v>2023</v>
      </c>
      <c r="E1989" s="376">
        <v>2030</v>
      </c>
      <c r="F1989" s="376">
        <v>1</v>
      </c>
      <c r="G1989" s="376">
        <v>6101.463203368502</v>
      </c>
      <c r="H1989" s="376">
        <v>0</v>
      </c>
      <c r="I1989" s="376">
        <v>1</v>
      </c>
    </row>
    <row r="1990" spans="1:9" x14ac:dyDescent="0.35">
      <c r="A1990" s="376" t="s">
        <v>1603</v>
      </c>
      <c r="B1990" s="376" t="s">
        <v>1609</v>
      </c>
      <c r="C1990" s="376" t="s">
        <v>628</v>
      </c>
      <c r="D1990" s="376">
        <v>2023</v>
      </c>
      <c r="E1990" s="376">
        <v>2030</v>
      </c>
      <c r="F1990" s="376">
        <v>1</v>
      </c>
      <c r="G1990" s="376">
        <v>6101.463203368502</v>
      </c>
      <c r="H1990" s="376">
        <v>0</v>
      </c>
      <c r="I1990" s="376">
        <v>1</v>
      </c>
    </row>
    <row r="1991" spans="1:9" x14ac:dyDescent="0.35">
      <c r="A1991" s="376" t="s">
        <v>1603</v>
      </c>
      <c r="B1991" s="376" t="s">
        <v>1609</v>
      </c>
      <c r="C1991" s="376" t="s">
        <v>1051</v>
      </c>
      <c r="D1991" s="376">
        <v>2023</v>
      </c>
      <c r="E1991" s="376">
        <v>2030</v>
      </c>
      <c r="F1991" s="376">
        <v>1</v>
      </c>
      <c r="G1991" s="376">
        <v>6101.463203368502</v>
      </c>
      <c r="H1991" s="376">
        <v>0</v>
      </c>
      <c r="I1991" s="376">
        <v>1</v>
      </c>
    </row>
    <row r="1992" spans="1:9" x14ac:dyDescent="0.35">
      <c r="A1992" s="376" t="s">
        <v>1603</v>
      </c>
      <c r="B1992" s="376" t="s">
        <v>1609</v>
      </c>
      <c r="C1992" s="376" t="s">
        <v>1054</v>
      </c>
      <c r="D1992" s="376">
        <v>2023</v>
      </c>
      <c r="E1992" s="376">
        <v>2030</v>
      </c>
      <c r="F1992" s="376">
        <v>1</v>
      </c>
      <c r="G1992" s="376">
        <v>6101.463203368502</v>
      </c>
      <c r="H1992" s="376">
        <v>0</v>
      </c>
      <c r="I1992" s="376">
        <v>1</v>
      </c>
    </row>
    <row r="1993" spans="1:9" x14ac:dyDescent="0.35">
      <c r="A1993" s="376" t="s">
        <v>1603</v>
      </c>
      <c r="B1993" s="376" t="s">
        <v>1609</v>
      </c>
      <c r="C1993" s="376" t="s">
        <v>1046</v>
      </c>
      <c r="D1993" s="376">
        <v>2023</v>
      </c>
      <c r="E1993" s="376">
        <v>2031</v>
      </c>
      <c r="F1993" s="376">
        <v>1</v>
      </c>
      <c r="G1993" s="376">
        <v>6101.463203368502</v>
      </c>
      <c r="H1993" s="376">
        <v>0</v>
      </c>
      <c r="I1993" s="376">
        <v>1</v>
      </c>
    </row>
    <row r="1994" spans="1:9" x14ac:dyDescent="0.35">
      <c r="A1994" s="376" t="s">
        <v>1603</v>
      </c>
      <c r="B1994" s="376" t="s">
        <v>1609</v>
      </c>
      <c r="C1994" s="376" t="s">
        <v>644</v>
      </c>
      <c r="D1994" s="376">
        <v>2023</v>
      </c>
      <c r="E1994" s="376">
        <v>2031</v>
      </c>
      <c r="F1994" s="376">
        <v>1</v>
      </c>
      <c r="G1994" s="376">
        <v>6101.463203368502</v>
      </c>
      <c r="H1994" s="376">
        <v>0</v>
      </c>
      <c r="I1994" s="376">
        <v>1</v>
      </c>
    </row>
    <row r="1995" spans="1:9" x14ac:dyDescent="0.35">
      <c r="A1995" s="376" t="s">
        <v>1603</v>
      </c>
      <c r="B1995" s="376" t="s">
        <v>1609</v>
      </c>
      <c r="C1995" s="376" t="s">
        <v>628</v>
      </c>
      <c r="D1995" s="376">
        <v>2023</v>
      </c>
      <c r="E1995" s="376">
        <v>2031</v>
      </c>
      <c r="F1995" s="376">
        <v>1</v>
      </c>
      <c r="G1995" s="376">
        <v>6101.463203368502</v>
      </c>
      <c r="H1995" s="376">
        <v>0</v>
      </c>
      <c r="I1995" s="376">
        <v>1</v>
      </c>
    </row>
    <row r="1996" spans="1:9" x14ac:dyDescent="0.35">
      <c r="A1996" s="376" t="s">
        <v>1603</v>
      </c>
      <c r="B1996" s="376" t="s">
        <v>1609</v>
      </c>
      <c r="C1996" s="376" t="s">
        <v>1051</v>
      </c>
      <c r="D1996" s="376">
        <v>2023</v>
      </c>
      <c r="E1996" s="376">
        <v>2031</v>
      </c>
      <c r="F1996" s="376">
        <v>1</v>
      </c>
      <c r="G1996" s="376">
        <v>6101.463203368502</v>
      </c>
      <c r="H1996" s="376">
        <v>0</v>
      </c>
      <c r="I1996" s="376">
        <v>1</v>
      </c>
    </row>
    <row r="1997" spans="1:9" x14ac:dyDescent="0.35">
      <c r="A1997" s="376" t="s">
        <v>1603</v>
      </c>
      <c r="B1997" s="376" t="s">
        <v>1609</v>
      </c>
      <c r="C1997" s="376" t="s">
        <v>1054</v>
      </c>
      <c r="D1997" s="376">
        <v>2023</v>
      </c>
      <c r="E1997" s="376">
        <v>2031</v>
      </c>
      <c r="F1997" s="376">
        <v>1</v>
      </c>
      <c r="G1997" s="376">
        <v>6101.463203368502</v>
      </c>
      <c r="H1997" s="376">
        <v>0</v>
      </c>
      <c r="I1997" s="376">
        <v>1</v>
      </c>
    </row>
    <row r="1998" spans="1:9" x14ac:dyDescent="0.35">
      <c r="A1998" s="376" t="s">
        <v>1605</v>
      </c>
      <c r="B1998" s="376" t="s">
        <v>1609</v>
      </c>
      <c r="C1998" s="376" t="s">
        <v>1046</v>
      </c>
      <c r="D1998" s="376">
        <v>2023</v>
      </c>
      <c r="E1998" s="376">
        <v>2023</v>
      </c>
      <c r="F1998" s="376">
        <v>0.23884589662749595</v>
      </c>
      <c r="G1998" s="376">
        <v>10426.102375692073</v>
      </c>
      <c r="H1998" s="376">
        <v>0</v>
      </c>
      <c r="I1998" s="376">
        <v>1</v>
      </c>
    </row>
    <row r="1999" spans="1:9" x14ac:dyDescent="0.35">
      <c r="A1999" s="376" t="s">
        <v>1605</v>
      </c>
      <c r="B1999" s="376" t="s">
        <v>1609</v>
      </c>
      <c r="C1999" s="376" t="s">
        <v>644</v>
      </c>
      <c r="D1999" s="376">
        <v>2023</v>
      </c>
      <c r="E1999" s="376">
        <v>2023</v>
      </c>
      <c r="F1999" s="376">
        <v>0.23884589662749595</v>
      </c>
      <c r="G1999" s="376">
        <v>10426.102375692073</v>
      </c>
      <c r="H1999" s="376">
        <v>0</v>
      </c>
      <c r="I1999" s="376">
        <v>1</v>
      </c>
    </row>
    <row r="2000" spans="1:9" x14ac:dyDescent="0.35">
      <c r="A2000" s="376" t="s">
        <v>1605</v>
      </c>
      <c r="B2000" s="376" t="s">
        <v>1609</v>
      </c>
      <c r="C2000" s="376" t="s">
        <v>628</v>
      </c>
      <c r="D2000" s="376">
        <v>2023</v>
      </c>
      <c r="E2000" s="376">
        <v>2023</v>
      </c>
      <c r="F2000" s="376">
        <v>0.23884589662749595</v>
      </c>
      <c r="G2000" s="376">
        <v>10426.102375692073</v>
      </c>
      <c r="H2000" s="376">
        <v>0</v>
      </c>
      <c r="I2000" s="376">
        <v>1</v>
      </c>
    </row>
    <row r="2001" spans="1:9" x14ac:dyDescent="0.35">
      <c r="A2001" s="376" t="s">
        <v>1605</v>
      </c>
      <c r="B2001" s="376" t="s">
        <v>1609</v>
      </c>
      <c r="C2001" s="376" t="s">
        <v>1051</v>
      </c>
      <c r="D2001" s="376">
        <v>2023</v>
      </c>
      <c r="E2001" s="376">
        <v>2023</v>
      </c>
      <c r="F2001" s="376">
        <v>0.23884589662749595</v>
      </c>
      <c r="G2001" s="376">
        <v>10426.102375692073</v>
      </c>
      <c r="H2001" s="376">
        <v>0</v>
      </c>
      <c r="I2001" s="376">
        <v>1</v>
      </c>
    </row>
    <row r="2002" spans="1:9" x14ac:dyDescent="0.35">
      <c r="A2002" s="376" t="s">
        <v>1605</v>
      </c>
      <c r="B2002" s="376" t="s">
        <v>1609</v>
      </c>
      <c r="C2002" s="376" t="s">
        <v>1054</v>
      </c>
      <c r="D2002" s="376">
        <v>2023</v>
      </c>
      <c r="E2002" s="376">
        <v>2023</v>
      </c>
      <c r="F2002" s="376">
        <v>0.23884589662749595</v>
      </c>
      <c r="G2002" s="376">
        <v>10426.102375692073</v>
      </c>
      <c r="H2002" s="376">
        <v>0</v>
      </c>
      <c r="I2002" s="376">
        <v>1</v>
      </c>
    </row>
    <row r="2003" spans="1:9" x14ac:dyDescent="0.35">
      <c r="A2003" s="376" t="s">
        <v>1605</v>
      </c>
      <c r="B2003" s="376" t="s">
        <v>1609</v>
      </c>
      <c r="C2003" s="376" t="s">
        <v>1046</v>
      </c>
      <c r="D2003" s="376">
        <v>2023</v>
      </c>
      <c r="E2003" s="376">
        <v>2024</v>
      </c>
      <c r="F2003" s="376">
        <v>0.23884589662749595</v>
      </c>
      <c r="G2003" s="376">
        <v>10426.102375692073</v>
      </c>
      <c r="H2003" s="376">
        <v>0</v>
      </c>
      <c r="I2003" s="376">
        <v>1</v>
      </c>
    </row>
    <row r="2004" spans="1:9" x14ac:dyDescent="0.35">
      <c r="A2004" s="376" t="s">
        <v>1605</v>
      </c>
      <c r="B2004" s="376" t="s">
        <v>1609</v>
      </c>
      <c r="C2004" s="376" t="s">
        <v>644</v>
      </c>
      <c r="D2004" s="376">
        <v>2023</v>
      </c>
      <c r="E2004" s="376">
        <v>2024</v>
      </c>
      <c r="F2004" s="376">
        <v>0.23884589662749595</v>
      </c>
      <c r="G2004" s="376">
        <v>10426.102375692073</v>
      </c>
      <c r="H2004" s="376">
        <v>0</v>
      </c>
      <c r="I2004" s="376">
        <v>1</v>
      </c>
    </row>
    <row r="2005" spans="1:9" x14ac:dyDescent="0.35">
      <c r="A2005" s="376" t="s">
        <v>1605</v>
      </c>
      <c r="B2005" s="376" t="s">
        <v>1609</v>
      </c>
      <c r="C2005" s="376" t="s">
        <v>628</v>
      </c>
      <c r="D2005" s="376">
        <v>2023</v>
      </c>
      <c r="E2005" s="376">
        <v>2024</v>
      </c>
      <c r="F2005" s="376">
        <v>0.23884589662749595</v>
      </c>
      <c r="G2005" s="376">
        <v>10426.102375692073</v>
      </c>
      <c r="H2005" s="376">
        <v>0</v>
      </c>
      <c r="I2005" s="376">
        <v>1</v>
      </c>
    </row>
    <row r="2006" spans="1:9" x14ac:dyDescent="0.35">
      <c r="A2006" s="376" t="s">
        <v>1605</v>
      </c>
      <c r="B2006" s="376" t="s">
        <v>1609</v>
      </c>
      <c r="C2006" s="376" t="s">
        <v>1051</v>
      </c>
      <c r="D2006" s="376">
        <v>2023</v>
      </c>
      <c r="E2006" s="376">
        <v>2024</v>
      </c>
      <c r="F2006" s="376">
        <v>0.23884589662749595</v>
      </c>
      <c r="G2006" s="376">
        <v>10426.102375692073</v>
      </c>
      <c r="H2006" s="376">
        <v>0</v>
      </c>
      <c r="I2006" s="376">
        <v>1</v>
      </c>
    </row>
    <row r="2007" spans="1:9" x14ac:dyDescent="0.35">
      <c r="A2007" s="376" t="s">
        <v>1605</v>
      </c>
      <c r="B2007" s="376" t="s">
        <v>1609</v>
      </c>
      <c r="C2007" s="376" t="s">
        <v>1054</v>
      </c>
      <c r="D2007" s="376">
        <v>2023</v>
      </c>
      <c r="E2007" s="376">
        <v>2024</v>
      </c>
      <c r="F2007" s="376">
        <v>0.23884589662749595</v>
      </c>
      <c r="G2007" s="376">
        <v>10426.102375692073</v>
      </c>
      <c r="H2007" s="376">
        <v>0</v>
      </c>
      <c r="I2007" s="376">
        <v>1</v>
      </c>
    </row>
    <row r="2008" spans="1:9" x14ac:dyDescent="0.35">
      <c r="A2008" s="376" t="s">
        <v>1605</v>
      </c>
      <c r="B2008" s="376" t="s">
        <v>1609</v>
      </c>
      <c r="C2008" s="376" t="s">
        <v>1046</v>
      </c>
      <c r="D2008" s="376">
        <v>2023</v>
      </c>
      <c r="E2008" s="376">
        <v>2025</v>
      </c>
      <c r="F2008" s="376">
        <v>0.23884589662749595</v>
      </c>
      <c r="G2008" s="376">
        <v>10426.102375692073</v>
      </c>
      <c r="H2008" s="376">
        <v>0</v>
      </c>
      <c r="I2008" s="376">
        <v>1</v>
      </c>
    </row>
    <row r="2009" spans="1:9" x14ac:dyDescent="0.35">
      <c r="A2009" s="376" t="s">
        <v>1605</v>
      </c>
      <c r="B2009" s="376" t="s">
        <v>1609</v>
      </c>
      <c r="C2009" s="376" t="s">
        <v>644</v>
      </c>
      <c r="D2009" s="376">
        <v>2023</v>
      </c>
      <c r="E2009" s="376">
        <v>2025</v>
      </c>
      <c r="F2009" s="376">
        <v>0.23884589662749595</v>
      </c>
      <c r="G2009" s="376">
        <v>10426.102375692073</v>
      </c>
      <c r="H2009" s="376">
        <v>0</v>
      </c>
      <c r="I2009" s="376">
        <v>1</v>
      </c>
    </row>
    <row r="2010" spans="1:9" x14ac:dyDescent="0.35">
      <c r="A2010" s="376" t="s">
        <v>1605</v>
      </c>
      <c r="B2010" s="376" t="s">
        <v>1609</v>
      </c>
      <c r="C2010" s="376" t="s">
        <v>628</v>
      </c>
      <c r="D2010" s="376">
        <v>2023</v>
      </c>
      <c r="E2010" s="376">
        <v>2025</v>
      </c>
      <c r="F2010" s="376">
        <v>0.23884589662749595</v>
      </c>
      <c r="G2010" s="376">
        <v>10426.102375692073</v>
      </c>
      <c r="H2010" s="376">
        <v>0</v>
      </c>
      <c r="I2010" s="376">
        <v>1</v>
      </c>
    </row>
    <row r="2011" spans="1:9" x14ac:dyDescent="0.35">
      <c r="A2011" s="376" t="s">
        <v>1605</v>
      </c>
      <c r="B2011" s="376" t="s">
        <v>1609</v>
      </c>
      <c r="C2011" s="376" t="s">
        <v>1051</v>
      </c>
      <c r="D2011" s="376">
        <v>2023</v>
      </c>
      <c r="E2011" s="376">
        <v>2025</v>
      </c>
      <c r="F2011" s="376">
        <v>0.23884589662749595</v>
      </c>
      <c r="G2011" s="376">
        <v>10426.102375692073</v>
      </c>
      <c r="H2011" s="376">
        <v>0</v>
      </c>
      <c r="I2011" s="376">
        <v>1</v>
      </c>
    </row>
    <row r="2012" spans="1:9" x14ac:dyDescent="0.35">
      <c r="A2012" s="376" t="s">
        <v>1605</v>
      </c>
      <c r="B2012" s="376" t="s">
        <v>1609</v>
      </c>
      <c r="C2012" s="376" t="s">
        <v>1054</v>
      </c>
      <c r="D2012" s="376">
        <v>2023</v>
      </c>
      <c r="E2012" s="376">
        <v>2025</v>
      </c>
      <c r="F2012" s="376">
        <v>0.23884589662749595</v>
      </c>
      <c r="G2012" s="376">
        <v>10426.102375692073</v>
      </c>
      <c r="H2012" s="376">
        <v>0</v>
      </c>
      <c r="I2012" s="376">
        <v>1</v>
      </c>
    </row>
    <row r="2013" spans="1:9" x14ac:dyDescent="0.35">
      <c r="A2013" s="376" t="s">
        <v>1605</v>
      </c>
      <c r="B2013" s="376" t="s">
        <v>1609</v>
      </c>
      <c r="C2013" s="376" t="s">
        <v>1046</v>
      </c>
      <c r="D2013" s="376">
        <v>2023</v>
      </c>
      <c r="E2013" s="376">
        <v>2026</v>
      </c>
      <c r="F2013" s="376">
        <v>0.23884589662749595</v>
      </c>
      <c r="G2013" s="376">
        <v>10426.102375692073</v>
      </c>
      <c r="H2013" s="376">
        <v>0</v>
      </c>
      <c r="I2013" s="376">
        <v>1</v>
      </c>
    </row>
    <row r="2014" spans="1:9" x14ac:dyDescent="0.35">
      <c r="A2014" s="376" t="s">
        <v>1605</v>
      </c>
      <c r="B2014" s="376" t="s">
        <v>1609</v>
      </c>
      <c r="C2014" s="376" t="s">
        <v>644</v>
      </c>
      <c r="D2014" s="376">
        <v>2023</v>
      </c>
      <c r="E2014" s="376">
        <v>2026</v>
      </c>
      <c r="F2014" s="376">
        <v>0.23884589662749595</v>
      </c>
      <c r="G2014" s="376">
        <v>10426.102375692073</v>
      </c>
      <c r="H2014" s="376">
        <v>0</v>
      </c>
      <c r="I2014" s="376">
        <v>1</v>
      </c>
    </row>
    <row r="2015" spans="1:9" x14ac:dyDescent="0.35">
      <c r="A2015" s="376" t="s">
        <v>1605</v>
      </c>
      <c r="B2015" s="376" t="s">
        <v>1609</v>
      </c>
      <c r="C2015" s="376" t="s">
        <v>628</v>
      </c>
      <c r="D2015" s="376">
        <v>2023</v>
      </c>
      <c r="E2015" s="376">
        <v>2026</v>
      </c>
      <c r="F2015" s="376">
        <v>0.23884589662749595</v>
      </c>
      <c r="G2015" s="376">
        <v>10426.102375692073</v>
      </c>
      <c r="H2015" s="376">
        <v>0</v>
      </c>
      <c r="I2015" s="376">
        <v>1</v>
      </c>
    </row>
    <row r="2016" spans="1:9" x14ac:dyDescent="0.35">
      <c r="A2016" s="376" t="s">
        <v>1605</v>
      </c>
      <c r="B2016" s="376" t="s">
        <v>1609</v>
      </c>
      <c r="C2016" s="376" t="s">
        <v>1051</v>
      </c>
      <c r="D2016" s="376">
        <v>2023</v>
      </c>
      <c r="E2016" s="376">
        <v>2026</v>
      </c>
      <c r="F2016" s="376">
        <v>0.23884589662749595</v>
      </c>
      <c r="G2016" s="376">
        <v>10426.102375692073</v>
      </c>
      <c r="H2016" s="376">
        <v>0</v>
      </c>
      <c r="I2016" s="376">
        <v>1</v>
      </c>
    </row>
    <row r="2017" spans="1:9" x14ac:dyDescent="0.35">
      <c r="A2017" s="376" t="s">
        <v>1605</v>
      </c>
      <c r="B2017" s="376" t="s">
        <v>1609</v>
      </c>
      <c r="C2017" s="376" t="s">
        <v>1054</v>
      </c>
      <c r="D2017" s="376">
        <v>2023</v>
      </c>
      <c r="E2017" s="376">
        <v>2026</v>
      </c>
      <c r="F2017" s="376">
        <v>0.23884589662749595</v>
      </c>
      <c r="G2017" s="376">
        <v>10426.102375692073</v>
      </c>
      <c r="H2017" s="376">
        <v>0</v>
      </c>
      <c r="I2017" s="376">
        <v>1</v>
      </c>
    </row>
    <row r="2018" spans="1:9" x14ac:dyDescent="0.35">
      <c r="A2018" s="376" t="s">
        <v>1605</v>
      </c>
      <c r="B2018" s="376" t="s">
        <v>1609</v>
      </c>
      <c r="C2018" s="376" t="s">
        <v>1046</v>
      </c>
      <c r="D2018" s="376">
        <v>2023</v>
      </c>
      <c r="E2018" s="376">
        <v>2027</v>
      </c>
      <c r="F2018" s="376">
        <v>0.23884589662749595</v>
      </c>
      <c r="G2018" s="376">
        <v>10426.102375692073</v>
      </c>
      <c r="H2018" s="376">
        <v>0</v>
      </c>
      <c r="I2018" s="376">
        <v>1</v>
      </c>
    </row>
    <row r="2019" spans="1:9" x14ac:dyDescent="0.35">
      <c r="A2019" s="376" t="s">
        <v>1605</v>
      </c>
      <c r="B2019" s="376" t="s">
        <v>1609</v>
      </c>
      <c r="C2019" s="376" t="s">
        <v>644</v>
      </c>
      <c r="D2019" s="376">
        <v>2023</v>
      </c>
      <c r="E2019" s="376">
        <v>2027</v>
      </c>
      <c r="F2019" s="376">
        <v>0.23884589662749595</v>
      </c>
      <c r="G2019" s="376">
        <v>10426.102375692073</v>
      </c>
      <c r="H2019" s="376">
        <v>0</v>
      </c>
      <c r="I2019" s="376">
        <v>1</v>
      </c>
    </row>
    <row r="2020" spans="1:9" x14ac:dyDescent="0.35">
      <c r="A2020" s="376" t="s">
        <v>1605</v>
      </c>
      <c r="B2020" s="376" t="s">
        <v>1609</v>
      </c>
      <c r="C2020" s="376" t="s">
        <v>628</v>
      </c>
      <c r="D2020" s="376">
        <v>2023</v>
      </c>
      <c r="E2020" s="376">
        <v>2027</v>
      </c>
      <c r="F2020" s="376">
        <v>0.23884589662749595</v>
      </c>
      <c r="G2020" s="376">
        <v>10426.102375692073</v>
      </c>
      <c r="H2020" s="376">
        <v>0</v>
      </c>
      <c r="I2020" s="376">
        <v>1</v>
      </c>
    </row>
    <row r="2021" spans="1:9" x14ac:dyDescent="0.35">
      <c r="A2021" s="376" t="s">
        <v>1605</v>
      </c>
      <c r="B2021" s="376" t="s">
        <v>1609</v>
      </c>
      <c r="C2021" s="376" t="s">
        <v>1051</v>
      </c>
      <c r="D2021" s="376">
        <v>2023</v>
      </c>
      <c r="E2021" s="376">
        <v>2027</v>
      </c>
      <c r="F2021" s="376">
        <v>0.23884589662749595</v>
      </c>
      <c r="G2021" s="376">
        <v>10426.102375692073</v>
      </c>
      <c r="H2021" s="376">
        <v>0</v>
      </c>
      <c r="I2021" s="376">
        <v>1</v>
      </c>
    </row>
    <row r="2022" spans="1:9" x14ac:dyDescent="0.35">
      <c r="A2022" s="376" t="s">
        <v>1605</v>
      </c>
      <c r="B2022" s="376" t="s">
        <v>1609</v>
      </c>
      <c r="C2022" s="376" t="s">
        <v>1054</v>
      </c>
      <c r="D2022" s="376">
        <v>2023</v>
      </c>
      <c r="E2022" s="376">
        <v>2027</v>
      </c>
      <c r="F2022" s="376">
        <v>0.23884589662749595</v>
      </c>
      <c r="G2022" s="376">
        <v>10426.102375692073</v>
      </c>
      <c r="H2022" s="376">
        <v>0</v>
      </c>
      <c r="I2022" s="376">
        <v>1</v>
      </c>
    </row>
    <row r="2023" spans="1:9" x14ac:dyDescent="0.35">
      <c r="A2023" s="376" t="s">
        <v>1605</v>
      </c>
      <c r="B2023" s="376" t="s">
        <v>1609</v>
      </c>
      <c r="C2023" s="376" t="s">
        <v>1046</v>
      </c>
      <c r="D2023" s="376">
        <v>2023</v>
      </c>
      <c r="E2023" s="376">
        <v>2028</v>
      </c>
      <c r="F2023" s="376">
        <v>0.23884589662749595</v>
      </c>
      <c r="G2023" s="376">
        <v>10426.102375692073</v>
      </c>
      <c r="H2023" s="376">
        <v>0</v>
      </c>
      <c r="I2023" s="376">
        <v>1</v>
      </c>
    </row>
    <row r="2024" spans="1:9" x14ac:dyDescent="0.35">
      <c r="A2024" s="376" t="s">
        <v>1605</v>
      </c>
      <c r="B2024" s="376" t="s">
        <v>1609</v>
      </c>
      <c r="C2024" s="376" t="s">
        <v>644</v>
      </c>
      <c r="D2024" s="376">
        <v>2023</v>
      </c>
      <c r="E2024" s="376">
        <v>2028</v>
      </c>
      <c r="F2024" s="376">
        <v>0.23884589662749595</v>
      </c>
      <c r="G2024" s="376">
        <v>10426.102375692073</v>
      </c>
      <c r="H2024" s="376">
        <v>0</v>
      </c>
      <c r="I2024" s="376">
        <v>1</v>
      </c>
    </row>
    <row r="2025" spans="1:9" x14ac:dyDescent="0.35">
      <c r="A2025" s="376" t="s">
        <v>1605</v>
      </c>
      <c r="B2025" s="376" t="s">
        <v>1609</v>
      </c>
      <c r="C2025" s="376" t="s">
        <v>628</v>
      </c>
      <c r="D2025" s="376">
        <v>2023</v>
      </c>
      <c r="E2025" s="376">
        <v>2028</v>
      </c>
      <c r="F2025" s="376">
        <v>0.23884589662749595</v>
      </c>
      <c r="G2025" s="376">
        <v>10426.102375692073</v>
      </c>
      <c r="H2025" s="376">
        <v>0</v>
      </c>
      <c r="I2025" s="376">
        <v>1</v>
      </c>
    </row>
    <row r="2026" spans="1:9" x14ac:dyDescent="0.35">
      <c r="A2026" s="376" t="s">
        <v>1605</v>
      </c>
      <c r="B2026" s="376" t="s">
        <v>1609</v>
      </c>
      <c r="C2026" s="376" t="s">
        <v>1051</v>
      </c>
      <c r="D2026" s="376">
        <v>2023</v>
      </c>
      <c r="E2026" s="376">
        <v>2028</v>
      </c>
      <c r="F2026" s="376">
        <v>0.23884589662749595</v>
      </c>
      <c r="G2026" s="376">
        <v>10426.102375692073</v>
      </c>
      <c r="H2026" s="376">
        <v>0</v>
      </c>
      <c r="I2026" s="376">
        <v>1</v>
      </c>
    </row>
    <row r="2027" spans="1:9" x14ac:dyDescent="0.35">
      <c r="A2027" s="376" t="s">
        <v>1605</v>
      </c>
      <c r="B2027" s="376" t="s">
        <v>1609</v>
      </c>
      <c r="C2027" s="376" t="s">
        <v>1054</v>
      </c>
      <c r="D2027" s="376">
        <v>2023</v>
      </c>
      <c r="E2027" s="376">
        <v>2028</v>
      </c>
      <c r="F2027" s="376">
        <v>0.23884589662749595</v>
      </c>
      <c r="G2027" s="376">
        <v>10426.102375692073</v>
      </c>
      <c r="H2027" s="376">
        <v>0</v>
      </c>
      <c r="I2027" s="376">
        <v>1</v>
      </c>
    </row>
    <row r="2028" spans="1:9" x14ac:dyDescent="0.35">
      <c r="A2028" s="376" t="s">
        <v>1605</v>
      </c>
      <c r="B2028" s="376" t="s">
        <v>1609</v>
      </c>
      <c r="C2028" s="376" t="s">
        <v>1046</v>
      </c>
      <c r="D2028" s="376">
        <v>2023</v>
      </c>
      <c r="E2028" s="376">
        <v>2029</v>
      </c>
      <c r="F2028" s="376">
        <v>0.23884589662749595</v>
      </c>
      <c r="G2028" s="376">
        <v>10426.102375692073</v>
      </c>
      <c r="H2028" s="376">
        <v>0</v>
      </c>
      <c r="I2028" s="376">
        <v>1</v>
      </c>
    </row>
    <row r="2029" spans="1:9" x14ac:dyDescent="0.35">
      <c r="A2029" s="376" t="s">
        <v>1605</v>
      </c>
      <c r="B2029" s="376" t="s">
        <v>1609</v>
      </c>
      <c r="C2029" s="376" t="s">
        <v>644</v>
      </c>
      <c r="D2029" s="376">
        <v>2023</v>
      </c>
      <c r="E2029" s="376">
        <v>2029</v>
      </c>
      <c r="F2029" s="376">
        <v>0.23884589662749595</v>
      </c>
      <c r="G2029" s="376">
        <v>10426.102375692073</v>
      </c>
      <c r="H2029" s="376">
        <v>0</v>
      </c>
      <c r="I2029" s="376">
        <v>1</v>
      </c>
    </row>
    <row r="2030" spans="1:9" x14ac:dyDescent="0.35">
      <c r="A2030" s="376" t="s">
        <v>1605</v>
      </c>
      <c r="B2030" s="376" t="s">
        <v>1609</v>
      </c>
      <c r="C2030" s="376" t="s">
        <v>628</v>
      </c>
      <c r="D2030" s="376">
        <v>2023</v>
      </c>
      <c r="E2030" s="376">
        <v>2029</v>
      </c>
      <c r="F2030" s="376">
        <v>0.23884589662749595</v>
      </c>
      <c r="G2030" s="376">
        <v>10426.102375692073</v>
      </c>
      <c r="H2030" s="376">
        <v>0</v>
      </c>
      <c r="I2030" s="376">
        <v>1</v>
      </c>
    </row>
    <row r="2031" spans="1:9" x14ac:dyDescent="0.35">
      <c r="A2031" s="376" t="s">
        <v>1605</v>
      </c>
      <c r="B2031" s="376" t="s">
        <v>1609</v>
      </c>
      <c r="C2031" s="376" t="s">
        <v>1051</v>
      </c>
      <c r="D2031" s="376">
        <v>2023</v>
      </c>
      <c r="E2031" s="376">
        <v>2029</v>
      </c>
      <c r="F2031" s="376">
        <v>0.23884589662749595</v>
      </c>
      <c r="G2031" s="376">
        <v>10426.102375692073</v>
      </c>
      <c r="H2031" s="376">
        <v>0</v>
      </c>
      <c r="I2031" s="376">
        <v>1</v>
      </c>
    </row>
    <row r="2032" spans="1:9" x14ac:dyDescent="0.35">
      <c r="A2032" s="376" t="s">
        <v>1605</v>
      </c>
      <c r="B2032" s="376" t="s">
        <v>1609</v>
      </c>
      <c r="C2032" s="376" t="s">
        <v>1054</v>
      </c>
      <c r="D2032" s="376">
        <v>2023</v>
      </c>
      <c r="E2032" s="376">
        <v>2029</v>
      </c>
      <c r="F2032" s="376">
        <v>0.23884589662749595</v>
      </c>
      <c r="G2032" s="376">
        <v>10426.102375692073</v>
      </c>
      <c r="H2032" s="376">
        <v>0</v>
      </c>
      <c r="I2032" s="376">
        <v>1</v>
      </c>
    </row>
    <row r="2033" spans="1:9" x14ac:dyDescent="0.35">
      <c r="A2033" s="376" t="s">
        <v>1605</v>
      </c>
      <c r="B2033" s="376" t="s">
        <v>1609</v>
      </c>
      <c r="C2033" s="376" t="s">
        <v>1046</v>
      </c>
      <c r="D2033" s="376">
        <v>2023</v>
      </c>
      <c r="E2033" s="376">
        <v>2030</v>
      </c>
      <c r="F2033" s="376">
        <v>0.23884589662749595</v>
      </c>
      <c r="G2033" s="376">
        <v>10426.102375692073</v>
      </c>
      <c r="H2033" s="376">
        <v>0</v>
      </c>
      <c r="I2033" s="376">
        <v>1</v>
      </c>
    </row>
    <row r="2034" spans="1:9" x14ac:dyDescent="0.35">
      <c r="A2034" s="376" t="s">
        <v>1605</v>
      </c>
      <c r="B2034" s="376" t="s">
        <v>1609</v>
      </c>
      <c r="C2034" s="376" t="s">
        <v>644</v>
      </c>
      <c r="D2034" s="376">
        <v>2023</v>
      </c>
      <c r="E2034" s="376">
        <v>2030</v>
      </c>
      <c r="F2034" s="376">
        <v>0.23884589662749595</v>
      </c>
      <c r="G2034" s="376">
        <v>10426.102375692073</v>
      </c>
      <c r="H2034" s="376">
        <v>0</v>
      </c>
      <c r="I2034" s="376">
        <v>1</v>
      </c>
    </row>
    <row r="2035" spans="1:9" x14ac:dyDescent="0.35">
      <c r="A2035" s="376" t="s">
        <v>1605</v>
      </c>
      <c r="B2035" s="376" t="s">
        <v>1609</v>
      </c>
      <c r="C2035" s="376" t="s">
        <v>628</v>
      </c>
      <c r="D2035" s="376">
        <v>2023</v>
      </c>
      <c r="E2035" s="376">
        <v>2030</v>
      </c>
      <c r="F2035" s="376">
        <v>0.23884589662749595</v>
      </c>
      <c r="G2035" s="376">
        <v>10426.102375692073</v>
      </c>
      <c r="H2035" s="376">
        <v>0</v>
      </c>
      <c r="I2035" s="376">
        <v>1</v>
      </c>
    </row>
    <row r="2036" spans="1:9" x14ac:dyDescent="0.35">
      <c r="A2036" s="376" t="s">
        <v>1605</v>
      </c>
      <c r="B2036" s="376" t="s">
        <v>1609</v>
      </c>
      <c r="C2036" s="376" t="s">
        <v>1051</v>
      </c>
      <c r="D2036" s="376">
        <v>2023</v>
      </c>
      <c r="E2036" s="376">
        <v>2030</v>
      </c>
      <c r="F2036" s="376">
        <v>0.23884589662749595</v>
      </c>
      <c r="G2036" s="376">
        <v>10426.102375692073</v>
      </c>
      <c r="H2036" s="376">
        <v>0</v>
      </c>
      <c r="I2036" s="376">
        <v>1</v>
      </c>
    </row>
    <row r="2037" spans="1:9" x14ac:dyDescent="0.35">
      <c r="A2037" s="376" t="s">
        <v>1605</v>
      </c>
      <c r="B2037" s="376" t="s">
        <v>1609</v>
      </c>
      <c r="C2037" s="376" t="s">
        <v>1054</v>
      </c>
      <c r="D2037" s="376">
        <v>2023</v>
      </c>
      <c r="E2037" s="376">
        <v>2030</v>
      </c>
      <c r="F2037" s="376">
        <v>0.23884589662749595</v>
      </c>
      <c r="G2037" s="376">
        <v>10426.102375692073</v>
      </c>
      <c r="H2037" s="376">
        <v>0</v>
      </c>
      <c r="I2037" s="376">
        <v>1</v>
      </c>
    </row>
    <row r="2038" spans="1:9" x14ac:dyDescent="0.35">
      <c r="A2038" s="376" t="s">
        <v>1605</v>
      </c>
      <c r="B2038" s="376" t="s">
        <v>1609</v>
      </c>
      <c r="C2038" s="376" t="s">
        <v>1046</v>
      </c>
      <c r="D2038" s="376">
        <v>2023</v>
      </c>
      <c r="E2038" s="376">
        <v>2031</v>
      </c>
      <c r="F2038" s="376">
        <v>0.23884589662749595</v>
      </c>
      <c r="G2038" s="376">
        <v>10426.102375692073</v>
      </c>
      <c r="H2038" s="376">
        <v>0</v>
      </c>
      <c r="I2038" s="376">
        <v>1</v>
      </c>
    </row>
    <row r="2039" spans="1:9" x14ac:dyDescent="0.35">
      <c r="A2039" s="376" t="s">
        <v>1605</v>
      </c>
      <c r="B2039" s="376" t="s">
        <v>1609</v>
      </c>
      <c r="C2039" s="376" t="s">
        <v>644</v>
      </c>
      <c r="D2039" s="376">
        <v>2023</v>
      </c>
      <c r="E2039" s="376">
        <v>2031</v>
      </c>
      <c r="F2039" s="376">
        <v>0.23884589662749595</v>
      </c>
      <c r="G2039" s="376">
        <v>10426.102375692073</v>
      </c>
      <c r="H2039" s="376">
        <v>0</v>
      </c>
      <c r="I2039" s="376">
        <v>1</v>
      </c>
    </row>
    <row r="2040" spans="1:9" x14ac:dyDescent="0.35">
      <c r="A2040" s="376" t="s">
        <v>1605</v>
      </c>
      <c r="B2040" s="376" t="s">
        <v>1609</v>
      </c>
      <c r="C2040" s="376" t="s">
        <v>628</v>
      </c>
      <c r="D2040" s="376">
        <v>2023</v>
      </c>
      <c r="E2040" s="376">
        <v>2031</v>
      </c>
      <c r="F2040" s="376">
        <v>0.23884589662749595</v>
      </c>
      <c r="G2040" s="376">
        <v>10426.102375692073</v>
      </c>
      <c r="H2040" s="376">
        <v>0</v>
      </c>
      <c r="I2040" s="376">
        <v>1</v>
      </c>
    </row>
    <row r="2041" spans="1:9" x14ac:dyDescent="0.35">
      <c r="A2041" s="376" t="s">
        <v>1605</v>
      </c>
      <c r="B2041" s="376" t="s">
        <v>1609</v>
      </c>
      <c r="C2041" s="376" t="s">
        <v>1051</v>
      </c>
      <c r="D2041" s="376">
        <v>2023</v>
      </c>
      <c r="E2041" s="376">
        <v>2031</v>
      </c>
      <c r="F2041" s="376">
        <v>0.23884589662749595</v>
      </c>
      <c r="G2041" s="376">
        <v>10426.102375692073</v>
      </c>
      <c r="H2041" s="376">
        <v>0</v>
      </c>
      <c r="I2041" s="376">
        <v>1</v>
      </c>
    </row>
    <row r="2042" spans="1:9" x14ac:dyDescent="0.35">
      <c r="A2042" s="376" t="s">
        <v>1605</v>
      </c>
      <c r="B2042" s="376" t="s">
        <v>1609</v>
      </c>
      <c r="C2042" s="376" t="s">
        <v>1054</v>
      </c>
      <c r="D2042" s="376">
        <v>2023</v>
      </c>
      <c r="E2042" s="376">
        <v>2031</v>
      </c>
      <c r="F2042" s="376">
        <v>0.23884589662749595</v>
      </c>
      <c r="G2042" s="376">
        <v>10426.102375692073</v>
      </c>
      <c r="H2042" s="376">
        <v>0</v>
      </c>
      <c r="I2042" s="376">
        <v>1</v>
      </c>
    </row>
    <row r="2043" spans="1:9" x14ac:dyDescent="0.35">
      <c r="A2043" s="376" t="s">
        <v>1636</v>
      </c>
      <c r="B2043" s="376" t="s">
        <v>1609</v>
      </c>
      <c r="C2043" s="376" t="s">
        <v>1046</v>
      </c>
      <c r="D2043" s="376">
        <v>2023</v>
      </c>
      <c r="E2043" s="376">
        <v>2023</v>
      </c>
      <c r="F2043" s="376">
        <v>1</v>
      </c>
      <c r="G2043" s="376">
        <v>3665.8925610089368</v>
      </c>
      <c r="H2043" s="376">
        <v>0</v>
      </c>
      <c r="I2043" s="376">
        <v>1</v>
      </c>
    </row>
    <row r="2044" spans="1:9" x14ac:dyDescent="0.35">
      <c r="A2044" s="376" t="s">
        <v>1636</v>
      </c>
      <c r="B2044" s="376" t="s">
        <v>1609</v>
      </c>
      <c r="C2044" s="376" t="s">
        <v>644</v>
      </c>
      <c r="D2044" s="376">
        <v>2023</v>
      </c>
      <c r="E2044" s="376">
        <v>2023</v>
      </c>
      <c r="F2044" s="376">
        <v>1</v>
      </c>
      <c r="G2044" s="376">
        <v>3665.8925610089368</v>
      </c>
      <c r="H2044" s="376">
        <v>0</v>
      </c>
      <c r="I2044" s="376">
        <v>1</v>
      </c>
    </row>
    <row r="2045" spans="1:9" x14ac:dyDescent="0.35">
      <c r="A2045" s="376" t="s">
        <v>1636</v>
      </c>
      <c r="B2045" s="376" t="s">
        <v>1609</v>
      </c>
      <c r="C2045" s="376" t="s">
        <v>628</v>
      </c>
      <c r="D2045" s="376">
        <v>2023</v>
      </c>
      <c r="E2045" s="376">
        <v>2023</v>
      </c>
      <c r="F2045" s="376">
        <v>1</v>
      </c>
      <c r="G2045" s="376">
        <v>3665.8925610089368</v>
      </c>
      <c r="H2045" s="376">
        <v>0</v>
      </c>
      <c r="I2045" s="376">
        <v>1</v>
      </c>
    </row>
    <row r="2046" spans="1:9" x14ac:dyDescent="0.35">
      <c r="A2046" s="376" t="s">
        <v>1636</v>
      </c>
      <c r="B2046" s="376" t="s">
        <v>1609</v>
      </c>
      <c r="C2046" s="376" t="s">
        <v>1051</v>
      </c>
      <c r="D2046" s="376">
        <v>2023</v>
      </c>
      <c r="E2046" s="376">
        <v>2023</v>
      </c>
      <c r="F2046" s="376">
        <v>1</v>
      </c>
      <c r="G2046" s="376">
        <v>3665.8925610089368</v>
      </c>
      <c r="H2046" s="376">
        <v>0</v>
      </c>
      <c r="I2046" s="376">
        <v>1</v>
      </c>
    </row>
    <row r="2047" spans="1:9" x14ac:dyDescent="0.35">
      <c r="A2047" s="376" t="s">
        <v>1636</v>
      </c>
      <c r="B2047" s="376" t="s">
        <v>1609</v>
      </c>
      <c r="C2047" s="376" t="s">
        <v>1054</v>
      </c>
      <c r="D2047" s="376">
        <v>2023</v>
      </c>
      <c r="E2047" s="376">
        <v>2023</v>
      </c>
      <c r="F2047" s="376">
        <v>1</v>
      </c>
      <c r="G2047" s="376">
        <v>3665.8925610089368</v>
      </c>
      <c r="H2047" s="376">
        <v>0</v>
      </c>
      <c r="I2047" s="376">
        <v>1</v>
      </c>
    </row>
    <row r="2048" spans="1:9" x14ac:dyDescent="0.35">
      <c r="A2048" s="376" t="s">
        <v>1636</v>
      </c>
      <c r="B2048" s="376" t="s">
        <v>1609</v>
      </c>
      <c r="C2048" s="376" t="s">
        <v>1046</v>
      </c>
      <c r="D2048" s="376">
        <v>2023</v>
      </c>
      <c r="E2048" s="376">
        <v>2024</v>
      </c>
      <c r="F2048" s="376">
        <v>1</v>
      </c>
      <c r="G2048" s="376">
        <v>3665.8925610089368</v>
      </c>
      <c r="H2048" s="376">
        <v>0</v>
      </c>
      <c r="I2048" s="376">
        <v>1</v>
      </c>
    </row>
    <row r="2049" spans="1:9" x14ac:dyDescent="0.35">
      <c r="A2049" s="376" t="s">
        <v>1636</v>
      </c>
      <c r="B2049" s="376" t="s">
        <v>1609</v>
      </c>
      <c r="C2049" s="376" t="s">
        <v>644</v>
      </c>
      <c r="D2049" s="376">
        <v>2023</v>
      </c>
      <c r="E2049" s="376">
        <v>2024</v>
      </c>
      <c r="F2049" s="376">
        <v>1</v>
      </c>
      <c r="G2049" s="376">
        <v>3665.8925610089368</v>
      </c>
      <c r="H2049" s="376">
        <v>0</v>
      </c>
      <c r="I2049" s="376">
        <v>1</v>
      </c>
    </row>
    <row r="2050" spans="1:9" x14ac:dyDescent="0.35">
      <c r="A2050" s="376" t="s">
        <v>1636</v>
      </c>
      <c r="B2050" s="376" t="s">
        <v>1609</v>
      </c>
      <c r="C2050" s="376" t="s">
        <v>628</v>
      </c>
      <c r="D2050" s="376">
        <v>2023</v>
      </c>
      <c r="E2050" s="376">
        <v>2024</v>
      </c>
      <c r="F2050" s="376">
        <v>1</v>
      </c>
      <c r="G2050" s="376">
        <v>3665.8925610089368</v>
      </c>
      <c r="H2050" s="376">
        <v>0</v>
      </c>
      <c r="I2050" s="376">
        <v>1</v>
      </c>
    </row>
    <row r="2051" spans="1:9" x14ac:dyDescent="0.35">
      <c r="A2051" s="376" t="s">
        <v>1636</v>
      </c>
      <c r="B2051" s="376" t="s">
        <v>1609</v>
      </c>
      <c r="C2051" s="376" t="s">
        <v>1051</v>
      </c>
      <c r="D2051" s="376">
        <v>2023</v>
      </c>
      <c r="E2051" s="376">
        <v>2024</v>
      </c>
      <c r="F2051" s="376">
        <v>1</v>
      </c>
      <c r="G2051" s="376">
        <v>3665.8925610089368</v>
      </c>
      <c r="H2051" s="376">
        <v>0</v>
      </c>
      <c r="I2051" s="376">
        <v>1</v>
      </c>
    </row>
    <row r="2052" spans="1:9" x14ac:dyDescent="0.35">
      <c r="A2052" s="376" t="s">
        <v>1636</v>
      </c>
      <c r="B2052" s="376" t="s">
        <v>1609</v>
      </c>
      <c r="C2052" s="376" t="s">
        <v>1054</v>
      </c>
      <c r="D2052" s="376">
        <v>2023</v>
      </c>
      <c r="E2052" s="376">
        <v>2024</v>
      </c>
      <c r="F2052" s="376">
        <v>1</v>
      </c>
      <c r="G2052" s="376">
        <v>3665.8925610089368</v>
      </c>
      <c r="H2052" s="376">
        <v>0</v>
      </c>
      <c r="I2052" s="376">
        <v>1</v>
      </c>
    </row>
    <row r="2053" spans="1:9" x14ac:dyDescent="0.35">
      <c r="A2053" s="376" t="s">
        <v>1636</v>
      </c>
      <c r="B2053" s="376" t="s">
        <v>1609</v>
      </c>
      <c r="C2053" s="376" t="s">
        <v>1046</v>
      </c>
      <c r="D2053" s="376">
        <v>2023</v>
      </c>
      <c r="E2053" s="376">
        <v>2025</v>
      </c>
      <c r="F2053" s="376">
        <v>1</v>
      </c>
      <c r="G2053" s="376">
        <v>3665.8925610089368</v>
      </c>
      <c r="H2053" s="376">
        <v>0</v>
      </c>
      <c r="I2053" s="376">
        <v>1</v>
      </c>
    </row>
    <row r="2054" spans="1:9" x14ac:dyDescent="0.35">
      <c r="A2054" s="376" t="s">
        <v>1636</v>
      </c>
      <c r="B2054" s="376" t="s">
        <v>1609</v>
      </c>
      <c r="C2054" s="376" t="s">
        <v>644</v>
      </c>
      <c r="D2054" s="376">
        <v>2023</v>
      </c>
      <c r="E2054" s="376">
        <v>2025</v>
      </c>
      <c r="F2054" s="376">
        <v>1</v>
      </c>
      <c r="G2054" s="376">
        <v>3665.8925610089368</v>
      </c>
      <c r="H2054" s="376">
        <v>0</v>
      </c>
      <c r="I2054" s="376">
        <v>1</v>
      </c>
    </row>
    <row r="2055" spans="1:9" x14ac:dyDescent="0.35">
      <c r="A2055" s="376" t="s">
        <v>1636</v>
      </c>
      <c r="B2055" s="376" t="s">
        <v>1609</v>
      </c>
      <c r="C2055" s="376" t="s">
        <v>628</v>
      </c>
      <c r="D2055" s="376">
        <v>2023</v>
      </c>
      <c r="E2055" s="376">
        <v>2025</v>
      </c>
      <c r="F2055" s="376">
        <v>1</v>
      </c>
      <c r="G2055" s="376">
        <v>3665.8925610089368</v>
      </c>
      <c r="H2055" s="376">
        <v>0</v>
      </c>
      <c r="I2055" s="376">
        <v>1</v>
      </c>
    </row>
    <row r="2056" spans="1:9" x14ac:dyDescent="0.35">
      <c r="A2056" s="376" t="s">
        <v>1636</v>
      </c>
      <c r="B2056" s="376" t="s">
        <v>1609</v>
      </c>
      <c r="C2056" s="376" t="s">
        <v>1051</v>
      </c>
      <c r="D2056" s="376">
        <v>2023</v>
      </c>
      <c r="E2056" s="376">
        <v>2025</v>
      </c>
      <c r="F2056" s="376">
        <v>1</v>
      </c>
      <c r="G2056" s="376">
        <v>3665.8925610089368</v>
      </c>
      <c r="H2056" s="376">
        <v>0</v>
      </c>
      <c r="I2056" s="376">
        <v>1</v>
      </c>
    </row>
    <row r="2057" spans="1:9" x14ac:dyDescent="0.35">
      <c r="A2057" s="376" t="s">
        <v>1636</v>
      </c>
      <c r="B2057" s="376" t="s">
        <v>1609</v>
      </c>
      <c r="C2057" s="376" t="s">
        <v>1054</v>
      </c>
      <c r="D2057" s="376">
        <v>2023</v>
      </c>
      <c r="E2057" s="376">
        <v>2025</v>
      </c>
      <c r="F2057" s="376">
        <v>1</v>
      </c>
      <c r="G2057" s="376">
        <v>3665.8925610089368</v>
      </c>
      <c r="H2057" s="376">
        <v>0</v>
      </c>
      <c r="I2057" s="376">
        <v>1</v>
      </c>
    </row>
    <row r="2058" spans="1:9" x14ac:dyDescent="0.35">
      <c r="A2058" s="376" t="s">
        <v>1636</v>
      </c>
      <c r="B2058" s="376" t="s">
        <v>1609</v>
      </c>
      <c r="C2058" s="376" t="s">
        <v>1046</v>
      </c>
      <c r="D2058" s="376">
        <v>2023</v>
      </c>
      <c r="E2058" s="376">
        <v>2026</v>
      </c>
      <c r="F2058" s="376">
        <v>1</v>
      </c>
      <c r="G2058" s="376">
        <v>3665.8925610089368</v>
      </c>
      <c r="H2058" s="376">
        <v>0</v>
      </c>
      <c r="I2058" s="376">
        <v>1</v>
      </c>
    </row>
    <row r="2059" spans="1:9" x14ac:dyDescent="0.35">
      <c r="A2059" s="376" t="s">
        <v>1636</v>
      </c>
      <c r="B2059" s="376" t="s">
        <v>1609</v>
      </c>
      <c r="C2059" s="376" t="s">
        <v>644</v>
      </c>
      <c r="D2059" s="376">
        <v>2023</v>
      </c>
      <c r="E2059" s="376">
        <v>2026</v>
      </c>
      <c r="F2059" s="376">
        <v>1</v>
      </c>
      <c r="G2059" s="376">
        <v>3665.8925610089368</v>
      </c>
      <c r="H2059" s="376">
        <v>0</v>
      </c>
      <c r="I2059" s="376">
        <v>1</v>
      </c>
    </row>
    <row r="2060" spans="1:9" x14ac:dyDescent="0.35">
      <c r="A2060" s="376" t="s">
        <v>1636</v>
      </c>
      <c r="B2060" s="376" t="s">
        <v>1609</v>
      </c>
      <c r="C2060" s="376" t="s">
        <v>628</v>
      </c>
      <c r="D2060" s="376">
        <v>2023</v>
      </c>
      <c r="E2060" s="376">
        <v>2026</v>
      </c>
      <c r="F2060" s="376">
        <v>1</v>
      </c>
      <c r="G2060" s="376">
        <v>3665.8925610089368</v>
      </c>
      <c r="H2060" s="376">
        <v>0</v>
      </c>
      <c r="I2060" s="376">
        <v>1</v>
      </c>
    </row>
    <row r="2061" spans="1:9" x14ac:dyDescent="0.35">
      <c r="A2061" s="376" t="s">
        <v>1636</v>
      </c>
      <c r="B2061" s="376" t="s">
        <v>1609</v>
      </c>
      <c r="C2061" s="376" t="s">
        <v>1051</v>
      </c>
      <c r="D2061" s="376">
        <v>2023</v>
      </c>
      <c r="E2061" s="376">
        <v>2026</v>
      </c>
      <c r="F2061" s="376">
        <v>1</v>
      </c>
      <c r="G2061" s="376">
        <v>3665.8925610089368</v>
      </c>
      <c r="H2061" s="376">
        <v>0</v>
      </c>
      <c r="I2061" s="376">
        <v>1</v>
      </c>
    </row>
    <row r="2062" spans="1:9" x14ac:dyDescent="0.35">
      <c r="A2062" s="376" t="s">
        <v>1636</v>
      </c>
      <c r="B2062" s="376" t="s">
        <v>1609</v>
      </c>
      <c r="C2062" s="376" t="s">
        <v>1054</v>
      </c>
      <c r="D2062" s="376">
        <v>2023</v>
      </c>
      <c r="E2062" s="376">
        <v>2026</v>
      </c>
      <c r="F2062" s="376">
        <v>1</v>
      </c>
      <c r="G2062" s="376">
        <v>3665.8925610089368</v>
      </c>
      <c r="H2062" s="376">
        <v>0</v>
      </c>
      <c r="I2062" s="376">
        <v>1</v>
      </c>
    </row>
    <row r="2063" spans="1:9" x14ac:dyDescent="0.35">
      <c r="A2063" s="376" t="s">
        <v>1636</v>
      </c>
      <c r="B2063" s="376" t="s">
        <v>1609</v>
      </c>
      <c r="C2063" s="376" t="s">
        <v>1046</v>
      </c>
      <c r="D2063" s="376">
        <v>2023</v>
      </c>
      <c r="E2063" s="376">
        <v>2027</v>
      </c>
      <c r="F2063" s="376">
        <v>1</v>
      </c>
      <c r="G2063" s="376">
        <v>3665.8925610089368</v>
      </c>
      <c r="H2063" s="376">
        <v>0</v>
      </c>
      <c r="I2063" s="376">
        <v>1</v>
      </c>
    </row>
    <row r="2064" spans="1:9" x14ac:dyDescent="0.35">
      <c r="A2064" s="376" t="s">
        <v>1636</v>
      </c>
      <c r="B2064" s="376" t="s">
        <v>1609</v>
      </c>
      <c r="C2064" s="376" t="s">
        <v>644</v>
      </c>
      <c r="D2064" s="376">
        <v>2023</v>
      </c>
      <c r="E2064" s="376">
        <v>2027</v>
      </c>
      <c r="F2064" s="376">
        <v>1</v>
      </c>
      <c r="G2064" s="376">
        <v>3665.8925610089368</v>
      </c>
      <c r="H2064" s="376">
        <v>0</v>
      </c>
      <c r="I2064" s="376">
        <v>1</v>
      </c>
    </row>
    <row r="2065" spans="1:9" x14ac:dyDescent="0.35">
      <c r="A2065" s="376" t="s">
        <v>1636</v>
      </c>
      <c r="B2065" s="376" t="s">
        <v>1609</v>
      </c>
      <c r="C2065" s="376" t="s">
        <v>628</v>
      </c>
      <c r="D2065" s="376">
        <v>2023</v>
      </c>
      <c r="E2065" s="376">
        <v>2027</v>
      </c>
      <c r="F2065" s="376">
        <v>1</v>
      </c>
      <c r="G2065" s="376">
        <v>3665.8925610089368</v>
      </c>
      <c r="H2065" s="376">
        <v>0</v>
      </c>
      <c r="I2065" s="376">
        <v>1</v>
      </c>
    </row>
    <row r="2066" spans="1:9" x14ac:dyDescent="0.35">
      <c r="A2066" s="376" t="s">
        <v>1636</v>
      </c>
      <c r="B2066" s="376" t="s">
        <v>1609</v>
      </c>
      <c r="C2066" s="376" t="s">
        <v>1051</v>
      </c>
      <c r="D2066" s="376">
        <v>2023</v>
      </c>
      <c r="E2066" s="376">
        <v>2027</v>
      </c>
      <c r="F2066" s="376">
        <v>1</v>
      </c>
      <c r="G2066" s="376">
        <v>3665.8925610089368</v>
      </c>
      <c r="H2066" s="376">
        <v>0</v>
      </c>
      <c r="I2066" s="376">
        <v>1</v>
      </c>
    </row>
    <row r="2067" spans="1:9" x14ac:dyDescent="0.35">
      <c r="A2067" s="376" t="s">
        <v>1636</v>
      </c>
      <c r="B2067" s="376" t="s">
        <v>1609</v>
      </c>
      <c r="C2067" s="376" t="s">
        <v>1054</v>
      </c>
      <c r="D2067" s="376">
        <v>2023</v>
      </c>
      <c r="E2067" s="376">
        <v>2027</v>
      </c>
      <c r="F2067" s="376">
        <v>1</v>
      </c>
      <c r="G2067" s="376">
        <v>3665.8925610089368</v>
      </c>
      <c r="H2067" s="376">
        <v>0</v>
      </c>
      <c r="I2067" s="376">
        <v>1</v>
      </c>
    </row>
    <row r="2068" spans="1:9" x14ac:dyDescent="0.35">
      <c r="A2068" s="376" t="s">
        <v>1636</v>
      </c>
      <c r="B2068" s="376" t="s">
        <v>1609</v>
      </c>
      <c r="C2068" s="376" t="s">
        <v>1046</v>
      </c>
      <c r="D2068" s="376">
        <v>2023</v>
      </c>
      <c r="E2068" s="376">
        <v>2028</v>
      </c>
      <c r="F2068" s="376">
        <v>1</v>
      </c>
      <c r="G2068" s="376">
        <v>3665.8925610089368</v>
      </c>
      <c r="H2068" s="376">
        <v>0</v>
      </c>
      <c r="I2068" s="376">
        <v>1</v>
      </c>
    </row>
    <row r="2069" spans="1:9" x14ac:dyDescent="0.35">
      <c r="A2069" s="376" t="s">
        <v>1636</v>
      </c>
      <c r="B2069" s="376" t="s">
        <v>1609</v>
      </c>
      <c r="C2069" s="376" t="s">
        <v>644</v>
      </c>
      <c r="D2069" s="376">
        <v>2023</v>
      </c>
      <c r="E2069" s="376">
        <v>2028</v>
      </c>
      <c r="F2069" s="376">
        <v>1</v>
      </c>
      <c r="G2069" s="376">
        <v>3665.8925610089368</v>
      </c>
      <c r="H2069" s="376">
        <v>0</v>
      </c>
      <c r="I2069" s="376">
        <v>1</v>
      </c>
    </row>
    <row r="2070" spans="1:9" x14ac:dyDescent="0.35">
      <c r="A2070" s="376" t="s">
        <v>1636</v>
      </c>
      <c r="B2070" s="376" t="s">
        <v>1609</v>
      </c>
      <c r="C2070" s="376" t="s">
        <v>628</v>
      </c>
      <c r="D2070" s="376">
        <v>2023</v>
      </c>
      <c r="E2070" s="376">
        <v>2028</v>
      </c>
      <c r="F2070" s="376">
        <v>1</v>
      </c>
      <c r="G2070" s="376">
        <v>3665.8925610089368</v>
      </c>
      <c r="H2070" s="376">
        <v>0</v>
      </c>
      <c r="I2070" s="376">
        <v>1</v>
      </c>
    </row>
    <row r="2071" spans="1:9" x14ac:dyDescent="0.35">
      <c r="A2071" s="376" t="s">
        <v>1636</v>
      </c>
      <c r="B2071" s="376" t="s">
        <v>1609</v>
      </c>
      <c r="C2071" s="376" t="s">
        <v>1051</v>
      </c>
      <c r="D2071" s="376">
        <v>2023</v>
      </c>
      <c r="E2071" s="376">
        <v>2028</v>
      </c>
      <c r="F2071" s="376">
        <v>1</v>
      </c>
      <c r="G2071" s="376">
        <v>3665.8925610089368</v>
      </c>
      <c r="H2071" s="376">
        <v>0</v>
      </c>
      <c r="I2071" s="376">
        <v>1</v>
      </c>
    </row>
    <row r="2072" spans="1:9" x14ac:dyDescent="0.35">
      <c r="A2072" s="376" t="s">
        <v>1636</v>
      </c>
      <c r="B2072" s="376" t="s">
        <v>1609</v>
      </c>
      <c r="C2072" s="376" t="s">
        <v>1054</v>
      </c>
      <c r="D2072" s="376">
        <v>2023</v>
      </c>
      <c r="E2072" s="376">
        <v>2028</v>
      </c>
      <c r="F2072" s="376">
        <v>1</v>
      </c>
      <c r="G2072" s="376">
        <v>3665.8925610089368</v>
      </c>
      <c r="H2072" s="376">
        <v>0</v>
      </c>
      <c r="I2072" s="376">
        <v>1</v>
      </c>
    </row>
    <row r="2073" spans="1:9" x14ac:dyDescent="0.35">
      <c r="A2073" s="376" t="s">
        <v>1636</v>
      </c>
      <c r="B2073" s="376" t="s">
        <v>1609</v>
      </c>
      <c r="C2073" s="376" t="s">
        <v>1046</v>
      </c>
      <c r="D2073" s="376">
        <v>2023</v>
      </c>
      <c r="E2073" s="376">
        <v>2029</v>
      </c>
      <c r="F2073" s="376">
        <v>1</v>
      </c>
      <c r="G2073" s="376">
        <v>3665.8925610089368</v>
      </c>
      <c r="H2073" s="376">
        <v>0</v>
      </c>
      <c r="I2073" s="376">
        <v>1</v>
      </c>
    </row>
    <row r="2074" spans="1:9" x14ac:dyDescent="0.35">
      <c r="A2074" s="376" t="s">
        <v>1636</v>
      </c>
      <c r="B2074" s="376" t="s">
        <v>1609</v>
      </c>
      <c r="C2074" s="376" t="s">
        <v>644</v>
      </c>
      <c r="D2074" s="376">
        <v>2023</v>
      </c>
      <c r="E2074" s="376">
        <v>2029</v>
      </c>
      <c r="F2074" s="376">
        <v>1</v>
      </c>
      <c r="G2074" s="376">
        <v>3665.8925610089368</v>
      </c>
      <c r="H2074" s="376">
        <v>0</v>
      </c>
      <c r="I2074" s="376">
        <v>1</v>
      </c>
    </row>
    <row r="2075" spans="1:9" x14ac:dyDescent="0.35">
      <c r="A2075" s="376" t="s">
        <v>1636</v>
      </c>
      <c r="B2075" s="376" t="s">
        <v>1609</v>
      </c>
      <c r="C2075" s="376" t="s">
        <v>628</v>
      </c>
      <c r="D2075" s="376">
        <v>2023</v>
      </c>
      <c r="E2075" s="376">
        <v>2029</v>
      </c>
      <c r="F2075" s="376">
        <v>1</v>
      </c>
      <c r="G2075" s="376">
        <v>3665.8925610089368</v>
      </c>
      <c r="H2075" s="376">
        <v>0</v>
      </c>
      <c r="I2075" s="376">
        <v>1</v>
      </c>
    </row>
    <row r="2076" spans="1:9" x14ac:dyDescent="0.35">
      <c r="A2076" s="376" t="s">
        <v>1636</v>
      </c>
      <c r="B2076" s="376" t="s">
        <v>1609</v>
      </c>
      <c r="C2076" s="376" t="s">
        <v>1051</v>
      </c>
      <c r="D2076" s="376">
        <v>2023</v>
      </c>
      <c r="E2076" s="376">
        <v>2029</v>
      </c>
      <c r="F2076" s="376">
        <v>1</v>
      </c>
      <c r="G2076" s="376">
        <v>3665.8925610089368</v>
      </c>
      <c r="H2076" s="376">
        <v>0</v>
      </c>
      <c r="I2076" s="376">
        <v>1</v>
      </c>
    </row>
    <row r="2077" spans="1:9" x14ac:dyDescent="0.35">
      <c r="A2077" s="376" t="s">
        <v>1636</v>
      </c>
      <c r="B2077" s="376" t="s">
        <v>1609</v>
      </c>
      <c r="C2077" s="376" t="s">
        <v>1054</v>
      </c>
      <c r="D2077" s="376">
        <v>2023</v>
      </c>
      <c r="E2077" s="376">
        <v>2029</v>
      </c>
      <c r="F2077" s="376">
        <v>1</v>
      </c>
      <c r="G2077" s="376">
        <v>3665.8925610089368</v>
      </c>
      <c r="H2077" s="376">
        <v>0</v>
      </c>
      <c r="I2077" s="376">
        <v>1</v>
      </c>
    </row>
    <row r="2078" spans="1:9" x14ac:dyDescent="0.35">
      <c r="A2078" s="376" t="s">
        <v>1636</v>
      </c>
      <c r="B2078" s="376" t="s">
        <v>1609</v>
      </c>
      <c r="C2078" s="376" t="s">
        <v>1046</v>
      </c>
      <c r="D2078" s="376">
        <v>2023</v>
      </c>
      <c r="E2078" s="376">
        <v>2030</v>
      </c>
      <c r="F2078" s="376">
        <v>1</v>
      </c>
      <c r="G2078" s="376">
        <v>3665.8925610089368</v>
      </c>
      <c r="H2078" s="376">
        <v>0</v>
      </c>
      <c r="I2078" s="376">
        <v>1</v>
      </c>
    </row>
    <row r="2079" spans="1:9" x14ac:dyDescent="0.35">
      <c r="A2079" s="376" t="s">
        <v>1636</v>
      </c>
      <c r="B2079" s="376" t="s">
        <v>1609</v>
      </c>
      <c r="C2079" s="376" t="s">
        <v>644</v>
      </c>
      <c r="D2079" s="376">
        <v>2023</v>
      </c>
      <c r="E2079" s="376">
        <v>2030</v>
      </c>
      <c r="F2079" s="376">
        <v>1</v>
      </c>
      <c r="G2079" s="376">
        <v>3665.8925610089368</v>
      </c>
      <c r="H2079" s="376">
        <v>0</v>
      </c>
      <c r="I2079" s="376">
        <v>1</v>
      </c>
    </row>
    <row r="2080" spans="1:9" x14ac:dyDescent="0.35">
      <c r="A2080" s="376" t="s">
        <v>1636</v>
      </c>
      <c r="B2080" s="376" t="s">
        <v>1609</v>
      </c>
      <c r="C2080" s="376" t="s">
        <v>628</v>
      </c>
      <c r="D2080" s="376">
        <v>2023</v>
      </c>
      <c r="E2080" s="376">
        <v>2030</v>
      </c>
      <c r="F2080" s="376">
        <v>1</v>
      </c>
      <c r="G2080" s="376">
        <v>3665.8925610089368</v>
      </c>
      <c r="H2080" s="376">
        <v>0</v>
      </c>
      <c r="I2080" s="376">
        <v>1</v>
      </c>
    </row>
    <row r="2081" spans="1:9" x14ac:dyDescent="0.35">
      <c r="A2081" s="376" t="s">
        <v>1636</v>
      </c>
      <c r="B2081" s="376" t="s">
        <v>1609</v>
      </c>
      <c r="C2081" s="376" t="s">
        <v>1051</v>
      </c>
      <c r="D2081" s="376">
        <v>2023</v>
      </c>
      <c r="E2081" s="376">
        <v>2030</v>
      </c>
      <c r="F2081" s="376">
        <v>1</v>
      </c>
      <c r="G2081" s="376">
        <v>3665.8925610089368</v>
      </c>
      <c r="H2081" s="376">
        <v>0</v>
      </c>
      <c r="I2081" s="376">
        <v>1</v>
      </c>
    </row>
    <row r="2082" spans="1:9" x14ac:dyDescent="0.35">
      <c r="A2082" s="376" t="s">
        <v>1636</v>
      </c>
      <c r="B2082" s="376" t="s">
        <v>1609</v>
      </c>
      <c r="C2082" s="376" t="s">
        <v>1054</v>
      </c>
      <c r="D2082" s="376">
        <v>2023</v>
      </c>
      <c r="E2082" s="376">
        <v>2030</v>
      </c>
      <c r="F2082" s="376">
        <v>1</v>
      </c>
      <c r="G2082" s="376">
        <v>3665.8925610089368</v>
      </c>
      <c r="H2082" s="376">
        <v>0</v>
      </c>
      <c r="I2082" s="376">
        <v>1</v>
      </c>
    </row>
    <row r="2083" spans="1:9" x14ac:dyDescent="0.35">
      <c r="A2083" s="376" t="s">
        <v>1636</v>
      </c>
      <c r="B2083" s="376" t="s">
        <v>1609</v>
      </c>
      <c r="C2083" s="376" t="s">
        <v>1046</v>
      </c>
      <c r="D2083" s="376">
        <v>2023</v>
      </c>
      <c r="E2083" s="376">
        <v>2031</v>
      </c>
      <c r="F2083" s="376">
        <v>1</v>
      </c>
      <c r="G2083" s="376">
        <v>3665.8925610089368</v>
      </c>
      <c r="H2083" s="376">
        <v>0</v>
      </c>
      <c r="I2083" s="376">
        <v>1</v>
      </c>
    </row>
    <row r="2084" spans="1:9" x14ac:dyDescent="0.35">
      <c r="A2084" s="376" t="s">
        <v>1636</v>
      </c>
      <c r="B2084" s="376" t="s">
        <v>1609</v>
      </c>
      <c r="C2084" s="376" t="s">
        <v>644</v>
      </c>
      <c r="D2084" s="376">
        <v>2023</v>
      </c>
      <c r="E2084" s="376">
        <v>2031</v>
      </c>
      <c r="F2084" s="376">
        <v>1</v>
      </c>
      <c r="G2084" s="376">
        <v>3665.8925610089368</v>
      </c>
      <c r="H2084" s="376">
        <v>0</v>
      </c>
      <c r="I2084" s="376">
        <v>1</v>
      </c>
    </row>
    <row r="2085" spans="1:9" x14ac:dyDescent="0.35">
      <c r="A2085" s="376" t="s">
        <v>1636</v>
      </c>
      <c r="B2085" s="376" t="s">
        <v>1609</v>
      </c>
      <c r="C2085" s="376" t="s">
        <v>628</v>
      </c>
      <c r="D2085" s="376">
        <v>2023</v>
      </c>
      <c r="E2085" s="376">
        <v>2031</v>
      </c>
      <c r="F2085" s="376">
        <v>1</v>
      </c>
      <c r="G2085" s="376">
        <v>3665.8925610089368</v>
      </c>
      <c r="H2085" s="376">
        <v>0</v>
      </c>
      <c r="I2085" s="376">
        <v>1</v>
      </c>
    </row>
    <row r="2086" spans="1:9" x14ac:dyDescent="0.35">
      <c r="A2086" s="376" t="s">
        <v>1636</v>
      </c>
      <c r="B2086" s="376" t="s">
        <v>1609</v>
      </c>
      <c r="C2086" s="376" t="s">
        <v>1051</v>
      </c>
      <c r="D2086" s="376">
        <v>2023</v>
      </c>
      <c r="E2086" s="376">
        <v>2031</v>
      </c>
      <c r="F2086" s="376">
        <v>1</v>
      </c>
      <c r="G2086" s="376">
        <v>3665.8925610089368</v>
      </c>
      <c r="H2086" s="376">
        <v>0</v>
      </c>
      <c r="I2086" s="376">
        <v>1</v>
      </c>
    </row>
    <row r="2087" spans="1:9" x14ac:dyDescent="0.35">
      <c r="A2087" s="376" t="s">
        <v>1636</v>
      </c>
      <c r="B2087" s="376" t="s">
        <v>1609</v>
      </c>
      <c r="C2087" s="376" t="s">
        <v>1054</v>
      </c>
      <c r="D2087" s="376">
        <v>2023</v>
      </c>
      <c r="E2087" s="376">
        <v>2031</v>
      </c>
      <c r="F2087" s="376">
        <v>1</v>
      </c>
      <c r="G2087" s="376">
        <v>3665.8925610089368</v>
      </c>
      <c r="H2087" s="376">
        <v>0</v>
      </c>
      <c r="I2087" s="376">
        <v>1</v>
      </c>
    </row>
    <row r="2088" spans="1:9" x14ac:dyDescent="0.35">
      <c r="A2088" s="376" t="s">
        <v>1606</v>
      </c>
      <c r="B2088" s="376" t="s">
        <v>1609</v>
      </c>
      <c r="C2088" s="376" t="s">
        <v>1046</v>
      </c>
      <c r="D2088" s="376">
        <v>2023</v>
      </c>
      <c r="E2088" s="376">
        <v>2023</v>
      </c>
      <c r="F2088" s="376">
        <v>1</v>
      </c>
      <c r="G2088" s="376">
        <v>6053.9001866585977</v>
      </c>
      <c r="H2088" s="376">
        <v>0</v>
      </c>
      <c r="I2088" s="376">
        <v>1</v>
      </c>
    </row>
    <row r="2089" spans="1:9" x14ac:dyDescent="0.35">
      <c r="A2089" s="376" t="s">
        <v>1606</v>
      </c>
      <c r="B2089" s="376" t="s">
        <v>1609</v>
      </c>
      <c r="C2089" s="376" t="s">
        <v>644</v>
      </c>
      <c r="D2089" s="376">
        <v>2023</v>
      </c>
      <c r="E2089" s="376">
        <v>2023</v>
      </c>
      <c r="F2089" s="376">
        <v>1</v>
      </c>
      <c r="G2089" s="376">
        <v>6053.9001866585977</v>
      </c>
      <c r="H2089" s="376">
        <v>0</v>
      </c>
      <c r="I2089" s="376">
        <v>1</v>
      </c>
    </row>
    <row r="2090" spans="1:9" x14ac:dyDescent="0.35">
      <c r="A2090" s="376" t="s">
        <v>1606</v>
      </c>
      <c r="B2090" s="376" t="s">
        <v>1609</v>
      </c>
      <c r="C2090" s="376" t="s">
        <v>628</v>
      </c>
      <c r="D2090" s="376">
        <v>2023</v>
      </c>
      <c r="E2090" s="376">
        <v>2023</v>
      </c>
      <c r="F2090" s="376">
        <v>1</v>
      </c>
      <c r="G2090" s="376">
        <v>6053.9001866585977</v>
      </c>
      <c r="H2090" s="376">
        <v>0</v>
      </c>
      <c r="I2090" s="376">
        <v>1</v>
      </c>
    </row>
    <row r="2091" spans="1:9" x14ac:dyDescent="0.35">
      <c r="A2091" s="376" t="s">
        <v>1606</v>
      </c>
      <c r="B2091" s="376" t="s">
        <v>1609</v>
      </c>
      <c r="C2091" s="376" t="s">
        <v>1051</v>
      </c>
      <c r="D2091" s="376">
        <v>2023</v>
      </c>
      <c r="E2091" s="376">
        <v>2023</v>
      </c>
      <c r="F2091" s="376">
        <v>1</v>
      </c>
      <c r="G2091" s="376">
        <v>6053.9001866585977</v>
      </c>
      <c r="H2091" s="376">
        <v>0</v>
      </c>
      <c r="I2091" s="376">
        <v>1</v>
      </c>
    </row>
    <row r="2092" spans="1:9" x14ac:dyDescent="0.35">
      <c r="A2092" s="376" t="s">
        <v>1606</v>
      </c>
      <c r="B2092" s="376" t="s">
        <v>1609</v>
      </c>
      <c r="C2092" s="376" t="s">
        <v>1054</v>
      </c>
      <c r="D2092" s="376">
        <v>2023</v>
      </c>
      <c r="E2092" s="376">
        <v>2023</v>
      </c>
      <c r="F2092" s="376">
        <v>1</v>
      </c>
      <c r="G2092" s="376">
        <v>6053.9001866585977</v>
      </c>
      <c r="H2092" s="376">
        <v>0</v>
      </c>
      <c r="I2092" s="376">
        <v>1</v>
      </c>
    </row>
    <row r="2093" spans="1:9" x14ac:dyDescent="0.35">
      <c r="A2093" s="376" t="s">
        <v>1606</v>
      </c>
      <c r="B2093" s="376" t="s">
        <v>1609</v>
      </c>
      <c r="C2093" s="376" t="s">
        <v>1046</v>
      </c>
      <c r="D2093" s="376">
        <v>2023</v>
      </c>
      <c r="E2093" s="376">
        <v>2024</v>
      </c>
      <c r="F2093" s="376">
        <v>1</v>
      </c>
      <c r="G2093" s="376">
        <v>6053.9001866585977</v>
      </c>
      <c r="H2093" s="376">
        <v>0</v>
      </c>
      <c r="I2093" s="376">
        <v>1</v>
      </c>
    </row>
    <row r="2094" spans="1:9" x14ac:dyDescent="0.35">
      <c r="A2094" s="376" t="s">
        <v>1606</v>
      </c>
      <c r="B2094" s="376" t="s">
        <v>1609</v>
      </c>
      <c r="C2094" s="376" t="s">
        <v>644</v>
      </c>
      <c r="D2094" s="376">
        <v>2023</v>
      </c>
      <c r="E2094" s="376">
        <v>2024</v>
      </c>
      <c r="F2094" s="376">
        <v>1</v>
      </c>
      <c r="G2094" s="376">
        <v>6053.9001866585977</v>
      </c>
      <c r="H2094" s="376">
        <v>0</v>
      </c>
      <c r="I2094" s="376">
        <v>1</v>
      </c>
    </row>
    <row r="2095" spans="1:9" x14ac:dyDescent="0.35">
      <c r="A2095" s="376" t="s">
        <v>1606</v>
      </c>
      <c r="B2095" s="376" t="s">
        <v>1609</v>
      </c>
      <c r="C2095" s="376" t="s">
        <v>628</v>
      </c>
      <c r="D2095" s="376">
        <v>2023</v>
      </c>
      <c r="E2095" s="376">
        <v>2024</v>
      </c>
      <c r="F2095" s="376">
        <v>1</v>
      </c>
      <c r="G2095" s="376">
        <v>6053.9001866585977</v>
      </c>
      <c r="H2095" s="376">
        <v>0</v>
      </c>
      <c r="I2095" s="376">
        <v>1</v>
      </c>
    </row>
    <row r="2096" spans="1:9" x14ac:dyDescent="0.35">
      <c r="A2096" s="376" t="s">
        <v>1606</v>
      </c>
      <c r="B2096" s="376" t="s">
        <v>1609</v>
      </c>
      <c r="C2096" s="376" t="s">
        <v>1051</v>
      </c>
      <c r="D2096" s="376">
        <v>2023</v>
      </c>
      <c r="E2096" s="376">
        <v>2024</v>
      </c>
      <c r="F2096" s="376">
        <v>1</v>
      </c>
      <c r="G2096" s="376">
        <v>6053.9001866585977</v>
      </c>
      <c r="H2096" s="376">
        <v>0</v>
      </c>
      <c r="I2096" s="376">
        <v>1</v>
      </c>
    </row>
    <row r="2097" spans="1:9" x14ac:dyDescent="0.35">
      <c r="A2097" s="376" t="s">
        <v>1606</v>
      </c>
      <c r="B2097" s="376" t="s">
        <v>1609</v>
      </c>
      <c r="C2097" s="376" t="s">
        <v>1054</v>
      </c>
      <c r="D2097" s="376">
        <v>2023</v>
      </c>
      <c r="E2097" s="376">
        <v>2024</v>
      </c>
      <c r="F2097" s="376">
        <v>1</v>
      </c>
      <c r="G2097" s="376">
        <v>6053.9001866585977</v>
      </c>
      <c r="H2097" s="376">
        <v>0</v>
      </c>
      <c r="I2097" s="376">
        <v>1</v>
      </c>
    </row>
    <row r="2098" spans="1:9" x14ac:dyDescent="0.35">
      <c r="A2098" s="376" t="s">
        <v>1606</v>
      </c>
      <c r="B2098" s="376" t="s">
        <v>1609</v>
      </c>
      <c r="C2098" s="376" t="s">
        <v>1046</v>
      </c>
      <c r="D2098" s="376">
        <v>2023</v>
      </c>
      <c r="E2098" s="376">
        <v>2025</v>
      </c>
      <c r="F2098" s="376">
        <v>1</v>
      </c>
      <c r="G2098" s="376">
        <v>6053.9001866585977</v>
      </c>
      <c r="H2098" s="376">
        <v>0</v>
      </c>
      <c r="I2098" s="376">
        <v>1</v>
      </c>
    </row>
    <row r="2099" spans="1:9" x14ac:dyDescent="0.35">
      <c r="A2099" s="376" t="s">
        <v>1606</v>
      </c>
      <c r="B2099" s="376" t="s">
        <v>1609</v>
      </c>
      <c r="C2099" s="376" t="s">
        <v>644</v>
      </c>
      <c r="D2099" s="376">
        <v>2023</v>
      </c>
      <c r="E2099" s="376">
        <v>2025</v>
      </c>
      <c r="F2099" s="376">
        <v>1</v>
      </c>
      <c r="G2099" s="376">
        <v>6053.9001866585977</v>
      </c>
      <c r="H2099" s="376">
        <v>0</v>
      </c>
      <c r="I2099" s="376">
        <v>1</v>
      </c>
    </row>
    <row r="2100" spans="1:9" x14ac:dyDescent="0.35">
      <c r="A2100" s="376" t="s">
        <v>1606</v>
      </c>
      <c r="B2100" s="376" t="s">
        <v>1609</v>
      </c>
      <c r="C2100" s="376" t="s">
        <v>628</v>
      </c>
      <c r="D2100" s="376">
        <v>2023</v>
      </c>
      <c r="E2100" s="376">
        <v>2025</v>
      </c>
      <c r="F2100" s="376">
        <v>1</v>
      </c>
      <c r="G2100" s="376">
        <v>6053.9001866585977</v>
      </c>
      <c r="H2100" s="376">
        <v>0</v>
      </c>
      <c r="I2100" s="376">
        <v>1</v>
      </c>
    </row>
    <row r="2101" spans="1:9" x14ac:dyDescent="0.35">
      <c r="A2101" s="376" t="s">
        <v>1606</v>
      </c>
      <c r="B2101" s="376" t="s">
        <v>1609</v>
      </c>
      <c r="C2101" s="376" t="s">
        <v>1051</v>
      </c>
      <c r="D2101" s="376">
        <v>2023</v>
      </c>
      <c r="E2101" s="376">
        <v>2025</v>
      </c>
      <c r="F2101" s="376">
        <v>1</v>
      </c>
      <c r="G2101" s="376">
        <v>6053.9001866585977</v>
      </c>
      <c r="H2101" s="376">
        <v>0</v>
      </c>
      <c r="I2101" s="376">
        <v>1</v>
      </c>
    </row>
    <row r="2102" spans="1:9" x14ac:dyDescent="0.35">
      <c r="A2102" s="376" t="s">
        <v>1606</v>
      </c>
      <c r="B2102" s="376" t="s">
        <v>1609</v>
      </c>
      <c r="C2102" s="376" t="s">
        <v>1054</v>
      </c>
      <c r="D2102" s="376">
        <v>2023</v>
      </c>
      <c r="E2102" s="376">
        <v>2025</v>
      </c>
      <c r="F2102" s="376">
        <v>1</v>
      </c>
      <c r="G2102" s="376">
        <v>6053.9001866585977</v>
      </c>
      <c r="H2102" s="376">
        <v>0</v>
      </c>
      <c r="I2102" s="376">
        <v>1</v>
      </c>
    </row>
    <row r="2103" spans="1:9" x14ac:dyDescent="0.35">
      <c r="A2103" s="376" t="s">
        <v>1606</v>
      </c>
      <c r="B2103" s="376" t="s">
        <v>1609</v>
      </c>
      <c r="C2103" s="376" t="s">
        <v>1046</v>
      </c>
      <c r="D2103" s="376">
        <v>2023</v>
      </c>
      <c r="E2103" s="376">
        <v>2026</v>
      </c>
      <c r="F2103" s="376">
        <v>1</v>
      </c>
      <c r="G2103" s="376">
        <v>6053.9001866585977</v>
      </c>
      <c r="H2103" s="376">
        <v>0</v>
      </c>
      <c r="I2103" s="376">
        <v>1</v>
      </c>
    </row>
    <row r="2104" spans="1:9" x14ac:dyDescent="0.35">
      <c r="A2104" s="376" t="s">
        <v>1606</v>
      </c>
      <c r="B2104" s="376" t="s">
        <v>1609</v>
      </c>
      <c r="C2104" s="376" t="s">
        <v>644</v>
      </c>
      <c r="D2104" s="376">
        <v>2023</v>
      </c>
      <c r="E2104" s="376">
        <v>2026</v>
      </c>
      <c r="F2104" s="376">
        <v>1</v>
      </c>
      <c r="G2104" s="376">
        <v>6053.9001866585977</v>
      </c>
      <c r="H2104" s="376">
        <v>0</v>
      </c>
      <c r="I2104" s="376">
        <v>1</v>
      </c>
    </row>
    <row r="2105" spans="1:9" x14ac:dyDescent="0.35">
      <c r="A2105" s="376" t="s">
        <v>1606</v>
      </c>
      <c r="B2105" s="376" t="s">
        <v>1609</v>
      </c>
      <c r="C2105" s="376" t="s">
        <v>628</v>
      </c>
      <c r="D2105" s="376">
        <v>2023</v>
      </c>
      <c r="E2105" s="376">
        <v>2026</v>
      </c>
      <c r="F2105" s="376">
        <v>1</v>
      </c>
      <c r="G2105" s="376">
        <v>6053.9001866585977</v>
      </c>
      <c r="H2105" s="376">
        <v>0</v>
      </c>
      <c r="I2105" s="376">
        <v>1</v>
      </c>
    </row>
    <row r="2106" spans="1:9" x14ac:dyDescent="0.35">
      <c r="A2106" s="376" t="s">
        <v>1606</v>
      </c>
      <c r="B2106" s="376" t="s">
        <v>1609</v>
      </c>
      <c r="C2106" s="376" t="s">
        <v>1051</v>
      </c>
      <c r="D2106" s="376">
        <v>2023</v>
      </c>
      <c r="E2106" s="376">
        <v>2026</v>
      </c>
      <c r="F2106" s="376">
        <v>1</v>
      </c>
      <c r="G2106" s="376">
        <v>6053.9001866585977</v>
      </c>
      <c r="H2106" s="376">
        <v>0</v>
      </c>
      <c r="I2106" s="376">
        <v>1</v>
      </c>
    </row>
    <row r="2107" spans="1:9" x14ac:dyDescent="0.35">
      <c r="A2107" s="376" t="s">
        <v>1606</v>
      </c>
      <c r="B2107" s="376" t="s">
        <v>1609</v>
      </c>
      <c r="C2107" s="376" t="s">
        <v>1054</v>
      </c>
      <c r="D2107" s="376">
        <v>2023</v>
      </c>
      <c r="E2107" s="376">
        <v>2026</v>
      </c>
      <c r="F2107" s="376">
        <v>1</v>
      </c>
      <c r="G2107" s="376">
        <v>6053.9001866585977</v>
      </c>
      <c r="H2107" s="376">
        <v>0</v>
      </c>
      <c r="I2107" s="376">
        <v>1</v>
      </c>
    </row>
    <row r="2108" spans="1:9" x14ac:dyDescent="0.35">
      <c r="A2108" s="376" t="s">
        <v>1606</v>
      </c>
      <c r="B2108" s="376" t="s">
        <v>1609</v>
      </c>
      <c r="C2108" s="376" t="s">
        <v>1046</v>
      </c>
      <c r="D2108" s="376">
        <v>2023</v>
      </c>
      <c r="E2108" s="376">
        <v>2027</v>
      </c>
      <c r="F2108" s="376">
        <v>1</v>
      </c>
      <c r="G2108" s="376">
        <v>6053.9001866585977</v>
      </c>
      <c r="H2108" s="376">
        <v>0</v>
      </c>
      <c r="I2108" s="376">
        <v>1</v>
      </c>
    </row>
    <row r="2109" spans="1:9" x14ac:dyDescent="0.35">
      <c r="A2109" s="376" t="s">
        <v>1606</v>
      </c>
      <c r="B2109" s="376" t="s">
        <v>1609</v>
      </c>
      <c r="C2109" s="376" t="s">
        <v>644</v>
      </c>
      <c r="D2109" s="376">
        <v>2023</v>
      </c>
      <c r="E2109" s="376">
        <v>2027</v>
      </c>
      <c r="F2109" s="376">
        <v>1</v>
      </c>
      <c r="G2109" s="376">
        <v>6053.9001866585977</v>
      </c>
      <c r="H2109" s="376">
        <v>0</v>
      </c>
      <c r="I2109" s="376">
        <v>1</v>
      </c>
    </row>
    <row r="2110" spans="1:9" x14ac:dyDescent="0.35">
      <c r="A2110" s="376" t="s">
        <v>1606</v>
      </c>
      <c r="B2110" s="376" t="s">
        <v>1609</v>
      </c>
      <c r="C2110" s="376" t="s">
        <v>628</v>
      </c>
      <c r="D2110" s="376">
        <v>2023</v>
      </c>
      <c r="E2110" s="376">
        <v>2027</v>
      </c>
      <c r="F2110" s="376">
        <v>1</v>
      </c>
      <c r="G2110" s="376">
        <v>6053.9001866585977</v>
      </c>
      <c r="H2110" s="376">
        <v>0</v>
      </c>
      <c r="I2110" s="376">
        <v>1</v>
      </c>
    </row>
    <row r="2111" spans="1:9" x14ac:dyDescent="0.35">
      <c r="A2111" s="376" t="s">
        <v>1606</v>
      </c>
      <c r="B2111" s="376" t="s">
        <v>1609</v>
      </c>
      <c r="C2111" s="376" t="s">
        <v>1051</v>
      </c>
      <c r="D2111" s="376">
        <v>2023</v>
      </c>
      <c r="E2111" s="376">
        <v>2027</v>
      </c>
      <c r="F2111" s="376">
        <v>1</v>
      </c>
      <c r="G2111" s="376">
        <v>6053.9001866585977</v>
      </c>
      <c r="H2111" s="376">
        <v>0</v>
      </c>
      <c r="I2111" s="376">
        <v>1</v>
      </c>
    </row>
    <row r="2112" spans="1:9" x14ac:dyDescent="0.35">
      <c r="A2112" s="376" t="s">
        <v>1606</v>
      </c>
      <c r="B2112" s="376" t="s">
        <v>1609</v>
      </c>
      <c r="C2112" s="376" t="s">
        <v>1054</v>
      </c>
      <c r="D2112" s="376">
        <v>2023</v>
      </c>
      <c r="E2112" s="376">
        <v>2027</v>
      </c>
      <c r="F2112" s="376">
        <v>1</v>
      </c>
      <c r="G2112" s="376">
        <v>6053.9001866585977</v>
      </c>
      <c r="H2112" s="376">
        <v>0</v>
      </c>
      <c r="I2112" s="376">
        <v>1</v>
      </c>
    </row>
    <row r="2113" spans="1:9" x14ac:dyDescent="0.35">
      <c r="A2113" s="376" t="s">
        <v>1606</v>
      </c>
      <c r="B2113" s="376" t="s">
        <v>1609</v>
      </c>
      <c r="C2113" s="376" t="s">
        <v>1046</v>
      </c>
      <c r="D2113" s="376">
        <v>2023</v>
      </c>
      <c r="E2113" s="376">
        <v>2028</v>
      </c>
      <c r="F2113" s="376">
        <v>1</v>
      </c>
      <c r="G2113" s="376">
        <v>6053.9001866585977</v>
      </c>
      <c r="H2113" s="376">
        <v>0</v>
      </c>
      <c r="I2113" s="376">
        <v>1</v>
      </c>
    </row>
    <row r="2114" spans="1:9" x14ac:dyDescent="0.35">
      <c r="A2114" s="376" t="s">
        <v>1606</v>
      </c>
      <c r="B2114" s="376" t="s">
        <v>1609</v>
      </c>
      <c r="C2114" s="376" t="s">
        <v>644</v>
      </c>
      <c r="D2114" s="376">
        <v>2023</v>
      </c>
      <c r="E2114" s="376">
        <v>2028</v>
      </c>
      <c r="F2114" s="376">
        <v>1</v>
      </c>
      <c r="G2114" s="376">
        <v>6053.9001866585977</v>
      </c>
      <c r="H2114" s="376">
        <v>0</v>
      </c>
      <c r="I2114" s="376">
        <v>1</v>
      </c>
    </row>
    <row r="2115" spans="1:9" x14ac:dyDescent="0.35">
      <c r="A2115" s="376" t="s">
        <v>1606</v>
      </c>
      <c r="B2115" s="376" t="s">
        <v>1609</v>
      </c>
      <c r="C2115" s="376" t="s">
        <v>628</v>
      </c>
      <c r="D2115" s="376">
        <v>2023</v>
      </c>
      <c r="E2115" s="376">
        <v>2028</v>
      </c>
      <c r="F2115" s="376">
        <v>1</v>
      </c>
      <c r="G2115" s="376">
        <v>6053.9001866585977</v>
      </c>
      <c r="H2115" s="376">
        <v>0</v>
      </c>
      <c r="I2115" s="376">
        <v>1</v>
      </c>
    </row>
    <row r="2116" spans="1:9" x14ac:dyDescent="0.35">
      <c r="A2116" s="376" t="s">
        <v>1606</v>
      </c>
      <c r="B2116" s="376" t="s">
        <v>1609</v>
      </c>
      <c r="C2116" s="376" t="s">
        <v>1051</v>
      </c>
      <c r="D2116" s="376">
        <v>2023</v>
      </c>
      <c r="E2116" s="376">
        <v>2028</v>
      </c>
      <c r="F2116" s="376">
        <v>1</v>
      </c>
      <c r="G2116" s="376">
        <v>6053.9001866585977</v>
      </c>
      <c r="H2116" s="376">
        <v>0</v>
      </c>
      <c r="I2116" s="376">
        <v>1</v>
      </c>
    </row>
    <row r="2117" spans="1:9" x14ac:dyDescent="0.35">
      <c r="A2117" s="376" t="s">
        <v>1606</v>
      </c>
      <c r="B2117" s="376" t="s">
        <v>1609</v>
      </c>
      <c r="C2117" s="376" t="s">
        <v>1054</v>
      </c>
      <c r="D2117" s="376">
        <v>2023</v>
      </c>
      <c r="E2117" s="376">
        <v>2028</v>
      </c>
      <c r="F2117" s="376">
        <v>1</v>
      </c>
      <c r="G2117" s="376">
        <v>6053.9001866585977</v>
      </c>
      <c r="H2117" s="376">
        <v>0</v>
      </c>
      <c r="I2117" s="376">
        <v>1</v>
      </c>
    </row>
    <row r="2118" spans="1:9" x14ac:dyDescent="0.35">
      <c r="A2118" s="376" t="s">
        <v>1606</v>
      </c>
      <c r="B2118" s="376" t="s">
        <v>1609</v>
      </c>
      <c r="C2118" s="376" t="s">
        <v>1046</v>
      </c>
      <c r="D2118" s="376">
        <v>2023</v>
      </c>
      <c r="E2118" s="376">
        <v>2029</v>
      </c>
      <c r="F2118" s="376">
        <v>1</v>
      </c>
      <c r="G2118" s="376">
        <v>6053.9001866585977</v>
      </c>
      <c r="H2118" s="376">
        <v>0</v>
      </c>
      <c r="I2118" s="376">
        <v>1</v>
      </c>
    </row>
    <row r="2119" spans="1:9" x14ac:dyDescent="0.35">
      <c r="A2119" s="376" t="s">
        <v>1606</v>
      </c>
      <c r="B2119" s="376" t="s">
        <v>1609</v>
      </c>
      <c r="C2119" s="376" t="s">
        <v>644</v>
      </c>
      <c r="D2119" s="376">
        <v>2023</v>
      </c>
      <c r="E2119" s="376">
        <v>2029</v>
      </c>
      <c r="F2119" s="376">
        <v>1</v>
      </c>
      <c r="G2119" s="376">
        <v>6053.9001866585977</v>
      </c>
      <c r="H2119" s="376">
        <v>0</v>
      </c>
      <c r="I2119" s="376">
        <v>1</v>
      </c>
    </row>
    <row r="2120" spans="1:9" x14ac:dyDescent="0.35">
      <c r="A2120" s="376" t="s">
        <v>1606</v>
      </c>
      <c r="B2120" s="376" t="s">
        <v>1609</v>
      </c>
      <c r="C2120" s="376" t="s">
        <v>628</v>
      </c>
      <c r="D2120" s="376">
        <v>2023</v>
      </c>
      <c r="E2120" s="376">
        <v>2029</v>
      </c>
      <c r="F2120" s="376">
        <v>1</v>
      </c>
      <c r="G2120" s="376">
        <v>6053.9001866585977</v>
      </c>
      <c r="H2120" s="376">
        <v>0</v>
      </c>
      <c r="I2120" s="376">
        <v>1</v>
      </c>
    </row>
    <row r="2121" spans="1:9" x14ac:dyDescent="0.35">
      <c r="A2121" s="376" t="s">
        <v>1606</v>
      </c>
      <c r="B2121" s="376" t="s">
        <v>1609</v>
      </c>
      <c r="C2121" s="376" t="s">
        <v>1051</v>
      </c>
      <c r="D2121" s="376">
        <v>2023</v>
      </c>
      <c r="E2121" s="376">
        <v>2029</v>
      </c>
      <c r="F2121" s="376">
        <v>1</v>
      </c>
      <c r="G2121" s="376">
        <v>6053.9001866585977</v>
      </c>
      <c r="H2121" s="376">
        <v>0</v>
      </c>
      <c r="I2121" s="376">
        <v>1</v>
      </c>
    </row>
    <row r="2122" spans="1:9" x14ac:dyDescent="0.35">
      <c r="A2122" s="376" t="s">
        <v>1606</v>
      </c>
      <c r="B2122" s="376" t="s">
        <v>1609</v>
      </c>
      <c r="C2122" s="376" t="s">
        <v>1054</v>
      </c>
      <c r="D2122" s="376">
        <v>2023</v>
      </c>
      <c r="E2122" s="376">
        <v>2029</v>
      </c>
      <c r="F2122" s="376">
        <v>1</v>
      </c>
      <c r="G2122" s="376">
        <v>6053.9001866585977</v>
      </c>
      <c r="H2122" s="376">
        <v>0</v>
      </c>
      <c r="I2122" s="376">
        <v>1</v>
      </c>
    </row>
    <row r="2123" spans="1:9" x14ac:dyDescent="0.35">
      <c r="A2123" s="376" t="s">
        <v>1606</v>
      </c>
      <c r="B2123" s="376" t="s">
        <v>1609</v>
      </c>
      <c r="C2123" s="376" t="s">
        <v>1046</v>
      </c>
      <c r="D2123" s="376">
        <v>2023</v>
      </c>
      <c r="E2123" s="376">
        <v>2030</v>
      </c>
      <c r="F2123" s="376">
        <v>1</v>
      </c>
      <c r="G2123" s="376">
        <v>6053.9001866585977</v>
      </c>
      <c r="H2123" s="376">
        <v>0</v>
      </c>
      <c r="I2123" s="376">
        <v>1</v>
      </c>
    </row>
    <row r="2124" spans="1:9" x14ac:dyDescent="0.35">
      <c r="A2124" s="376" t="s">
        <v>1606</v>
      </c>
      <c r="B2124" s="376" t="s">
        <v>1609</v>
      </c>
      <c r="C2124" s="376" t="s">
        <v>644</v>
      </c>
      <c r="D2124" s="376">
        <v>2023</v>
      </c>
      <c r="E2124" s="376">
        <v>2030</v>
      </c>
      <c r="F2124" s="376">
        <v>1</v>
      </c>
      <c r="G2124" s="376">
        <v>6053.9001866585977</v>
      </c>
      <c r="H2124" s="376">
        <v>0</v>
      </c>
      <c r="I2124" s="376">
        <v>1</v>
      </c>
    </row>
    <row r="2125" spans="1:9" x14ac:dyDescent="0.35">
      <c r="A2125" s="376" t="s">
        <v>1606</v>
      </c>
      <c r="B2125" s="376" t="s">
        <v>1609</v>
      </c>
      <c r="C2125" s="376" t="s">
        <v>628</v>
      </c>
      <c r="D2125" s="376">
        <v>2023</v>
      </c>
      <c r="E2125" s="376">
        <v>2030</v>
      </c>
      <c r="F2125" s="376">
        <v>1</v>
      </c>
      <c r="G2125" s="376">
        <v>6053.9001866585977</v>
      </c>
      <c r="H2125" s="376">
        <v>0</v>
      </c>
      <c r="I2125" s="376">
        <v>1</v>
      </c>
    </row>
    <row r="2126" spans="1:9" x14ac:dyDescent="0.35">
      <c r="A2126" s="376" t="s">
        <v>1606</v>
      </c>
      <c r="B2126" s="376" t="s">
        <v>1609</v>
      </c>
      <c r="C2126" s="376" t="s">
        <v>1051</v>
      </c>
      <c r="D2126" s="376">
        <v>2023</v>
      </c>
      <c r="E2126" s="376">
        <v>2030</v>
      </c>
      <c r="F2126" s="376">
        <v>1</v>
      </c>
      <c r="G2126" s="376">
        <v>6053.9001866585977</v>
      </c>
      <c r="H2126" s="376">
        <v>0</v>
      </c>
      <c r="I2126" s="376">
        <v>1</v>
      </c>
    </row>
    <row r="2127" spans="1:9" x14ac:dyDescent="0.35">
      <c r="A2127" s="376" t="s">
        <v>1606</v>
      </c>
      <c r="B2127" s="376" t="s">
        <v>1609</v>
      </c>
      <c r="C2127" s="376" t="s">
        <v>1054</v>
      </c>
      <c r="D2127" s="376">
        <v>2023</v>
      </c>
      <c r="E2127" s="376">
        <v>2030</v>
      </c>
      <c r="F2127" s="376">
        <v>1</v>
      </c>
      <c r="G2127" s="376">
        <v>6053.9001866585977</v>
      </c>
      <c r="H2127" s="376">
        <v>0</v>
      </c>
      <c r="I2127" s="376">
        <v>1</v>
      </c>
    </row>
    <row r="2128" spans="1:9" x14ac:dyDescent="0.35">
      <c r="A2128" s="376" t="s">
        <v>1606</v>
      </c>
      <c r="B2128" s="376" t="s">
        <v>1609</v>
      </c>
      <c r="C2128" s="376" t="s">
        <v>1046</v>
      </c>
      <c r="D2128" s="376">
        <v>2023</v>
      </c>
      <c r="E2128" s="376">
        <v>2031</v>
      </c>
      <c r="F2128" s="376">
        <v>1</v>
      </c>
      <c r="G2128" s="376">
        <v>6053.9001866585977</v>
      </c>
      <c r="H2128" s="376">
        <v>0</v>
      </c>
      <c r="I2128" s="376">
        <v>1</v>
      </c>
    </row>
    <row r="2129" spans="1:9" x14ac:dyDescent="0.35">
      <c r="A2129" s="376" t="s">
        <v>1606</v>
      </c>
      <c r="B2129" s="376" t="s">
        <v>1609</v>
      </c>
      <c r="C2129" s="376" t="s">
        <v>644</v>
      </c>
      <c r="D2129" s="376">
        <v>2023</v>
      </c>
      <c r="E2129" s="376">
        <v>2031</v>
      </c>
      <c r="F2129" s="376">
        <v>1</v>
      </c>
      <c r="G2129" s="376">
        <v>6053.9001866585977</v>
      </c>
      <c r="H2129" s="376">
        <v>0</v>
      </c>
      <c r="I2129" s="376">
        <v>1</v>
      </c>
    </row>
    <row r="2130" spans="1:9" x14ac:dyDescent="0.35">
      <c r="A2130" s="376" t="s">
        <v>1606</v>
      </c>
      <c r="B2130" s="376" t="s">
        <v>1609</v>
      </c>
      <c r="C2130" s="376" t="s">
        <v>628</v>
      </c>
      <c r="D2130" s="376">
        <v>2023</v>
      </c>
      <c r="E2130" s="376">
        <v>2031</v>
      </c>
      <c r="F2130" s="376">
        <v>1</v>
      </c>
      <c r="G2130" s="376">
        <v>6053.9001866585977</v>
      </c>
      <c r="H2130" s="376">
        <v>0</v>
      </c>
      <c r="I2130" s="376">
        <v>1</v>
      </c>
    </row>
    <row r="2131" spans="1:9" x14ac:dyDescent="0.35">
      <c r="A2131" s="376" t="s">
        <v>1606</v>
      </c>
      <c r="B2131" s="376" t="s">
        <v>1609</v>
      </c>
      <c r="C2131" s="376" t="s">
        <v>1051</v>
      </c>
      <c r="D2131" s="376">
        <v>2023</v>
      </c>
      <c r="E2131" s="376">
        <v>2031</v>
      </c>
      <c r="F2131" s="376">
        <v>1</v>
      </c>
      <c r="G2131" s="376">
        <v>6053.9001866585977</v>
      </c>
      <c r="H2131" s="376">
        <v>0</v>
      </c>
      <c r="I2131" s="376">
        <v>1</v>
      </c>
    </row>
    <row r="2132" spans="1:9" x14ac:dyDescent="0.35">
      <c r="A2132" s="376" t="s">
        <v>1606</v>
      </c>
      <c r="B2132" s="376" t="s">
        <v>1609</v>
      </c>
      <c r="C2132" s="376" t="s">
        <v>1054</v>
      </c>
      <c r="D2132" s="376">
        <v>2023</v>
      </c>
      <c r="E2132" s="376">
        <v>2031</v>
      </c>
      <c r="F2132" s="376">
        <v>1</v>
      </c>
      <c r="G2132" s="376">
        <v>6053.9001866585977</v>
      </c>
      <c r="H2132" s="376">
        <v>0</v>
      </c>
      <c r="I2132" s="376">
        <v>1</v>
      </c>
    </row>
    <row r="2133" spans="1:9" x14ac:dyDescent="0.35">
      <c r="A2133" s="376" t="s">
        <v>1612</v>
      </c>
      <c r="B2133" s="376" t="s">
        <v>1609</v>
      </c>
      <c r="C2133" s="376" t="s">
        <v>1046</v>
      </c>
      <c r="D2133" s="376">
        <v>2024</v>
      </c>
      <c r="E2133" s="376">
        <v>2024</v>
      </c>
      <c r="F2133" s="376">
        <v>0.37384575124303709</v>
      </c>
      <c r="G2133" s="376">
        <v>9928.6887826901675</v>
      </c>
      <c r="H2133" s="376">
        <v>0.26706642379365719</v>
      </c>
      <c r="I2133" s="376">
        <v>0.85</v>
      </c>
    </row>
    <row r="2134" spans="1:9" x14ac:dyDescent="0.35">
      <c r="A2134" s="376" t="s">
        <v>1612</v>
      </c>
      <c r="B2134" s="376" t="s">
        <v>1609</v>
      </c>
      <c r="C2134" s="376" t="s">
        <v>644</v>
      </c>
      <c r="D2134" s="376">
        <v>2024</v>
      </c>
      <c r="E2134" s="376">
        <v>2024</v>
      </c>
      <c r="F2134" s="376">
        <v>0.37384575124303709</v>
      </c>
      <c r="G2134" s="376">
        <v>9928.6887826901675</v>
      </c>
      <c r="H2134" s="376">
        <v>0.26706642379365719</v>
      </c>
      <c r="I2134" s="376">
        <v>0.85</v>
      </c>
    </row>
    <row r="2135" spans="1:9" x14ac:dyDescent="0.35">
      <c r="A2135" s="376" t="s">
        <v>1612</v>
      </c>
      <c r="B2135" s="376" t="s">
        <v>1609</v>
      </c>
      <c r="C2135" s="376" t="s">
        <v>628</v>
      </c>
      <c r="D2135" s="376">
        <v>2024</v>
      </c>
      <c r="E2135" s="376">
        <v>2024</v>
      </c>
      <c r="F2135" s="376">
        <v>0.37384575124303709</v>
      </c>
      <c r="G2135" s="376">
        <v>9928.6887826901675</v>
      </c>
      <c r="H2135" s="376">
        <v>0.26706642379365719</v>
      </c>
      <c r="I2135" s="376">
        <v>0.85</v>
      </c>
    </row>
    <row r="2136" spans="1:9" x14ac:dyDescent="0.35">
      <c r="A2136" s="376" t="s">
        <v>1612</v>
      </c>
      <c r="B2136" s="376" t="s">
        <v>1609</v>
      </c>
      <c r="C2136" s="376" t="s">
        <v>1051</v>
      </c>
      <c r="D2136" s="376">
        <v>2024</v>
      </c>
      <c r="E2136" s="376">
        <v>2024</v>
      </c>
      <c r="F2136" s="376">
        <v>0.37384575124303709</v>
      </c>
      <c r="G2136" s="376">
        <v>9928.6887826901675</v>
      </c>
      <c r="H2136" s="376">
        <v>0.26706642379365719</v>
      </c>
      <c r="I2136" s="376">
        <v>0.85</v>
      </c>
    </row>
    <row r="2137" spans="1:9" x14ac:dyDescent="0.35">
      <c r="A2137" s="376" t="s">
        <v>1612</v>
      </c>
      <c r="B2137" s="376" t="s">
        <v>1609</v>
      </c>
      <c r="C2137" s="376" t="s">
        <v>1054</v>
      </c>
      <c r="D2137" s="376">
        <v>2024</v>
      </c>
      <c r="E2137" s="376">
        <v>2024</v>
      </c>
      <c r="F2137" s="376">
        <v>0.37384575124303709</v>
      </c>
      <c r="G2137" s="376">
        <v>9928.6887826901675</v>
      </c>
      <c r="H2137" s="376">
        <v>0.26706642379365719</v>
      </c>
      <c r="I2137" s="376">
        <v>0.85</v>
      </c>
    </row>
    <row r="2138" spans="1:9" x14ac:dyDescent="0.35">
      <c r="A2138" s="376" t="s">
        <v>1612</v>
      </c>
      <c r="B2138" s="376" t="s">
        <v>1609</v>
      </c>
      <c r="C2138" s="376" t="s">
        <v>1046</v>
      </c>
      <c r="D2138" s="376">
        <v>2024</v>
      </c>
      <c r="E2138" s="376">
        <v>2025</v>
      </c>
      <c r="F2138" s="376">
        <v>0.37384575124303709</v>
      </c>
      <c r="G2138" s="376">
        <v>9928.6887826901675</v>
      </c>
      <c r="H2138" s="376">
        <v>0.26706642379365719</v>
      </c>
      <c r="I2138" s="376">
        <v>0.85</v>
      </c>
    </row>
    <row r="2139" spans="1:9" x14ac:dyDescent="0.35">
      <c r="A2139" s="376" t="s">
        <v>1612</v>
      </c>
      <c r="B2139" s="376" t="s">
        <v>1609</v>
      </c>
      <c r="C2139" s="376" t="s">
        <v>644</v>
      </c>
      <c r="D2139" s="376">
        <v>2024</v>
      </c>
      <c r="E2139" s="376">
        <v>2025</v>
      </c>
      <c r="F2139" s="376">
        <v>0.37384575124303709</v>
      </c>
      <c r="G2139" s="376">
        <v>9928.6887826901675</v>
      </c>
      <c r="H2139" s="376">
        <v>0.26706642379365719</v>
      </c>
      <c r="I2139" s="376">
        <v>0.85</v>
      </c>
    </row>
    <row r="2140" spans="1:9" x14ac:dyDescent="0.35">
      <c r="A2140" s="376" t="s">
        <v>1612</v>
      </c>
      <c r="B2140" s="376" t="s">
        <v>1609</v>
      </c>
      <c r="C2140" s="376" t="s">
        <v>628</v>
      </c>
      <c r="D2140" s="376">
        <v>2024</v>
      </c>
      <c r="E2140" s="376">
        <v>2025</v>
      </c>
      <c r="F2140" s="376">
        <v>0.37384575124303709</v>
      </c>
      <c r="G2140" s="376">
        <v>9928.6887826901675</v>
      </c>
      <c r="H2140" s="376">
        <v>0.26706642379365719</v>
      </c>
      <c r="I2140" s="376">
        <v>0.85</v>
      </c>
    </row>
    <row r="2141" spans="1:9" x14ac:dyDescent="0.35">
      <c r="A2141" s="376" t="s">
        <v>1612</v>
      </c>
      <c r="B2141" s="376" t="s">
        <v>1609</v>
      </c>
      <c r="C2141" s="376" t="s">
        <v>1051</v>
      </c>
      <c r="D2141" s="376">
        <v>2024</v>
      </c>
      <c r="E2141" s="376">
        <v>2025</v>
      </c>
      <c r="F2141" s="376">
        <v>0.37384575124303709</v>
      </c>
      <c r="G2141" s="376">
        <v>9928.6887826901675</v>
      </c>
      <c r="H2141" s="376">
        <v>0.26706642379365719</v>
      </c>
      <c r="I2141" s="376">
        <v>0.85</v>
      </c>
    </row>
    <row r="2142" spans="1:9" x14ac:dyDescent="0.35">
      <c r="A2142" s="376" t="s">
        <v>1612</v>
      </c>
      <c r="B2142" s="376" t="s">
        <v>1609</v>
      </c>
      <c r="C2142" s="376" t="s">
        <v>1054</v>
      </c>
      <c r="D2142" s="376">
        <v>2024</v>
      </c>
      <c r="E2142" s="376">
        <v>2025</v>
      </c>
      <c r="F2142" s="376">
        <v>0.37384575124303709</v>
      </c>
      <c r="G2142" s="376">
        <v>9928.6887826901675</v>
      </c>
      <c r="H2142" s="376">
        <v>0.26706642379365719</v>
      </c>
      <c r="I2142" s="376">
        <v>0.85</v>
      </c>
    </row>
    <row r="2143" spans="1:9" x14ac:dyDescent="0.35">
      <c r="A2143" s="376" t="s">
        <v>1612</v>
      </c>
      <c r="B2143" s="376" t="s">
        <v>1609</v>
      </c>
      <c r="C2143" s="376" t="s">
        <v>1046</v>
      </c>
      <c r="D2143" s="376">
        <v>2024</v>
      </c>
      <c r="E2143" s="376">
        <v>2026</v>
      </c>
      <c r="F2143" s="376">
        <v>0.37384575124303709</v>
      </c>
      <c r="G2143" s="376">
        <v>9928.6887826901675</v>
      </c>
      <c r="H2143" s="376">
        <v>0.26706642379365719</v>
      </c>
      <c r="I2143" s="376">
        <v>0.85</v>
      </c>
    </row>
    <row r="2144" spans="1:9" x14ac:dyDescent="0.35">
      <c r="A2144" s="376" t="s">
        <v>1612</v>
      </c>
      <c r="B2144" s="376" t="s">
        <v>1609</v>
      </c>
      <c r="C2144" s="376" t="s">
        <v>644</v>
      </c>
      <c r="D2144" s="376">
        <v>2024</v>
      </c>
      <c r="E2144" s="376">
        <v>2026</v>
      </c>
      <c r="F2144" s="376">
        <v>0.37384575124303709</v>
      </c>
      <c r="G2144" s="376">
        <v>9928.6887826901675</v>
      </c>
      <c r="H2144" s="376">
        <v>0.26706642379365719</v>
      </c>
      <c r="I2144" s="376">
        <v>0.85</v>
      </c>
    </row>
    <row r="2145" spans="1:9" x14ac:dyDescent="0.35">
      <c r="A2145" s="376" t="s">
        <v>1612</v>
      </c>
      <c r="B2145" s="376" t="s">
        <v>1609</v>
      </c>
      <c r="C2145" s="376" t="s">
        <v>628</v>
      </c>
      <c r="D2145" s="376">
        <v>2024</v>
      </c>
      <c r="E2145" s="376">
        <v>2026</v>
      </c>
      <c r="F2145" s="376">
        <v>0.37384575124303709</v>
      </c>
      <c r="G2145" s="376">
        <v>9928.6887826901675</v>
      </c>
      <c r="H2145" s="376">
        <v>0.26706642379365719</v>
      </c>
      <c r="I2145" s="376">
        <v>0.85</v>
      </c>
    </row>
    <row r="2146" spans="1:9" x14ac:dyDescent="0.35">
      <c r="A2146" s="376" t="s">
        <v>1612</v>
      </c>
      <c r="B2146" s="376" t="s">
        <v>1609</v>
      </c>
      <c r="C2146" s="376" t="s">
        <v>1051</v>
      </c>
      <c r="D2146" s="376">
        <v>2024</v>
      </c>
      <c r="E2146" s="376">
        <v>2026</v>
      </c>
      <c r="F2146" s="376">
        <v>0.37384575124303709</v>
      </c>
      <c r="G2146" s="376">
        <v>9928.6887826901675</v>
      </c>
      <c r="H2146" s="376">
        <v>0.26706642379365719</v>
      </c>
      <c r="I2146" s="376">
        <v>0.85</v>
      </c>
    </row>
    <row r="2147" spans="1:9" x14ac:dyDescent="0.35">
      <c r="A2147" s="376" t="s">
        <v>1612</v>
      </c>
      <c r="B2147" s="376" t="s">
        <v>1609</v>
      </c>
      <c r="C2147" s="376" t="s">
        <v>1054</v>
      </c>
      <c r="D2147" s="376">
        <v>2024</v>
      </c>
      <c r="E2147" s="376">
        <v>2026</v>
      </c>
      <c r="F2147" s="376">
        <v>0.37384575124303709</v>
      </c>
      <c r="G2147" s="376">
        <v>9928.6887826901675</v>
      </c>
      <c r="H2147" s="376">
        <v>0.26706642379365719</v>
      </c>
      <c r="I2147" s="376">
        <v>0.85</v>
      </c>
    </row>
    <row r="2148" spans="1:9" x14ac:dyDescent="0.35">
      <c r="A2148" s="376" t="s">
        <v>1612</v>
      </c>
      <c r="B2148" s="376" t="s">
        <v>1609</v>
      </c>
      <c r="C2148" s="376" t="s">
        <v>1046</v>
      </c>
      <c r="D2148" s="376">
        <v>2024</v>
      </c>
      <c r="E2148" s="376">
        <v>2027</v>
      </c>
      <c r="F2148" s="376">
        <v>0.37384575124303709</v>
      </c>
      <c r="G2148" s="376">
        <v>9928.6887826901675</v>
      </c>
      <c r="H2148" s="376">
        <v>0.26706642379365719</v>
      </c>
      <c r="I2148" s="376">
        <v>0.85</v>
      </c>
    </row>
    <row r="2149" spans="1:9" x14ac:dyDescent="0.35">
      <c r="A2149" s="376" t="s">
        <v>1612</v>
      </c>
      <c r="B2149" s="376" t="s">
        <v>1609</v>
      </c>
      <c r="C2149" s="376" t="s">
        <v>644</v>
      </c>
      <c r="D2149" s="376">
        <v>2024</v>
      </c>
      <c r="E2149" s="376">
        <v>2027</v>
      </c>
      <c r="F2149" s="376">
        <v>0.37384575124303709</v>
      </c>
      <c r="G2149" s="376">
        <v>9928.6887826901675</v>
      </c>
      <c r="H2149" s="376">
        <v>0.26706642379365719</v>
      </c>
      <c r="I2149" s="376">
        <v>0.85</v>
      </c>
    </row>
    <row r="2150" spans="1:9" x14ac:dyDescent="0.35">
      <c r="A2150" s="376" t="s">
        <v>1612</v>
      </c>
      <c r="B2150" s="376" t="s">
        <v>1609</v>
      </c>
      <c r="C2150" s="376" t="s">
        <v>628</v>
      </c>
      <c r="D2150" s="376">
        <v>2024</v>
      </c>
      <c r="E2150" s="376">
        <v>2027</v>
      </c>
      <c r="F2150" s="376">
        <v>0.37384575124303709</v>
      </c>
      <c r="G2150" s="376">
        <v>9928.6887826901675</v>
      </c>
      <c r="H2150" s="376">
        <v>0.26706642379365719</v>
      </c>
      <c r="I2150" s="376">
        <v>0.85</v>
      </c>
    </row>
    <row r="2151" spans="1:9" x14ac:dyDescent="0.35">
      <c r="A2151" s="376" t="s">
        <v>1612</v>
      </c>
      <c r="B2151" s="376" t="s">
        <v>1609</v>
      </c>
      <c r="C2151" s="376" t="s">
        <v>1051</v>
      </c>
      <c r="D2151" s="376">
        <v>2024</v>
      </c>
      <c r="E2151" s="376">
        <v>2027</v>
      </c>
      <c r="F2151" s="376">
        <v>0.37384575124303709</v>
      </c>
      <c r="G2151" s="376">
        <v>9928.6887826901675</v>
      </c>
      <c r="H2151" s="376">
        <v>0.26706642379365719</v>
      </c>
      <c r="I2151" s="376">
        <v>0.85</v>
      </c>
    </row>
    <row r="2152" spans="1:9" x14ac:dyDescent="0.35">
      <c r="A2152" s="376" t="s">
        <v>1612</v>
      </c>
      <c r="B2152" s="376" t="s">
        <v>1609</v>
      </c>
      <c r="C2152" s="376" t="s">
        <v>1054</v>
      </c>
      <c r="D2152" s="376">
        <v>2024</v>
      </c>
      <c r="E2152" s="376">
        <v>2027</v>
      </c>
      <c r="F2152" s="376">
        <v>0.37384575124303709</v>
      </c>
      <c r="G2152" s="376">
        <v>9928.6887826901675</v>
      </c>
      <c r="H2152" s="376">
        <v>0.26706642379365719</v>
      </c>
      <c r="I2152" s="376">
        <v>0.85</v>
      </c>
    </row>
    <row r="2153" spans="1:9" x14ac:dyDescent="0.35">
      <c r="A2153" s="376" t="s">
        <v>1612</v>
      </c>
      <c r="B2153" s="376" t="s">
        <v>1609</v>
      </c>
      <c r="C2153" s="376" t="s">
        <v>1046</v>
      </c>
      <c r="D2153" s="376">
        <v>2024</v>
      </c>
      <c r="E2153" s="376">
        <v>2028</v>
      </c>
      <c r="F2153" s="376">
        <v>0.37384575124303709</v>
      </c>
      <c r="G2153" s="376">
        <v>9928.6887826901675</v>
      </c>
      <c r="H2153" s="376">
        <v>0.26706642379365719</v>
      </c>
      <c r="I2153" s="376">
        <v>0.85</v>
      </c>
    </row>
    <row r="2154" spans="1:9" x14ac:dyDescent="0.35">
      <c r="A2154" s="376" t="s">
        <v>1612</v>
      </c>
      <c r="B2154" s="376" t="s">
        <v>1609</v>
      </c>
      <c r="C2154" s="376" t="s">
        <v>644</v>
      </c>
      <c r="D2154" s="376">
        <v>2024</v>
      </c>
      <c r="E2154" s="376">
        <v>2028</v>
      </c>
      <c r="F2154" s="376">
        <v>0.37384575124303709</v>
      </c>
      <c r="G2154" s="376">
        <v>9928.6887826901675</v>
      </c>
      <c r="H2154" s="376">
        <v>0.26706642379365719</v>
      </c>
      <c r="I2154" s="376">
        <v>0.85</v>
      </c>
    </row>
    <row r="2155" spans="1:9" x14ac:dyDescent="0.35">
      <c r="A2155" s="376" t="s">
        <v>1612</v>
      </c>
      <c r="B2155" s="376" t="s">
        <v>1609</v>
      </c>
      <c r="C2155" s="376" t="s">
        <v>628</v>
      </c>
      <c r="D2155" s="376">
        <v>2024</v>
      </c>
      <c r="E2155" s="376">
        <v>2028</v>
      </c>
      <c r="F2155" s="376">
        <v>0.37384575124303709</v>
      </c>
      <c r="G2155" s="376">
        <v>9928.6887826901675</v>
      </c>
      <c r="H2155" s="376">
        <v>0.26706642379365719</v>
      </c>
      <c r="I2155" s="376">
        <v>0.85</v>
      </c>
    </row>
    <row r="2156" spans="1:9" x14ac:dyDescent="0.35">
      <c r="A2156" s="376" t="s">
        <v>1612</v>
      </c>
      <c r="B2156" s="376" t="s">
        <v>1609</v>
      </c>
      <c r="C2156" s="376" t="s">
        <v>1051</v>
      </c>
      <c r="D2156" s="376">
        <v>2024</v>
      </c>
      <c r="E2156" s="376">
        <v>2028</v>
      </c>
      <c r="F2156" s="376">
        <v>0.37384575124303709</v>
      </c>
      <c r="G2156" s="376">
        <v>9928.6887826901675</v>
      </c>
      <c r="H2156" s="376">
        <v>0.26706642379365719</v>
      </c>
      <c r="I2156" s="376">
        <v>0.85</v>
      </c>
    </row>
    <row r="2157" spans="1:9" x14ac:dyDescent="0.35">
      <c r="A2157" s="376" t="s">
        <v>1612</v>
      </c>
      <c r="B2157" s="376" t="s">
        <v>1609</v>
      </c>
      <c r="C2157" s="376" t="s">
        <v>1054</v>
      </c>
      <c r="D2157" s="376">
        <v>2024</v>
      </c>
      <c r="E2157" s="376">
        <v>2028</v>
      </c>
      <c r="F2157" s="376">
        <v>0.37384575124303709</v>
      </c>
      <c r="G2157" s="376">
        <v>9928.6887826901675</v>
      </c>
      <c r="H2157" s="376">
        <v>0.26706642379365719</v>
      </c>
      <c r="I2157" s="376">
        <v>0.85</v>
      </c>
    </row>
    <row r="2158" spans="1:9" x14ac:dyDescent="0.35">
      <c r="A2158" s="376" t="s">
        <v>1612</v>
      </c>
      <c r="B2158" s="376" t="s">
        <v>1609</v>
      </c>
      <c r="C2158" s="376" t="s">
        <v>1046</v>
      </c>
      <c r="D2158" s="376">
        <v>2024</v>
      </c>
      <c r="E2158" s="376">
        <v>2029</v>
      </c>
      <c r="F2158" s="376">
        <v>0.37384575124303709</v>
      </c>
      <c r="G2158" s="376">
        <v>9928.6887826901675</v>
      </c>
      <c r="H2158" s="376">
        <v>0.26706642379365719</v>
      </c>
      <c r="I2158" s="376">
        <v>0.85</v>
      </c>
    </row>
    <row r="2159" spans="1:9" x14ac:dyDescent="0.35">
      <c r="A2159" s="376" t="s">
        <v>1612</v>
      </c>
      <c r="B2159" s="376" t="s">
        <v>1609</v>
      </c>
      <c r="C2159" s="376" t="s">
        <v>644</v>
      </c>
      <c r="D2159" s="376">
        <v>2024</v>
      </c>
      <c r="E2159" s="376">
        <v>2029</v>
      </c>
      <c r="F2159" s="376">
        <v>0.37384575124303709</v>
      </c>
      <c r="G2159" s="376">
        <v>9928.6887826901675</v>
      </c>
      <c r="H2159" s="376">
        <v>0.26706642379365719</v>
      </c>
      <c r="I2159" s="376">
        <v>0.85</v>
      </c>
    </row>
    <row r="2160" spans="1:9" x14ac:dyDescent="0.35">
      <c r="A2160" s="376" t="s">
        <v>1612</v>
      </c>
      <c r="B2160" s="376" t="s">
        <v>1609</v>
      </c>
      <c r="C2160" s="376" t="s">
        <v>628</v>
      </c>
      <c r="D2160" s="376">
        <v>2024</v>
      </c>
      <c r="E2160" s="376">
        <v>2029</v>
      </c>
      <c r="F2160" s="376">
        <v>0.37384575124303709</v>
      </c>
      <c r="G2160" s="376">
        <v>9928.6887826901675</v>
      </c>
      <c r="H2160" s="376">
        <v>0.26706642379365719</v>
      </c>
      <c r="I2160" s="376">
        <v>0.85</v>
      </c>
    </row>
    <row r="2161" spans="1:9" x14ac:dyDescent="0.35">
      <c r="A2161" s="376" t="s">
        <v>1612</v>
      </c>
      <c r="B2161" s="376" t="s">
        <v>1609</v>
      </c>
      <c r="C2161" s="376" t="s">
        <v>1051</v>
      </c>
      <c r="D2161" s="376">
        <v>2024</v>
      </c>
      <c r="E2161" s="376">
        <v>2029</v>
      </c>
      <c r="F2161" s="376">
        <v>0.37384575124303709</v>
      </c>
      <c r="G2161" s="376">
        <v>9928.6887826901675</v>
      </c>
      <c r="H2161" s="376">
        <v>0.26706642379365719</v>
      </c>
      <c r="I2161" s="376">
        <v>0.85</v>
      </c>
    </row>
    <row r="2162" spans="1:9" x14ac:dyDescent="0.35">
      <c r="A2162" s="376" t="s">
        <v>1612</v>
      </c>
      <c r="B2162" s="376" t="s">
        <v>1609</v>
      </c>
      <c r="C2162" s="376" t="s">
        <v>1054</v>
      </c>
      <c r="D2162" s="376">
        <v>2024</v>
      </c>
      <c r="E2162" s="376">
        <v>2029</v>
      </c>
      <c r="F2162" s="376">
        <v>0.37384575124303709</v>
      </c>
      <c r="G2162" s="376">
        <v>9928.6887826901675</v>
      </c>
      <c r="H2162" s="376">
        <v>0.26706642379365719</v>
      </c>
      <c r="I2162" s="376">
        <v>0.85</v>
      </c>
    </row>
    <row r="2163" spans="1:9" x14ac:dyDescent="0.35">
      <c r="A2163" s="376" t="s">
        <v>1612</v>
      </c>
      <c r="B2163" s="376" t="s">
        <v>1609</v>
      </c>
      <c r="C2163" s="376" t="s">
        <v>1046</v>
      </c>
      <c r="D2163" s="376">
        <v>2024</v>
      </c>
      <c r="E2163" s="376">
        <v>2030</v>
      </c>
      <c r="F2163" s="376">
        <v>0.37384575124303709</v>
      </c>
      <c r="G2163" s="376">
        <v>9928.6887826901675</v>
      </c>
      <c r="H2163" s="376">
        <v>0.26706642379365719</v>
      </c>
      <c r="I2163" s="376">
        <v>0.85</v>
      </c>
    </row>
    <row r="2164" spans="1:9" x14ac:dyDescent="0.35">
      <c r="A2164" s="376" t="s">
        <v>1612</v>
      </c>
      <c r="B2164" s="376" t="s">
        <v>1609</v>
      </c>
      <c r="C2164" s="376" t="s">
        <v>644</v>
      </c>
      <c r="D2164" s="376">
        <v>2024</v>
      </c>
      <c r="E2164" s="376">
        <v>2030</v>
      </c>
      <c r="F2164" s="376">
        <v>0.37384575124303709</v>
      </c>
      <c r="G2164" s="376">
        <v>9928.6887826901675</v>
      </c>
      <c r="H2164" s="376">
        <v>0.26706642379365719</v>
      </c>
      <c r="I2164" s="376">
        <v>0.85</v>
      </c>
    </row>
    <row r="2165" spans="1:9" x14ac:dyDescent="0.35">
      <c r="A2165" s="376" t="s">
        <v>1612</v>
      </c>
      <c r="B2165" s="376" t="s">
        <v>1609</v>
      </c>
      <c r="C2165" s="376" t="s">
        <v>628</v>
      </c>
      <c r="D2165" s="376">
        <v>2024</v>
      </c>
      <c r="E2165" s="376">
        <v>2030</v>
      </c>
      <c r="F2165" s="376">
        <v>0.37384575124303709</v>
      </c>
      <c r="G2165" s="376">
        <v>9928.6887826901675</v>
      </c>
      <c r="H2165" s="376">
        <v>0.26706642379365719</v>
      </c>
      <c r="I2165" s="376">
        <v>0.85</v>
      </c>
    </row>
    <row r="2166" spans="1:9" x14ac:dyDescent="0.35">
      <c r="A2166" s="376" t="s">
        <v>1612</v>
      </c>
      <c r="B2166" s="376" t="s">
        <v>1609</v>
      </c>
      <c r="C2166" s="376" t="s">
        <v>1051</v>
      </c>
      <c r="D2166" s="376">
        <v>2024</v>
      </c>
      <c r="E2166" s="376">
        <v>2030</v>
      </c>
      <c r="F2166" s="376">
        <v>0.37384575124303709</v>
      </c>
      <c r="G2166" s="376">
        <v>9928.6887826901675</v>
      </c>
      <c r="H2166" s="376">
        <v>0.26706642379365719</v>
      </c>
      <c r="I2166" s="376">
        <v>0.85</v>
      </c>
    </row>
    <row r="2167" spans="1:9" x14ac:dyDescent="0.35">
      <c r="A2167" s="376" t="s">
        <v>1612</v>
      </c>
      <c r="B2167" s="376" t="s">
        <v>1609</v>
      </c>
      <c r="C2167" s="376" t="s">
        <v>1054</v>
      </c>
      <c r="D2167" s="376">
        <v>2024</v>
      </c>
      <c r="E2167" s="376">
        <v>2030</v>
      </c>
      <c r="F2167" s="376">
        <v>0.37384575124303709</v>
      </c>
      <c r="G2167" s="376">
        <v>9928.6887826901675</v>
      </c>
      <c r="H2167" s="376">
        <v>0.26706642379365719</v>
      </c>
      <c r="I2167" s="376">
        <v>0.85</v>
      </c>
    </row>
    <row r="2168" spans="1:9" x14ac:dyDescent="0.35">
      <c r="A2168" s="376" t="s">
        <v>1612</v>
      </c>
      <c r="B2168" s="376" t="s">
        <v>1609</v>
      </c>
      <c r="C2168" s="376" t="s">
        <v>1046</v>
      </c>
      <c r="D2168" s="376">
        <v>2024</v>
      </c>
      <c r="E2168" s="376">
        <v>2031</v>
      </c>
      <c r="F2168" s="376">
        <v>0.37384575124303709</v>
      </c>
      <c r="G2168" s="376">
        <v>9928.6887826901675</v>
      </c>
      <c r="H2168" s="376">
        <v>0.26706642379365719</v>
      </c>
      <c r="I2168" s="376">
        <v>0.85</v>
      </c>
    </row>
    <row r="2169" spans="1:9" x14ac:dyDescent="0.35">
      <c r="A2169" s="376" t="s">
        <v>1612</v>
      </c>
      <c r="B2169" s="376" t="s">
        <v>1609</v>
      </c>
      <c r="C2169" s="376" t="s">
        <v>644</v>
      </c>
      <c r="D2169" s="376">
        <v>2024</v>
      </c>
      <c r="E2169" s="376">
        <v>2031</v>
      </c>
      <c r="F2169" s="376">
        <v>0.37384575124303709</v>
      </c>
      <c r="G2169" s="376">
        <v>9928.6887826901675</v>
      </c>
      <c r="H2169" s="376">
        <v>0.26706642379365719</v>
      </c>
      <c r="I2169" s="376">
        <v>0.85</v>
      </c>
    </row>
    <row r="2170" spans="1:9" x14ac:dyDescent="0.35">
      <c r="A2170" s="376" t="s">
        <v>1612</v>
      </c>
      <c r="B2170" s="376" t="s">
        <v>1609</v>
      </c>
      <c r="C2170" s="376" t="s">
        <v>628</v>
      </c>
      <c r="D2170" s="376">
        <v>2024</v>
      </c>
      <c r="E2170" s="376">
        <v>2031</v>
      </c>
      <c r="F2170" s="376">
        <v>0.37384575124303709</v>
      </c>
      <c r="G2170" s="376">
        <v>9928.6887826901675</v>
      </c>
      <c r="H2170" s="376">
        <v>0.26706642379365719</v>
      </c>
      <c r="I2170" s="376">
        <v>0.85</v>
      </c>
    </row>
    <row r="2171" spans="1:9" x14ac:dyDescent="0.35">
      <c r="A2171" s="376" t="s">
        <v>1612</v>
      </c>
      <c r="B2171" s="376" t="s">
        <v>1609</v>
      </c>
      <c r="C2171" s="376" t="s">
        <v>1051</v>
      </c>
      <c r="D2171" s="376">
        <v>2024</v>
      </c>
      <c r="E2171" s="376">
        <v>2031</v>
      </c>
      <c r="F2171" s="376">
        <v>0.37384575124303709</v>
      </c>
      <c r="G2171" s="376">
        <v>9928.6887826901675</v>
      </c>
      <c r="H2171" s="376">
        <v>0.26706642379365719</v>
      </c>
      <c r="I2171" s="376">
        <v>0.85</v>
      </c>
    </row>
    <row r="2172" spans="1:9" x14ac:dyDescent="0.35">
      <c r="A2172" s="376" t="s">
        <v>1612</v>
      </c>
      <c r="B2172" s="376" t="s">
        <v>1609</v>
      </c>
      <c r="C2172" s="376" t="s">
        <v>1054</v>
      </c>
      <c r="D2172" s="376">
        <v>2024</v>
      </c>
      <c r="E2172" s="376">
        <v>2031</v>
      </c>
      <c r="F2172" s="376">
        <v>0.37384575124303709</v>
      </c>
      <c r="G2172" s="376">
        <v>9928.6887826901675</v>
      </c>
      <c r="H2172" s="376">
        <v>0.26706642379365719</v>
      </c>
      <c r="I2172" s="376">
        <v>0.85</v>
      </c>
    </row>
    <row r="2173" spans="1:9" x14ac:dyDescent="0.35">
      <c r="A2173" s="376" t="s">
        <v>1613</v>
      </c>
      <c r="B2173" s="376" t="s">
        <v>1609</v>
      </c>
      <c r="C2173" s="376" t="s">
        <v>1046</v>
      </c>
      <c r="D2173" s="376">
        <v>2024</v>
      </c>
      <c r="E2173" s="376">
        <v>2024</v>
      </c>
      <c r="F2173" s="376">
        <v>0.40444272241720852</v>
      </c>
      <c r="G2173" s="376">
        <v>8848.5269568257354</v>
      </c>
      <c r="H2173" s="376">
        <v>0.26217990444951278</v>
      </c>
      <c r="I2173" s="376">
        <v>0.85</v>
      </c>
    </row>
    <row r="2174" spans="1:9" x14ac:dyDescent="0.35">
      <c r="A2174" s="376" t="s">
        <v>1613</v>
      </c>
      <c r="B2174" s="376" t="s">
        <v>1609</v>
      </c>
      <c r="C2174" s="376" t="s">
        <v>644</v>
      </c>
      <c r="D2174" s="376">
        <v>2024</v>
      </c>
      <c r="E2174" s="376">
        <v>2024</v>
      </c>
      <c r="F2174" s="376">
        <v>0.40444272241720852</v>
      </c>
      <c r="G2174" s="376">
        <v>8848.5269568257354</v>
      </c>
      <c r="H2174" s="376">
        <v>0.26217990444951278</v>
      </c>
      <c r="I2174" s="376">
        <v>0.85</v>
      </c>
    </row>
    <row r="2175" spans="1:9" x14ac:dyDescent="0.35">
      <c r="A2175" s="376" t="s">
        <v>1613</v>
      </c>
      <c r="B2175" s="376" t="s">
        <v>1609</v>
      </c>
      <c r="C2175" s="376" t="s">
        <v>628</v>
      </c>
      <c r="D2175" s="376">
        <v>2024</v>
      </c>
      <c r="E2175" s="376">
        <v>2024</v>
      </c>
      <c r="F2175" s="376">
        <v>0.40444272241720852</v>
      </c>
      <c r="G2175" s="376">
        <v>8848.5269568257354</v>
      </c>
      <c r="H2175" s="376">
        <v>0.26217990444951278</v>
      </c>
      <c r="I2175" s="376">
        <v>0.85</v>
      </c>
    </row>
    <row r="2176" spans="1:9" x14ac:dyDescent="0.35">
      <c r="A2176" s="376" t="s">
        <v>1613</v>
      </c>
      <c r="B2176" s="376" t="s">
        <v>1609</v>
      </c>
      <c r="C2176" s="376" t="s">
        <v>1051</v>
      </c>
      <c r="D2176" s="376">
        <v>2024</v>
      </c>
      <c r="E2176" s="376">
        <v>2024</v>
      </c>
      <c r="F2176" s="376">
        <v>0.40444272241720852</v>
      </c>
      <c r="G2176" s="376">
        <v>8848.5269568257354</v>
      </c>
      <c r="H2176" s="376">
        <v>0.26217990444951278</v>
      </c>
      <c r="I2176" s="376">
        <v>0.85</v>
      </c>
    </row>
    <row r="2177" spans="1:9" x14ac:dyDescent="0.35">
      <c r="A2177" s="376" t="s">
        <v>1613</v>
      </c>
      <c r="B2177" s="376" t="s">
        <v>1609</v>
      </c>
      <c r="C2177" s="376" t="s">
        <v>1054</v>
      </c>
      <c r="D2177" s="376">
        <v>2024</v>
      </c>
      <c r="E2177" s="376">
        <v>2024</v>
      </c>
      <c r="F2177" s="376">
        <v>0.40444272241720852</v>
      </c>
      <c r="G2177" s="376">
        <v>8848.5269568257354</v>
      </c>
      <c r="H2177" s="376">
        <v>0.26217990444951278</v>
      </c>
      <c r="I2177" s="376">
        <v>0.85</v>
      </c>
    </row>
    <row r="2178" spans="1:9" x14ac:dyDescent="0.35">
      <c r="A2178" s="376" t="s">
        <v>1613</v>
      </c>
      <c r="B2178" s="376" t="s">
        <v>1609</v>
      </c>
      <c r="C2178" s="376" t="s">
        <v>1046</v>
      </c>
      <c r="D2178" s="376">
        <v>2024</v>
      </c>
      <c r="E2178" s="376">
        <v>2025</v>
      </c>
      <c r="F2178" s="376">
        <v>0.40444272241720852</v>
      </c>
      <c r="G2178" s="376">
        <v>8848.5269568257354</v>
      </c>
      <c r="H2178" s="376">
        <v>0.26217990444951278</v>
      </c>
      <c r="I2178" s="376">
        <v>0.85</v>
      </c>
    </row>
    <row r="2179" spans="1:9" x14ac:dyDescent="0.35">
      <c r="A2179" s="376" t="s">
        <v>1613</v>
      </c>
      <c r="B2179" s="376" t="s">
        <v>1609</v>
      </c>
      <c r="C2179" s="376" t="s">
        <v>644</v>
      </c>
      <c r="D2179" s="376">
        <v>2024</v>
      </c>
      <c r="E2179" s="376">
        <v>2025</v>
      </c>
      <c r="F2179" s="376">
        <v>0.40444272241720852</v>
      </c>
      <c r="G2179" s="376">
        <v>8848.5269568257354</v>
      </c>
      <c r="H2179" s="376">
        <v>0.26217990444951278</v>
      </c>
      <c r="I2179" s="376">
        <v>0.85</v>
      </c>
    </row>
    <row r="2180" spans="1:9" x14ac:dyDescent="0.35">
      <c r="A2180" s="376" t="s">
        <v>1613</v>
      </c>
      <c r="B2180" s="376" t="s">
        <v>1609</v>
      </c>
      <c r="C2180" s="376" t="s">
        <v>628</v>
      </c>
      <c r="D2180" s="376">
        <v>2024</v>
      </c>
      <c r="E2180" s="376">
        <v>2025</v>
      </c>
      <c r="F2180" s="376">
        <v>0.40444272241720852</v>
      </c>
      <c r="G2180" s="376">
        <v>8848.5269568257354</v>
      </c>
      <c r="H2180" s="376">
        <v>0.26217990444951278</v>
      </c>
      <c r="I2180" s="376">
        <v>0.85</v>
      </c>
    </row>
    <row r="2181" spans="1:9" x14ac:dyDescent="0.35">
      <c r="A2181" s="376" t="s">
        <v>1613</v>
      </c>
      <c r="B2181" s="376" t="s">
        <v>1609</v>
      </c>
      <c r="C2181" s="376" t="s">
        <v>1051</v>
      </c>
      <c r="D2181" s="376">
        <v>2024</v>
      </c>
      <c r="E2181" s="376">
        <v>2025</v>
      </c>
      <c r="F2181" s="376">
        <v>0.40444272241720852</v>
      </c>
      <c r="G2181" s="376">
        <v>8848.5269568257354</v>
      </c>
      <c r="H2181" s="376">
        <v>0.26217990444951278</v>
      </c>
      <c r="I2181" s="376">
        <v>0.85</v>
      </c>
    </row>
    <row r="2182" spans="1:9" x14ac:dyDescent="0.35">
      <c r="A2182" s="376" t="s">
        <v>1613</v>
      </c>
      <c r="B2182" s="376" t="s">
        <v>1609</v>
      </c>
      <c r="C2182" s="376" t="s">
        <v>1054</v>
      </c>
      <c r="D2182" s="376">
        <v>2024</v>
      </c>
      <c r="E2182" s="376">
        <v>2025</v>
      </c>
      <c r="F2182" s="376">
        <v>0.40444272241720852</v>
      </c>
      <c r="G2182" s="376">
        <v>8848.5269568257354</v>
      </c>
      <c r="H2182" s="376">
        <v>0.26217990444951278</v>
      </c>
      <c r="I2182" s="376">
        <v>0.85</v>
      </c>
    </row>
    <row r="2183" spans="1:9" x14ac:dyDescent="0.35">
      <c r="A2183" s="376" t="s">
        <v>1613</v>
      </c>
      <c r="B2183" s="376" t="s">
        <v>1609</v>
      </c>
      <c r="C2183" s="376" t="s">
        <v>1046</v>
      </c>
      <c r="D2183" s="376">
        <v>2024</v>
      </c>
      <c r="E2183" s="376">
        <v>2026</v>
      </c>
      <c r="F2183" s="376">
        <v>0.40444272241720852</v>
      </c>
      <c r="G2183" s="376">
        <v>8848.5269568257354</v>
      </c>
      <c r="H2183" s="376">
        <v>0.26217990444951278</v>
      </c>
      <c r="I2183" s="376">
        <v>0.85</v>
      </c>
    </row>
    <row r="2184" spans="1:9" x14ac:dyDescent="0.35">
      <c r="A2184" s="376" t="s">
        <v>1613</v>
      </c>
      <c r="B2184" s="376" t="s">
        <v>1609</v>
      </c>
      <c r="C2184" s="376" t="s">
        <v>644</v>
      </c>
      <c r="D2184" s="376">
        <v>2024</v>
      </c>
      <c r="E2184" s="376">
        <v>2026</v>
      </c>
      <c r="F2184" s="376">
        <v>0.40444272241720852</v>
      </c>
      <c r="G2184" s="376">
        <v>8848.5269568257354</v>
      </c>
      <c r="H2184" s="376">
        <v>0.26217990444951278</v>
      </c>
      <c r="I2184" s="376">
        <v>0.85</v>
      </c>
    </row>
    <row r="2185" spans="1:9" x14ac:dyDescent="0.35">
      <c r="A2185" s="376" t="s">
        <v>1613</v>
      </c>
      <c r="B2185" s="376" t="s">
        <v>1609</v>
      </c>
      <c r="C2185" s="376" t="s">
        <v>628</v>
      </c>
      <c r="D2185" s="376">
        <v>2024</v>
      </c>
      <c r="E2185" s="376">
        <v>2026</v>
      </c>
      <c r="F2185" s="376">
        <v>0.40444272241720852</v>
      </c>
      <c r="G2185" s="376">
        <v>8848.5269568257354</v>
      </c>
      <c r="H2185" s="376">
        <v>0.26217990444951278</v>
      </c>
      <c r="I2185" s="376">
        <v>0.85</v>
      </c>
    </row>
    <row r="2186" spans="1:9" x14ac:dyDescent="0.35">
      <c r="A2186" s="376" t="s">
        <v>1613</v>
      </c>
      <c r="B2186" s="376" t="s">
        <v>1609</v>
      </c>
      <c r="C2186" s="376" t="s">
        <v>1051</v>
      </c>
      <c r="D2186" s="376">
        <v>2024</v>
      </c>
      <c r="E2186" s="376">
        <v>2026</v>
      </c>
      <c r="F2186" s="376">
        <v>0.40444272241720852</v>
      </c>
      <c r="G2186" s="376">
        <v>8848.5269568257354</v>
      </c>
      <c r="H2186" s="376">
        <v>0.26217990444951278</v>
      </c>
      <c r="I2186" s="376">
        <v>0.85</v>
      </c>
    </row>
    <row r="2187" spans="1:9" x14ac:dyDescent="0.35">
      <c r="A2187" s="376" t="s">
        <v>1613</v>
      </c>
      <c r="B2187" s="376" t="s">
        <v>1609</v>
      </c>
      <c r="C2187" s="376" t="s">
        <v>1054</v>
      </c>
      <c r="D2187" s="376">
        <v>2024</v>
      </c>
      <c r="E2187" s="376">
        <v>2026</v>
      </c>
      <c r="F2187" s="376">
        <v>0.40444272241720852</v>
      </c>
      <c r="G2187" s="376">
        <v>8848.5269568257354</v>
      </c>
      <c r="H2187" s="376">
        <v>0.26217990444951278</v>
      </c>
      <c r="I2187" s="376">
        <v>0.85</v>
      </c>
    </row>
    <row r="2188" spans="1:9" x14ac:dyDescent="0.35">
      <c r="A2188" s="376" t="s">
        <v>1613</v>
      </c>
      <c r="B2188" s="376" t="s">
        <v>1609</v>
      </c>
      <c r="C2188" s="376" t="s">
        <v>1046</v>
      </c>
      <c r="D2188" s="376">
        <v>2024</v>
      </c>
      <c r="E2188" s="376">
        <v>2027</v>
      </c>
      <c r="F2188" s="376">
        <v>0.40444272241720852</v>
      </c>
      <c r="G2188" s="376">
        <v>8848.5269568257354</v>
      </c>
      <c r="H2188" s="376">
        <v>0.26217990444951278</v>
      </c>
      <c r="I2188" s="376">
        <v>0.85</v>
      </c>
    </row>
    <row r="2189" spans="1:9" x14ac:dyDescent="0.35">
      <c r="A2189" s="376" t="s">
        <v>1613</v>
      </c>
      <c r="B2189" s="376" t="s">
        <v>1609</v>
      </c>
      <c r="C2189" s="376" t="s">
        <v>644</v>
      </c>
      <c r="D2189" s="376">
        <v>2024</v>
      </c>
      <c r="E2189" s="376">
        <v>2027</v>
      </c>
      <c r="F2189" s="376">
        <v>0.40444272241720852</v>
      </c>
      <c r="G2189" s="376">
        <v>8848.5269568257354</v>
      </c>
      <c r="H2189" s="376">
        <v>0.26217990444951278</v>
      </c>
      <c r="I2189" s="376">
        <v>0.85</v>
      </c>
    </row>
    <row r="2190" spans="1:9" x14ac:dyDescent="0.35">
      <c r="A2190" s="376" t="s">
        <v>1613</v>
      </c>
      <c r="B2190" s="376" t="s">
        <v>1609</v>
      </c>
      <c r="C2190" s="376" t="s">
        <v>628</v>
      </c>
      <c r="D2190" s="376">
        <v>2024</v>
      </c>
      <c r="E2190" s="376">
        <v>2027</v>
      </c>
      <c r="F2190" s="376">
        <v>0.40444272241720852</v>
      </c>
      <c r="G2190" s="376">
        <v>8848.5269568257354</v>
      </c>
      <c r="H2190" s="376">
        <v>0.26217990444951278</v>
      </c>
      <c r="I2190" s="376">
        <v>0.85</v>
      </c>
    </row>
    <row r="2191" spans="1:9" x14ac:dyDescent="0.35">
      <c r="A2191" s="376" t="s">
        <v>1613</v>
      </c>
      <c r="B2191" s="376" t="s">
        <v>1609</v>
      </c>
      <c r="C2191" s="376" t="s">
        <v>1051</v>
      </c>
      <c r="D2191" s="376">
        <v>2024</v>
      </c>
      <c r="E2191" s="376">
        <v>2027</v>
      </c>
      <c r="F2191" s="376">
        <v>0.40444272241720852</v>
      </c>
      <c r="G2191" s="376">
        <v>8848.5269568257354</v>
      </c>
      <c r="H2191" s="376">
        <v>0.26217990444951278</v>
      </c>
      <c r="I2191" s="376">
        <v>0.85</v>
      </c>
    </row>
    <row r="2192" spans="1:9" x14ac:dyDescent="0.35">
      <c r="A2192" s="376" t="s">
        <v>1613</v>
      </c>
      <c r="B2192" s="376" t="s">
        <v>1609</v>
      </c>
      <c r="C2192" s="376" t="s">
        <v>1054</v>
      </c>
      <c r="D2192" s="376">
        <v>2024</v>
      </c>
      <c r="E2192" s="376">
        <v>2027</v>
      </c>
      <c r="F2192" s="376">
        <v>0.40444272241720852</v>
      </c>
      <c r="G2192" s="376">
        <v>8848.5269568257354</v>
      </c>
      <c r="H2192" s="376">
        <v>0.26217990444951278</v>
      </c>
      <c r="I2192" s="376">
        <v>0.85</v>
      </c>
    </row>
    <row r="2193" spans="1:9" x14ac:dyDescent="0.35">
      <c r="A2193" s="376" t="s">
        <v>1613</v>
      </c>
      <c r="B2193" s="376" t="s">
        <v>1609</v>
      </c>
      <c r="C2193" s="376" t="s">
        <v>1046</v>
      </c>
      <c r="D2193" s="376">
        <v>2024</v>
      </c>
      <c r="E2193" s="376">
        <v>2028</v>
      </c>
      <c r="F2193" s="376">
        <v>0.40444272241720852</v>
      </c>
      <c r="G2193" s="376">
        <v>8848.5269568257354</v>
      </c>
      <c r="H2193" s="376">
        <v>0.26217990444951278</v>
      </c>
      <c r="I2193" s="376">
        <v>0.85</v>
      </c>
    </row>
    <row r="2194" spans="1:9" x14ac:dyDescent="0.35">
      <c r="A2194" s="376" t="s">
        <v>1613</v>
      </c>
      <c r="B2194" s="376" t="s">
        <v>1609</v>
      </c>
      <c r="C2194" s="376" t="s">
        <v>644</v>
      </c>
      <c r="D2194" s="376">
        <v>2024</v>
      </c>
      <c r="E2194" s="376">
        <v>2028</v>
      </c>
      <c r="F2194" s="376">
        <v>0.40444272241720852</v>
      </c>
      <c r="G2194" s="376">
        <v>8848.5269568257354</v>
      </c>
      <c r="H2194" s="376">
        <v>0.26217990444951278</v>
      </c>
      <c r="I2194" s="376">
        <v>0.85</v>
      </c>
    </row>
    <row r="2195" spans="1:9" x14ac:dyDescent="0.35">
      <c r="A2195" s="376" t="s">
        <v>1613</v>
      </c>
      <c r="B2195" s="376" t="s">
        <v>1609</v>
      </c>
      <c r="C2195" s="376" t="s">
        <v>628</v>
      </c>
      <c r="D2195" s="376">
        <v>2024</v>
      </c>
      <c r="E2195" s="376">
        <v>2028</v>
      </c>
      <c r="F2195" s="376">
        <v>0.40444272241720852</v>
      </c>
      <c r="G2195" s="376">
        <v>8848.5269568257354</v>
      </c>
      <c r="H2195" s="376">
        <v>0.26217990444951278</v>
      </c>
      <c r="I2195" s="376">
        <v>0.85</v>
      </c>
    </row>
    <row r="2196" spans="1:9" x14ac:dyDescent="0.35">
      <c r="A2196" s="376" t="s">
        <v>1613</v>
      </c>
      <c r="B2196" s="376" t="s">
        <v>1609</v>
      </c>
      <c r="C2196" s="376" t="s">
        <v>1051</v>
      </c>
      <c r="D2196" s="376">
        <v>2024</v>
      </c>
      <c r="E2196" s="376">
        <v>2028</v>
      </c>
      <c r="F2196" s="376">
        <v>0.40444272241720852</v>
      </c>
      <c r="G2196" s="376">
        <v>8848.5269568257354</v>
      </c>
      <c r="H2196" s="376">
        <v>0.26217990444951278</v>
      </c>
      <c r="I2196" s="376">
        <v>0.85</v>
      </c>
    </row>
    <row r="2197" spans="1:9" x14ac:dyDescent="0.35">
      <c r="A2197" s="376" t="s">
        <v>1613</v>
      </c>
      <c r="B2197" s="376" t="s">
        <v>1609</v>
      </c>
      <c r="C2197" s="376" t="s">
        <v>1054</v>
      </c>
      <c r="D2197" s="376">
        <v>2024</v>
      </c>
      <c r="E2197" s="376">
        <v>2028</v>
      </c>
      <c r="F2197" s="376">
        <v>0.40444272241720852</v>
      </c>
      <c r="G2197" s="376">
        <v>8848.5269568257354</v>
      </c>
      <c r="H2197" s="376">
        <v>0.26217990444951278</v>
      </c>
      <c r="I2197" s="376">
        <v>0.85</v>
      </c>
    </row>
    <row r="2198" spans="1:9" x14ac:dyDescent="0.35">
      <c r="A2198" s="376" t="s">
        <v>1613</v>
      </c>
      <c r="B2198" s="376" t="s">
        <v>1609</v>
      </c>
      <c r="C2198" s="376" t="s">
        <v>1046</v>
      </c>
      <c r="D2198" s="376">
        <v>2024</v>
      </c>
      <c r="E2198" s="376">
        <v>2029</v>
      </c>
      <c r="F2198" s="376">
        <v>0.40444272241720852</v>
      </c>
      <c r="G2198" s="376">
        <v>8848.5269568257354</v>
      </c>
      <c r="H2198" s="376">
        <v>0.26217990444951278</v>
      </c>
      <c r="I2198" s="376">
        <v>0.85</v>
      </c>
    </row>
    <row r="2199" spans="1:9" x14ac:dyDescent="0.35">
      <c r="A2199" s="376" t="s">
        <v>1613</v>
      </c>
      <c r="B2199" s="376" t="s">
        <v>1609</v>
      </c>
      <c r="C2199" s="376" t="s">
        <v>644</v>
      </c>
      <c r="D2199" s="376">
        <v>2024</v>
      </c>
      <c r="E2199" s="376">
        <v>2029</v>
      </c>
      <c r="F2199" s="376">
        <v>0.40444272241720852</v>
      </c>
      <c r="G2199" s="376">
        <v>8848.5269568257354</v>
      </c>
      <c r="H2199" s="376">
        <v>0.26217990444951278</v>
      </c>
      <c r="I2199" s="376">
        <v>0.85</v>
      </c>
    </row>
    <row r="2200" spans="1:9" x14ac:dyDescent="0.35">
      <c r="A2200" s="376" t="s">
        <v>1613</v>
      </c>
      <c r="B2200" s="376" t="s">
        <v>1609</v>
      </c>
      <c r="C2200" s="376" t="s">
        <v>628</v>
      </c>
      <c r="D2200" s="376">
        <v>2024</v>
      </c>
      <c r="E2200" s="376">
        <v>2029</v>
      </c>
      <c r="F2200" s="376">
        <v>0.40444272241720852</v>
      </c>
      <c r="G2200" s="376">
        <v>8848.5269568257354</v>
      </c>
      <c r="H2200" s="376">
        <v>0.26217990444951278</v>
      </c>
      <c r="I2200" s="376">
        <v>0.85</v>
      </c>
    </row>
    <row r="2201" spans="1:9" x14ac:dyDescent="0.35">
      <c r="A2201" s="376" t="s">
        <v>1613</v>
      </c>
      <c r="B2201" s="376" t="s">
        <v>1609</v>
      </c>
      <c r="C2201" s="376" t="s">
        <v>1051</v>
      </c>
      <c r="D2201" s="376">
        <v>2024</v>
      </c>
      <c r="E2201" s="376">
        <v>2029</v>
      </c>
      <c r="F2201" s="376">
        <v>0.40444272241720852</v>
      </c>
      <c r="G2201" s="376">
        <v>8848.5269568257354</v>
      </c>
      <c r="H2201" s="376">
        <v>0.26217990444951278</v>
      </c>
      <c r="I2201" s="376">
        <v>0.85</v>
      </c>
    </row>
    <row r="2202" spans="1:9" x14ac:dyDescent="0.35">
      <c r="A2202" s="376" t="s">
        <v>1613</v>
      </c>
      <c r="B2202" s="376" t="s">
        <v>1609</v>
      </c>
      <c r="C2202" s="376" t="s">
        <v>1054</v>
      </c>
      <c r="D2202" s="376">
        <v>2024</v>
      </c>
      <c r="E2202" s="376">
        <v>2029</v>
      </c>
      <c r="F2202" s="376">
        <v>0.40444272241720852</v>
      </c>
      <c r="G2202" s="376">
        <v>8848.5269568257354</v>
      </c>
      <c r="H2202" s="376">
        <v>0.26217990444951278</v>
      </c>
      <c r="I2202" s="376">
        <v>0.85</v>
      </c>
    </row>
    <row r="2203" spans="1:9" x14ac:dyDescent="0.35">
      <c r="A2203" s="376" t="s">
        <v>1613</v>
      </c>
      <c r="B2203" s="376" t="s">
        <v>1609</v>
      </c>
      <c r="C2203" s="376" t="s">
        <v>1046</v>
      </c>
      <c r="D2203" s="376">
        <v>2024</v>
      </c>
      <c r="E2203" s="376">
        <v>2030</v>
      </c>
      <c r="F2203" s="376">
        <v>0.40444272241720852</v>
      </c>
      <c r="G2203" s="376">
        <v>8848.5269568257354</v>
      </c>
      <c r="H2203" s="376">
        <v>0.26217990444951278</v>
      </c>
      <c r="I2203" s="376">
        <v>0.85</v>
      </c>
    </row>
    <row r="2204" spans="1:9" x14ac:dyDescent="0.35">
      <c r="A2204" s="376" t="s">
        <v>1613</v>
      </c>
      <c r="B2204" s="376" t="s">
        <v>1609</v>
      </c>
      <c r="C2204" s="376" t="s">
        <v>644</v>
      </c>
      <c r="D2204" s="376">
        <v>2024</v>
      </c>
      <c r="E2204" s="376">
        <v>2030</v>
      </c>
      <c r="F2204" s="376">
        <v>0.40444272241720852</v>
      </c>
      <c r="G2204" s="376">
        <v>8848.5269568257354</v>
      </c>
      <c r="H2204" s="376">
        <v>0.26217990444951278</v>
      </c>
      <c r="I2204" s="376">
        <v>0.85</v>
      </c>
    </row>
    <row r="2205" spans="1:9" x14ac:dyDescent="0.35">
      <c r="A2205" s="376" t="s">
        <v>1613</v>
      </c>
      <c r="B2205" s="376" t="s">
        <v>1609</v>
      </c>
      <c r="C2205" s="376" t="s">
        <v>628</v>
      </c>
      <c r="D2205" s="376">
        <v>2024</v>
      </c>
      <c r="E2205" s="376">
        <v>2030</v>
      </c>
      <c r="F2205" s="376">
        <v>0.40444272241720852</v>
      </c>
      <c r="G2205" s="376">
        <v>8848.5269568257354</v>
      </c>
      <c r="H2205" s="376">
        <v>0.26217990444951278</v>
      </c>
      <c r="I2205" s="376">
        <v>0.85</v>
      </c>
    </row>
    <row r="2206" spans="1:9" x14ac:dyDescent="0.35">
      <c r="A2206" s="376" t="s">
        <v>1613</v>
      </c>
      <c r="B2206" s="376" t="s">
        <v>1609</v>
      </c>
      <c r="C2206" s="376" t="s">
        <v>1051</v>
      </c>
      <c r="D2206" s="376">
        <v>2024</v>
      </c>
      <c r="E2206" s="376">
        <v>2030</v>
      </c>
      <c r="F2206" s="376">
        <v>0.40444272241720852</v>
      </c>
      <c r="G2206" s="376">
        <v>8848.5269568257354</v>
      </c>
      <c r="H2206" s="376">
        <v>0.26217990444951278</v>
      </c>
      <c r="I2206" s="376">
        <v>0.85</v>
      </c>
    </row>
    <row r="2207" spans="1:9" x14ac:dyDescent="0.35">
      <c r="A2207" s="376" t="s">
        <v>1613</v>
      </c>
      <c r="B2207" s="376" t="s">
        <v>1609</v>
      </c>
      <c r="C2207" s="376" t="s">
        <v>1054</v>
      </c>
      <c r="D2207" s="376">
        <v>2024</v>
      </c>
      <c r="E2207" s="376">
        <v>2030</v>
      </c>
      <c r="F2207" s="376">
        <v>0.40444272241720852</v>
      </c>
      <c r="G2207" s="376">
        <v>8848.5269568257354</v>
      </c>
      <c r="H2207" s="376">
        <v>0.26217990444951278</v>
      </c>
      <c r="I2207" s="376">
        <v>0.85</v>
      </c>
    </row>
    <row r="2208" spans="1:9" x14ac:dyDescent="0.35">
      <c r="A2208" s="376" t="s">
        <v>1613</v>
      </c>
      <c r="B2208" s="376" t="s">
        <v>1609</v>
      </c>
      <c r="C2208" s="376" t="s">
        <v>1046</v>
      </c>
      <c r="D2208" s="376">
        <v>2024</v>
      </c>
      <c r="E2208" s="376">
        <v>2031</v>
      </c>
      <c r="F2208" s="376">
        <v>0.40444272241720852</v>
      </c>
      <c r="G2208" s="376">
        <v>8848.5269568257354</v>
      </c>
      <c r="H2208" s="376">
        <v>0.26217990444951278</v>
      </c>
      <c r="I2208" s="376">
        <v>0.85</v>
      </c>
    </row>
    <row r="2209" spans="1:9" x14ac:dyDescent="0.35">
      <c r="A2209" s="376" t="s">
        <v>1613</v>
      </c>
      <c r="B2209" s="376" t="s">
        <v>1609</v>
      </c>
      <c r="C2209" s="376" t="s">
        <v>644</v>
      </c>
      <c r="D2209" s="376">
        <v>2024</v>
      </c>
      <c r="E2209" s="376">
        <v>2031</v>
      </c>
      <c r="F2209" s="376">
        <v>0.40444272241720852</v>
      </c>
      <c r="G2209" s="376">
        <v>8848.5269568257354</v>
      </c>
      <c r="H2209" s="376">
        <v>0.26217990444951278</v>
      </c>
      <c r="I2209" s="376">
        <v>0.85</v>
      </c>
    </row>
    <row r="2210" spans="1:9" x14ac:dyDescent="0.35">
      <c r="A2210" s="376" t="s">
        <v>1613</v>
      </c>
      <c r="B2210" s="376" t="s">
        <v>1609</v>
      </c>
      <c r="C2210" s="376" t="s">
        <v>628</v>
      </c>
      <c r="D2210" s="376">
        <v>2024</v>
      </c>
      <c r="E2210" s="376">
        <v>2031</v>
      </c>
      <c r="F2210" s="376">
        <v>0.40444272241720852</v>
      </c>
      <c r="G2210" s="376">
        <v>8848.5269568257354</v>
      </c>
      <c r="H2210" s="376">
        <v>0.26217990444951278</v>
      </c>
      <c r="I2210" s="376">
        <v>0.85</v>
      </c>
    </row>
    <row r="2211" spans="1:9" x14ac:dyDescent="0.35">
      <c r="A2211" s="376" t="s">
        <v>1613</v>
      </c>
      <c r="B2211" s="376" t="s">
        <v>1609</v>
      </c>
      <c r="C2211" s="376" t="s">
        <v>1051</v>
      </c>
      <c r="D2211" s="376">
        <v>2024</v>
      </c>
      <c r="E2211" s="376">
        <v>2031</v>
      </c>
      <c r="F2211" s="376">
        <v>0.40444272241720852</v>
      </c>
      <c r="G2211" s="376">
        <v>8848.5269568257354</v>
      </c>
      <c r="H2211" s="376">
        <v>0.26217990444951278</v>
      </c>
      <c r="I2211" s="376">
        <v>0.85</v>
      </c>
    </row>
    <row r="2212" spans="1:9" x14ac:dyDescent="0.35">
      <c r="A2212" s="376" t="s">
        <v>1613</v>
      </c>
      <c r="B2212" s="376" t="s">
        <v>1609</v>
      </c>
      <c r="C2212" s="376" t="s">
        <v>1054</v>
      </c>
      <c r="D2212" s="376">
        <v>2024</v>
      </c>
      <c r="E2212" s="376">
        <v>2031</v>
      </c>
      <c r="F2212" s="376">
        <v>0.40444272241720852</v>
      </c>
      <c r="G2212" s="376">
        <v>8848.5269568257354</v>
      </c>
      <c r="H2212" s="376">
        <v>0.26217990444951278</v>
      </c>
      <c r="I2212" s="376">
        <v>0.85</v>
      </c>
    </row>
    <row r="2213" spans="1:9" x14ac:dyDescent="0.35">
      <c r="A2213" s="376" t="s">
        <v>1614</v>
      </c>
      <c r="B2213" s="376" t="s">
        <v>1609</v>
      </c>
      <c r="C2213" s="376" t="s">
        <v>1046</v>
      </c>
      <c r="D2213" s="376">
        <v>2024</v>
      </c>
      <c r="E2213" s="376">
        <v>2024</v>
      </c>
      <c r="F2213" s="376">
        <v>0.28070162831646173</v>
      </c>
      <c r="G2213" s="376">
        <v>6454.3984013550207</v>
      </c>
      <c r="H2213" s="376">
        <v>0.26217990444951278</v>
      </c>
      <c r="I2213" s="376">
        <v>0.85</v>
      </c>
    </row>
    <row r="2214" spans="1:9" x14ac:dyDescent="0.35">
      <c r="A2214" s="376" t="s">
        <v>1614</v>
      </c>
      <c r="B2214" s="376" t="s">
        <v>1609</v>
      </c>
      <c r="C2214" s="376" t="s">
        <v>644</v>
      </c>
      <c r="D2214" s="376">
        <v>2024</v>
      </c>
      <c r="E2214" s="376">
        <v>2024</v>
      </c>
      <c r="F2214" s="376">
        <v>0.28070162831646173</v>
      </c>
      <c r="G2214" s="376">
        <v>6454.3984013550207</v>
      </c>
      <c r="H2214" s="376">
        <v>0.26217990444951278</v>
      </c>
      <c r="I2214" s="376">
        <v>0.85</v>
      </c>
    </row>
    <row r="2215" spans="1:9" x14ac:dyDescent="0.35">
      <c r="A2215" s="376" t="s">
        <v>1614</v>
      </c>
      <c r="B2215" s="376" t="s">
        <v>1609</v>
      </c>
      <c r="C2215" s="376" t="s">
        <v>628</v>
      </c>
      <c r="D2215" s="376">
        <v>2024</v>
      </c>
      <c r="E2215" s="376">
        <v>2024</v>
      </c>
      <c r="F2215" s="376">
        <v>0.28070162831646173</v>
      </c>
      <c r="G2215" s="376">
        <v>6454.3984013550207</v>
      </c>
      <c r="H2215" s="376">
        <v>0.26217990444951278</v>
      </c>
      <c r="I2215" s="376">
        <v>0.85</v>
      </c>
    </row>
    <row r="2216" spans="1:9" x14ac:dyDescent="0.35">
      <c r="A2216" s="376" t="s">
        <v>1614</v>
      </c>
      <c r="B2216" s="376" t="s">
        <v>1609</v>
      </c>
      <c r="C2216" s="376" t="s">
        <v>1051</v>
      </c>
      <c r="D2216" s="376">
        <v>2024</v>
      </c>
      <c r="E2216" s="376">
        <v>2024</v>
      </c>
      <c r="F2216" s="376">
        <v>0.28070162831646173</v>
      </c>
      <c r="G2216" s="376">
        <v>6454.3984013550207</v>
      </c>
      <c r="H2216" s="376">
        <v>0.26217990444951278</v>
      </c>
      <c r="I2216" s="376">
        <v>0.85</v>
      </c>
    </row>
    <row r="2217" spans="1:9" x14ac:dyDescent="0.35">
      <c r="A2217" s="376" t="s">
        <v>1614</v>
      </c>
      <c r="B2217" s="376" t="s">
        <v>1609</v>
      </c>
      <c r="C2217" s="376" t="s">
        <v>1054</v>
      </c>
      <c r="D2217" s="376">
        <v>2024</v>
      </c>
      <c r="E2217" s="376">
        <v>2024</v>
      </c>
      <c r="F2217" s="376">
        <v>0.28070162831646173</v>
      </c>
      <c r="G2217" s="376">
        <v>6454.3984013550207</v>
      </c>
      <c r="H2217" s="376">
        <v>0.26217990444951278</v>
      </c>
      <c r="I2217" s="376">
        <v>0.85</v>
      </c>
    </row>
    <row r="2218" spans="1:9" x14ac:dyDescent="0.35">
      <c r="A2218" s="376" t="s">
        <v>1614</v>
      </c>
      <c r="B2218" s="376" t="s">
        <v>1609</v>
      </c>
      <c r="C2218" s="376" t="s">
        <v>1046</v>
      </c>
      <c r="D2218" s="376">
        <v>2024</v>
      </c>
      <c r="E2218" s="376">
        <v>2025</v>
      </c>
      <c r="F2218" s="376">
        <v>0.28070162831646173</v>
      </c>
      <c r="G2218" s="376">
        <v>6454.3984013550207</v>
      </c>
      <c r="H2218" s="376">
        <v>0.26217990444951278</v>
      </c>
      <c r="I2218" s="376">
        <v>0.85</v>
      </c>
    </row>
    <row r="2219" spans="1:9" x14ac:dyDescent="0.35">
      <c r="A2219" s="376" t="s">
        <v>1614</v>
      </c>
      <c r="B2219" s="376" t="s">
        <v>1609</v>
      </c>
      <c r="C2219" s="376" t="s">
        <v>644</v>
      </c>
      <c r="D2219" s="376">
        <v>2024</v>
      </c>
      <c r="E2219" s="376">
        <v>2025</v>
      </c>
      <c r="F2219" s="376">
        <v>0.28070162831646173</v>
      </c>
      <c r="G2219" s="376">
        <v>6454.3984013550207</v>
      </c>
      <c r="H2219" s="376">
        <v>0.26217990444951278</v>
      </c>
      <c r="I2219" s="376">
        <v>0.85</v>
      </c>
    </row>
    <row r="2220" spans="1:9" x14ac:dyDescent="0.35">
      <c r="A2220" s="376" t="s">
        <v>1614</v>
      </c>
      <c r="B2220" s="376" t="s">
        <v>1609</v>
      </c>
      <c r="C2220" s="376" t="s">
        <v>628</v>
      </c>
      <c r="D2220" s="376">
        <v>2024</v>
      </c>
      <c r="E2220" s="376">
        <v>2025</v>
      </c>
      <c r="F2220" s="376">
        <v>0.28070162831646173</v>
      </c>
      <c r="G2220" s="376">
        <v>6454.3984013550207</v>
      </c>
      <c r="H2220" s="376">
        <v>0.26217990444951278</v>
      </c>
      <c r="I2220" s="376">
        <v>0.85</v>
      </c>
    </row>
    <row r="2221" spans="1:9" x14ac:dyDescent="0.35">
      <c r="A2221" s="376" t="s">
        <v>1614</v>
      </c>
      <c r="B2221" s="376" t="s">
        <v>1609</v>
      </c>
      <c r="C2221" s="376" t="s">
        <v>1051</v>
      </c>
      <c r="D2221" s="376">
        <v>2024</v>
      </c>
      <c r="E2221" s="376">
        <v>2025</v>
      </c>
      <c r="F2221" s="376">
        <v>0.28070162831646173</v>
      </c>
      <c r="G2221" s="376">
        <v>6454.3984013550207</v>
      </c>
      <c r="H2221" s="376">
        <v>0.26217990444951278</v>
      </c>
      <c r="I2221" s="376">
        <v>0.85</v>
      </c>
    </row>
    <row r="2222" spans="1:9" x14ac:dyDescent="0.35">
      <c r="A2222" s="376" t="s">
        <v>1614</v>
      </c>
      <c r="B2222" s="376" t="s">
        <v>1609</v>
      </c>
      <c r="C2222" s="376" t="s">
        <v>1054</v>
      </c>
      <c r="D2222" s="376">
        <v>2024</v>
      </c>
      <c r="E2222" s="376">
        <v>2025</v>
      </c>
      <c r="F2222" s="376">
        <v>0.28070162831646173</v>
      </c>
      <c r="G2222" s="376">
        <v>6454.3984013550207</v>
      </c>
      <c r="H2222" s="376">
        <v>0.26217990444951278</v>
      </c>
      <c r="I2222" s="376">
        <v>0.85</v>
      </c>
    </row>
    <row r="2223" spans="1:9" x14ac:dyDescent="0.35">
      <c r="A2223" s="376" t="s">
        <v>1614</v>
      </c>
      <c r="B2223" s="376" t="s">
        <v>1609</v>
      </c>
      <c r="C2223" s="376" t="s">
        <v>1046</v>
      </c>
      <c r="D2223" s="376">
        <v>2024</v>
      </c>
      <c r="E2223" s="376">
        <v>2026</v>
      </c>
      <c r="F2223" s="376">
        <v>0.28070162831646173</v>
      </c>
      <c r="G2223" s="376">
        <v>6454.3984013550207</v>
      </c>
      <c r="H2223" s="376">
        <v>0.26217990444951278</v>
      </c>
      <c r="I2223" s="376">
        <v>0.85</v>
      </c>
    </row>
    <row r="2224" spans="1:9" x14ac:dyDescent="0.35">
      <c r="A2224" s="376" t="s">
        <v>1614</v>
      </c>
      <c r="B2224" s="376" t="s">
        <v>1609</v>
      </c>
      <c r="C2224" s="376" t="s">
        <v>644</v>
      </c>
      <c r="D2224" s="376">
        <v>2024</v>
      </c>
      <c r="E2224" s="376">
        <v>2026</v>
      </c>
      <c r="F2224" s="376">
        <v>0.28070162831646173</v>
      </c>
      <c r="G2224" s="376">
        <v>6454.3984013550207</v>
      </c>
      <c r="H2224" s="376">
        <v>0.26217990444951278</v>
      </c>
      <c r="I2224" s="376">
        <v>0.85</v>
      </c>
    </row>
    <row r="2225" spans="1:9" x14ac:dyDescent="0.35">
      <c r="A2225" s="376" t="s">
        <v>1614</v>
      </c>
      <c r="B2225" s="376" t="s">
        <v>1609</v>
      </c>
      <c r="C2225" s="376" t="s">
        <v>628</v>
      </c>
      <c r="D2225" s="376">
        <v>2024</v>
      </c>
      <c r="E2225" s="376">
        <v>2026</v>
      </c>
      <c r="F2225" s="376">
        <v>0.28070162831646173</v>
      </c>
      <c r="G2225" s="376">
        <v>6454.3984013550207</v>
      </c>
      <c r="H2225" s="376">
        <v>0.26217990444951278</v>
      </c>
      <c r="I2225" s="376">
        <v>0.85</v>
      </c>
    </row>
    <row r="2226" spans="1:9" x14ac:dyDescent="0.35">
      <c r="A2226" s="376" t="s">
        <v>1614</v>
      </c>
      <c r="B2226" s="376" t="s">
        <v>1609</v>
      </c>
      <c r="C2226" s="376" t="s">
        <v>1051</v>
      </c>
      <c r="D2226" s="376">
        <v>2024</v>
      </c>
      <c r="E2226" s="376">
        <v>2026</v>
      </c>
      <c r="F2226" s="376">
        <v>0.28070162831646173</v>
      </c>
      <c r="G2226" s="376">
        <v>6454.3984013550207</v>
      </c>
      <c r="H2226" s="376">
        <v>0.26217990444951278</v>
      </c>
      <c r="I2226" s="376">
        <v>0.85</v>
      </c>
    </row>
    <row r="2227" spans="1:9" x14ac:dyDescent="0.35">
      <c r="A2227" s="376" t="s">
        <v>1614</v>
      </c>
      <c r="B2227" s="376" t="s">
        <v>1609</v>
      </c>
      <c r="C2227" s="376" t="s">
        <v>1054</v>
      </c>
      <c r="D2227" s="376">
        <v>2024</v>
      </c>
      <c r="E2227" s="376">
        <v>2026</v>
      </c>
      <c r="F2227" s="376">
        <v>0.28070162831646173</v>
      </c>
      <c r="G2227" s="376">
        <v>6454.3984013550207</v>
      </c>
      <c r="H2227" s="376">
        <v>0.26217990444951278</v>
      </c>
      <c r="I2227" s="376">
        <v>0.85</v>
      </c>
    </row>
    <row r="2228" spans="1:9" x14ac:dyDescent="0.35">
      <c r="A2228" s="376" t="s">
        <v>1614</v>
      </c>
      <c r="B2228" s="376" t="s">
        <v>1609</v>
      </c>
      <c r="C2228" s="376" t="s">
        <v>1046</v>
      </c>
      <c r="D2228" s="376">
        <v>2024</v>
      </c>
      <c r="E2228" s="376">
        <v>2027</v>
      </c>
      <c r="F2228" s="376">
        <v>0.28070162831646173</v>
      </c>
      <c r="G2228" s="376">
        <v>6454.3984013550207</v>
      </c>
      <c r="H2228" s="376">
        <v>0.26217990444951278</v>
      </c>
      <c r="I2228" s="376">
        <v>0.85</v>
      </c>
    </row>
    <row r="2229" spans="1:9" x14ac:dyDescent="0.35">
      <c r="A2229" s="376" t="s">
        <v>1614</v>
      </c>
      <c r="B2229" s="376" t="s">
        <v>1609</v>
      </c>
      <c r="C2229" s="376" t="s">
        <v>644</v>
      </c>
      <c r="D2229" s="376">
        <v>2024</v>
      </c>
      <c r="E2229" s="376">
        <v>2027</v>
      </c>
      <c r="F2229" s="376">
        <v>0.28070162831646173</v>
      </c>
      <c r="G2229" s="376">
        <v>6454.3984013550207</v>
      </c>
      <c r="H2229" s="376">
        <v>0.26217990444951278</v>
      </c>
      <c r="I2229" s="376">
        <v>0.85</v>
      </c>
    </row>
    <row r="2230" spans="1:9" x14ac:dyDescent="0.35">
      <c r="A2230" s="376" t="s">
        <v>1614</v>
      </c>
      <c r="B2230" s="376" t="s">
        <v>1609</v>
      </c>
      <c r="C2230" s="376" t="s">
        <v>628</v>
      </c>
      <c r="D2230" s="376">
        <v>2024</v>
      </c>
      <c r="E2230" s="376">
        <v>2027</v>
      </c>
      <c r="F2230" s="376">
        <v>0.28070162831646173</v>
      </c>
      <c r="G2230" s="376">
        <v>6454.3984013550207</v>
      </c>
      <c r="H2230" s="376">
        <v>0.26217990444951278</v>
      </c>
      <c r="I2230" s="376">
        <v>0.85</v>
      </c>
    </row>
    <row r="2231" spans="1:9" x14ac:dyDescent="0.35">
      <c r="A2231" s="376" t="s">
        <v>1614</v>
      </c>
      <c r="B2231" s="376" t="s">
        <v>1609</v>
      </c>
      <c r="C2231" s="376" t="s">
        <v>1051</v>
      </c>
      <c r="D2231" s="376">
        <v>2024</v>
      </c>
      <c r="E2231" s="376">
        <v>2027</v>
      </c>
      <c r="F2231" s="376">
        <v>0.28070162831646173</v>
      </c>
      <c r="G2231" s="376">
        <v>6454.3984013550207</v>
      </c>
      <c r="H2231" s="376">
        <v>0.26217990444951278</v>
      </c>
      <c r="I2231" s="376">
        <v>0.85</v>
      </c>
    </row>
    <row r="2232" spans="1:9" x14ac:dyDescent="0.35">
      <c r="A2232" s="376" t="s">
        <v>1614</v>
      </c>
      <c r="B2232" s="376" t="s">
        <v>1609</v>
      </c>
      <c r="C2232" s="376" t="s">
        <v>1054</v>
      </c>
      <c r="D2232" s="376">
        <v>2024</v>
      </c>
      <c r="E2232" s="376">
        <v>2027</v>
      </c>
      <c r="F2232" s="376">
        <v>0.28070162831646173</v>
      </c>
      <c r="G2232" s="376">
        <v>6454.3984013550207</v>
      </c>
      <c r="H2232" s="376">
        <v>0.26217990444951278</v>
      </c>
      <c r="I2232" s="376">
        <v>0.85</v>
      </c>
    </row>
    <row r="2233" spans="1:9" x14ac:dyDescent="0.35">
      <c r="A2233" s="376" t="s">
        <v>1614</v>
      </c>
      <c r="B2233" s="376" t="s">
        <v>1609</v>
      </c>
      <c r="C2233" s="376" t="s">
        <v>1046</v>
      </c>
      <c r="D2233" s="376">
        <v>2024</v>
      </c>
      <c r="E2233" s="376">
        <v>2028</v>
      </c>
      <c r="F2233" s="376">
        <v>0.28070162831646173</v>
      </c>
      <c r="G2233" s="376">
        <v>6454.3984013550207</v>
      </c>
      <c r="H2233" s="376">
        <v>0.26217990444951278</v>
      </c>
      <c r="I2233" s="376">
        <v>0.85</v>
      </c>
    </row>
    <row r="2234" spans="1:9" x14ac:dyDescent="0.35">
      <c r="A2234" s="376" t="s">
        <v>1614</v>
      </c>
      <c r="B2234" s="376" t="s">
        <v>1609</v>
      </c>
      <c r="C2234" s="376" t="s">
        <v>644</v>
      </c>
      <c r="D2234" s="376">
        <v>2024</v>
      </c>
      <c r="E2234" s="376">
        <v>2028</v>
      </c>
      <c r="F2234" s="376">
        <v>0.28070162831646173</v>
      </c>
      <c r="G2234" s="376">
        <v>6454.3984013550207</v>
      </c>
      <c r="H2234" s="376">
        <v>0.26217990444951278</v>
      </c>
      <c r="I2234" s="376">
        <v>0.85</v>
      </c>
    </row>
    <row r="2235" spans="1:9" x14ac:dyDescent="0.35">
      <c r="A2235" s="376" t="s">
        <v>1614</v>
      </c>
      <c r="B2235" s="376" t="s">
        <v>1609</v>
      </c>
      <c r="C2235" s="376" t="s">
        <v>628</v>
      </c>
      <c r="D2235" s="376">
        <v>2024</v>
      </c>
      <c r="E2235" s="376">
        <v>2028</v>
      </c>
      <c r="F2235" s="376">
        <v>0.28070162831646173</v>
      </c>
      <c r="G2235" s="376">
        <v>6454.3984013550207</v>
      </c>
      <c r="H2235" s="376">
        <v>0.26217990444951278</v>
      </c>
      <c r="I2235" s="376">
        <v>0.85</v>
      </c>
    </row>
    <row r="2236" spans="1:9" x14ac:dyDescent="0.35">
      <c r="A2236" s="376" t="s">
        <v>1614</v>
      </c>
      <c r="B2236" s="376" t="s">
        <v>1609</v>
      </c>
      <c r="C2236" s="376" t="s">
        <v>1051</v>
      </c>
      <c r="D2236" s="376">
        <v>2024</v>
      </c>
      <c r="E2236" s="376">
        <v>2028</v>
      </c>
      <c r="F2236" s="376">
        <v>0.28070162831646173</v>
      </c>
      <c r="G2236" s="376">
        <v>6454.3984013550207</v>
      </c>
      <c r="H2236" s="376">
        <v>0.26217990444951278</v>
      </c>
      <c r="I2236" s="376">
        <v>0.85</v>
      </c>
    </row>
    <row r="2237" spans="1:9" x14ac:dyDescent="0.35">
      <c r="A2237" s="376" t="s">
        <v>1614</v>
      </c>
      <c r="B2237" s="376" t="s">
        <v>1609</v>
      </c>
      <c r="C2237" s="376" t="s">
        <v>1054</v>
      </c>
      <c r="D2237" s="376">
        <v>2024</v>
      </c>
      <c r="E2237" s="376">
        <v>2028</v>
      </c>
      <c r="F2237" s="376">
        <v>0.28070162831646173</v>
      </c>
      <c r="G2237" s="376">
        <v>6454.3984013550207</v>
      </c>
      <c r="H2237" s="376">
        <v>0.26217990444951278</v>
      </c>
      <c r="I2237" s="376">
        <v>0.85</v>
      </c>
    </row>
    <row r="2238" spans="1:9" x14ac:dyDescent="0.35">
      <c r="A2238" s="376" t="s">
        <v>1614</v>
      </c>
      <c r="B2238" s="376" t="s">
        <v>1609</v>
      </c>
      <c r="C2238" s="376" t="s">
        <v>1046</v>
      </c>
      <c r="D2238" s="376">
        <v>2024</v>
      </c>
      <c r="E2238" s="376">
        <v>2029</v>
      </c>
      <c r="F2238" s="376">
        <v>0.28070162831646173</v>
      </c>
      <c r="G2238" s="376">
        <v>6454.3984013550207</v>
      </c>
      <c r="H2238" s="376">
        <v>0.26217990444951278</v>
      </c>
      <c r="I2238" s="376">
        <v>0.85</v>
      </c>
    </row>
    <row r="2239" spans="1:9" x14ac:dyDescent="0.35">
      <c r="A2239" s="376" t="s">
        <v>1614</v>
      </c>
      <c r="B2239" s="376" t="s">
        <v>1609</v>
      </c>
      <c r="C2239" s="376" t="s">
        <v>644</v>
      </c>
      <c r="D2239" s="376">
        <v>2024</v>
      </c>
      <c r="E2239" s="376">
        <v>2029</v>
      </c>
      <c r="F2239" s="376">
        <v>0.28070162831646173</v>
      </c>
      <c r="G2239" s="376">
        <v>6454.3984013550207</v>
      </c>
      <c r="H2239" s="376">
        <v>0.26217990444951278</v>
      </c>
      <c r="I2239" s="376">
        <v>0.85</v>
      </c>
    </row>
    <row r="2240" spans="1:9" x14ac:dyDescent="0.35">
      <c r="A2240" s="376" t="s">
        <v>1614</v>
      </c>
      <c r="B2240" s="376" t="s">
        <v>1609</v>
      </c>
      <c r="C2240" s="376" t="s">
        <v>628</v>
      </c>
      <c r="D2240" s="376">
        <v>2024</v>
      </c>
      <c r="E2240" s="376">
        <v>2029</v>
      </c>
      <c r="F2240" s="376">
        <v>0.28070162831646173</v>
      </c>
      <c r="G2240" s="376">
        <v>6454.3984013550207</v>
      </c>
      <c r="H2240" s="376">
        <v>0.26217990444951278</v>
      </c>
      <c r="I2240" s="376">
        <v>0.85</v>
      </c>
    </row>
    <row r="2241" spans="1:9" x14ac:dyDescent="0.35">
      <c r="A2241" s="376" t="s">
        <v>1614</v>
      </c>
      <c r="B2241" s="376" t="s">
        <v>1609</v>
      </c>
      <c r="C2241" s="376" t="s">
        <v>1051</v>
      </c>
      <c r="D2241" s="376">
        <v>2024</v>
      </c>
      <c r="E2241" s="376">
        <v>2029</v>
      </c>
      <c r="F2241" s="376">
        <v>0.28070162831646173</v>
      </c>
      <c r="G2241" s="376">
        <v>6454.3984013550207</v>
      </c>
      <c r="H2241" s="376">
        <v>0.26217990444951278</v>
      </c>
      <c r="I2241" s="376">
        <v>0.85</v>
      </c>
    </row>
    <row r="2242" spans="1:9" x14ac:dyDescent="0.35">
      <c r="A2242" s="376" t="s">
        <v>1614</v>
      </c>
      <c r="B2242" s="376" t="s">
        <v>1609</v>
      </c>
      <c r="C2242" s="376" t="s">
        <v>1054</v>
      </c>
      <c r="D2242" s="376">
        <v>2024</v>
      </c>
      <c r="E2242" s="376">
        <v>2029</v>
      </c>
      <c r="F2242" s="376">
        <v>0.28070162831646173</v>
      </c>
      <c r="G2242" s="376">
        <v>6454.3984013550207</v>
      </c>
      <c r="H2242" s="376">
        <v>0.26217990444951278</v>
      </c>
      <c r="I2242" s="376">
        <v>0.85</v>
      </c>
    </row>
    <row r="2243" spans="1:9" x14ac:dyDescent="0.35">
      <c r="A2243" s="376" t="s">
        <v>1614</v>
      </c>
      <c r="B2243" s="376" t="s">
        <v>1609</v>
      </c>
      <c r="C2243" s="376" t="s">
        <v>1046</v>
      </c>
      <c r="D2243" s="376">
        <v>2024</v>
      </c>
      <c r="E2243" s="376">
        <v>2030</v>
      </c>
      <c r="F2243" s="376">
        <v>0.28070162831646173</v>
      </c>
      <c r="G2243" s="376">
        <v>6454.3984013550207</v>
      </c>
      <c r="H2243" s="376">
        <v>0.26217990444951278</v>
      </c>
      <c r="I2243" s="376">
        <v>0.85</v>
      </c>
    </row>
    <row r="2244" spans="1:9" x14ac:dyDescent="0.35">
      <c r="A2244" s="376" t="s">
        <v>1614</v>
      </c>
      <c r="B2244" s="376" t="s">
        <v>1609</v>
      </c>
      <c r="C2244" s="376" t="s">
        <v>644</v>
      </c>
      <c r="D2244" s="376">
        <v>2024</v>
      </c>
      <c r="E2244" s="376">
        <v>2030</v>
      </c>
      <c r="F2244" s="376">
        <v>0.28070162831646173</v>
      </c>
      <c r="G2244" s="376">
        <v>6454.3984013550207</v>
      </c>
      <c r="H2244" s="376">
        <v>0.26217990444951278</v>
      </c>
      <c r="I2244" s="376">
        <v>0.85</v>
      </c>
    </row>
    <row r="2245" spans="1:9" x14ac:dyDescent="0.35">
      <c r="A2245" s="376" t="s">
        <v>1614</v>
      </c>
      <c r="B2245" s="376" t="s">
        <v>1609</v>
      </c>
      <c r="C2245" s="376" t="s">
        <v>628</v>
      </c>
      <c r="D2245" s="376">
        <v>2024</v>
      </c>
      <c r="E2245" s="376">
        <v>2030</v>
      </c>
      <c r="F2245" s="376">
        <v>0.28070162831646173</v>
      </c>
      <c r="G2245" s="376">
        <v>6454.3984013550207</v>
      </c>
      <c r="H2245" s="376">
        <v>0.26217990444951278</v>
      </c>
      <c r="I2245" s="376">
        <v>0.85</v>
      </c>
    </row>
    <row r="2246" spans="1:9" x14ac:dyDescent="0.35">
      <c r="A2246" s="376" t="s">
        <v>1614</v>
      </c>
      <c r="B2246" s="376" t="s">
        <v>1609</v>
      </c>
      <c r="C2246" s="376" t="s">
        <v>1051</v>
      </c>
      <c r="D2246" s="376">
        <v>2024</v>
      </c>
      <c r="E2246" s="376">
        <v>2030</v>
      </c>
      <c r="F2246" s="376">
        <v>0.28070162831646173</v>
      </c>
      <c r="G2246" s="376">
        <v>6454.3984013550207</v>
      </c>
      <c r="H2246" s="376">
        <v>0.26217990444951278</v>
      </c>
      <c r="I2246" s="376">
        <v>0.85</v>
      </c>
    </row>
    <row r="2247" spans="1:9" x14ac:dyDescent="0.35">
      <c r="A2247" s="376" t="s">
        <v>1614</v>
      </c>
      <c r="B2247" s="376" t="s">
        <v>1609</v>
      </c>
      <c r="C2247" s="376" t="s">
        <v>1054</v>
      </c>
      <c r="D2247" s="376">
        <v>2024</v>
      </c>
      <c r="E2247" s="376">
        <v>2030</v>
      </c>
      <c r="F2247" s="376">
        <v>0.28070162831646173</v>
      </c>
      <c r="G2247" s="376">
        <v>6454.3984013550207</v>
      </c>
      <c r="H2247" s="376">
        <v>0.26217990444951278</v>
      </c>
      <c r="I2247" s="376">
        <v>0.85</v>
      </c>
    </row>
    <row r="2248" spans="1:9" x14ac:dyDescent="0.35">
      <c r="A2248" s="376" t="s">
        <v>1614</v>
      </c>
      <c r="B2248" s="376" t="s">
        <v>1609</v>
      </c>
      <c r="C2248" s="376" t="s">
        <v>1046</v>
      </c>
      <c r="D2248" s="376">
        <v>2024</v>
      </c>
      <c r="E2248" s="376">
        <v>2031</v>
      </c>
      <c r="F2248" s="376">
        <v>0.28070162831646173</v>
      </c>
      <c r="G2248" s="376">
        <v>6454.3984013550207</v>
      </c>
      <c r="H2248" s="376">
        <v>0.26217990444951278</v>
      </c>
      <c r="I2248" s="376">
        <v>0.85</v>
      </c>
    </row>
    <row r="2249" spans="1:9" x14ac:dyDescent="0.35">
      <c r="A2249" s="376" t="s">
        <v>1614</v>
      </c>
      <c r="B2249" s="376" t="s">
        <v>1609</v>
      </c>
      <c r="C2249" s="376" t="s">
        <v>644</v>
      </c>
      <c r="D2249" s="376">
        <v>2024</v>
      </c>
      <c r="E2249" s="376">
        <v>2031</v>
      </c>
      <c r="F2249" s="376">
        <v>0.28070162831646173</v>
      </c>
      <c r="G2249" s="376">
        <v>6454.3984013550207</v>
      </c>
      <c r="H2249" s="376">
        <v>0.26217990444951278</v>
      </c>
      <c r="I2249" s="376">
        <v>0.85</v>
      </c>
    </row>
    <row r="2250" spans="1:9" x14ac:dyDescent="0.35">
      <c r="A2250" s="376" t="s">
        <v>1614</v>
      </c>
      <c r="B2250" s="376" t="s">
        <v>1609</v>
      </c>
      <c r="C2250" s="376" t="s">
        <v>628</v>
      </c>
      <c r="D2250" s="376">
        <v>2024</v>
      </c>
      <c r="E2250" s="376">
        <v>2031</v>
      </c>
      <c r="F2250" s="376">
        <v>0.28070162831646173</v>
      </c>
      <c r="G2250" s="376">
        <v>6454.3984013550207</v>
      </c>
      <c r="H2250" s="376">
        <v>0.26217990444951278</v>
      </c>
      <c r="I2250" s="376">
        <v>0.85</v>
      </c>
    </row>
    <row r="2251" spans="1:9" x14ac:dyDescent="0.35">
      <c r="A2251" s="376" t="s">
        <v>1614</v>
      </c>
      <c r="B2251" s="376" t="s">
        <v>1609</v>
      </c>
      <c r="C2251" s="376" t="s">
        <v>1051</v>
      </c>
      <c r="D2251" s="376">
        <v>2024</v>
      </c>
      <c r="E2251" s="376">
        <v>2031</v>
      </c>
      <c r="F2251" s="376">
        <v>0.28070162831646173</v>
      </c>
      <c r="G2251" s="376">
        <v>6454.3984013550207</v>
      </c>
      <c r="H2251" s="376">
        <v>0.26217990444951278</v>
      </c>
      <c r="I2251" s="376">
        <v>0.85</v>
      </c>
    </row>
    <row r="2252" spans="1:9" x14ac:dyDescent="0.35">
      <c r="A2252" s="376" t="s">
        <v>1614</v>
      </c>
      <c r="B2252" s="376" t="s">
        <v>1609</v>
      </c>
      <c r="C2252" s="376" t="s">
        <v>1054</v>
      </c>
      <c r="D2252" s="376">
        <v>2024</v>
      </c>
      <c r="E2252" s="376">
        <v>2031</v>
      </c>
      <c r="F2252" s="376">
        <v>0.28070162831646173</v>
      </c>
      <c r="G2252" s="376">
        <v>6454.3984013550207</v>
      </c>
      <c r="H2252" s="376">
        <v>0.26217990444951278</v>
      </c>
      <c r="I2252" s="376">
        <v>0.85</v>
      </c>
    </row>
    <row r="2253" spans="1:9" x14ac:dyDescent="0.35">
      <c r="A2253" s="376" t="s">
        <v>1604</v>
      </c>
      <c r="B2253" s="376" t="s">
        <v>1609</v>
      </c>
      <c r="C2253" s="376" t="s">
        <v>1046</v>
      </c>
      <c r="D2253" s="376">
        <v>2024</v>
      </c>
      <c r="E2253" s="376">
        <v>2024</v>
      </c>
      <c r="F2253" s="376">
        <v>1</v>
      </c>
      <c r="G2253" s="376">
        <v>10872.741503138899</v>
      </c>
      <c r="H2253" s="376">
        <v>0</v>
      </c>
      <c r="I2253" s="376">
        <v>1</v>
      </c>
    </row>
    <row r="2254" spans="1:9" x14ac:dyDescent="0.35">
      <c r="A2254" s="376" t="s">
        <v>1604</v>
      </c>
      <c r="B2254" s="376" t="s">
        <v>1609</v>
      </c>
      <c r="C2254" s="376" t="s">
        <v>644</v>
      </c>
      <c r="D2254" s="376">
        <v>2024</v>
      </c>
      <c r="E2254" s="376">
        <v>2024</v>
      </c>
      <c r="F2254" s="376">
        <v>1</v>
      </c>
      <c r="G2254" s="376">
        <v>10872.741503138899</v>
      </c>
      <c r="H2254" s="376">
        <v>0</v>
      </c>
      <c r="I2254" s="376">
        <v>1</v>
      </c>
    </row>
    <row r="2255" spans="1:9" x14ac:dyDescent="0.35">
      <c r="A2255" s="376" t="s">
        <v>1604</v>
      </c>
      <c r="B2255" s="376" t="s">
        <v>1609</v>
      </c>
      <c r="C2255" s="376" t="s">
        <v>628</v>
      </c>
      <c r="D2255" s="376">
        <v>2024</v>
      </c>
      <c r="E2255" s="376">
        <v>2024</v>
      </c>
      <c r="F2255" s="376">
        <v>1</v>
      </c>
      <c r="G2255" s="376">
        <v>10872.741503138899</v>
      </c>
      <c r="H2255" s="376">
        <v>0</v>
      </c>
      <c r="I2255" s="376">
        <v>1</v>
      </c>
    </row>
    <row r="2256" spans="1:9" x14ac:dyDescent="0.35">
      <c r="A2256" s="376" t="s">
        <v>1604</v>
      </c>
      <c r="B2256" s="376" t="s">
        <v>1609</v>
      </c>
      <c r="C2256" s="376" t="s">
        <v>1051</v>
      </c>
      <c r="D2256" s="376">
        <v>2024</v>
      </c>
      <c r="E2256" s="376">
        <v>2024</v>
      </c>
      <c r="F2256" s="376">
        <v>1</v>
      </c>
      <c r="G2256" s="376">
        <v>10872.741503138899</v>
      </c>
      <c r="H2256" s="376">
        <v>0</v>
      </c>
      <c r="I2256" s="376">
        <v>1</v>
      </c>
    </row>
    <row r="2257" spans="1:9" x14ac:dyDescent="0.35">
      <c r="A2257" s="376" t="s">
        <v>1604</v>
      </c>
      <c r="B2257" s="376" t="s">
        <v>1609</v>
      </c>
      <c r="C2257" s="376" t="s">
        <v>1054</v>
      </c>
      <c r="D2257" s="376">
        <v>2024</v>
      </c>
      <c r="E2257" s="376">
        <v>2024</v>
      </c>
      <c r="F2257" s="376">
        <v>1</v>
      </c>
      <c r="G2257" s="376">
        <v>10872.741503138899</v>
      </c>
      <c r="H2257" s="376">
        <v>0</v>
      </c>
      <c r="I2257" s="376">
        <v>1</v>
      </c>
    </row>
    <row r="2258" spans="1:9" x14ac:dyDescent="0.35">
      <c r="A2258" s="376" t="s">
        <v>1604</v>
      </c>
      <c r="B2258" s="376" t="s">
        <v>1609</v>
      </c>
      <c r="C2258" s="376" t="s">
        <v>1046</v>
      </c>
      <c r="D2258" s="376">
        <v>2024</v>
      </c>
      <c r="E2258" s="376">
        <v>2025</v>
      </c>
      <c r="F2258" s="376">
        <v>1</v>
      </c>
      <c r="G2258" s="376">
        <v>10872.741503138899</v>
      </c>
      <c r="H2258" s="376">
        <v>0</v>
      </c>
      <c r="I2258" s="376">
        <v>1</v>
      </c>
    </row>
    <row r="2259" spans="1:9" x14ac:dyDescent="0.35">
      <c r="A2259" s="376" t="s">
        <v>1604</v>
      </c>
      <c r="B2259" s="376" t="s">
        <v>1609</v>
      </c>
      <c r="C2259" s="376" t="s">
        <v>644</v>
      </c>
      <c r="D2259" s="376">
        <v>2024</v>
      </c>
      <c r="E2259" s="376">
        <v>2025</v>
      </c>
      <c r="F2259" s="376">
        <v>1</v>
      </c>
      <c r="G2259" s="376">
        <v>10872.741503138899</v>
      </c>
      <c r="H2259" s="376">
        <v>0</v>
      </c>
      <c r="I2259" s="376">
        <v>1</v>
      </c>
    </row>
    <row r="2260" spans="1:9" x14ac:dyDescent="0.35">
      <c r="A2260" s="376" t="s">
        <v>1604</v>
      </c>
      <c r="B2260" s="376" t="s">
        <v>1609</v>
      </c>
      <c r="C2260" s="376" t="s">
        <v>628</v>
      </c>
      <c r="D2260" s="376">
        <v>2024</v>
      </c>
      <c r="E2260" s="376">
        <v>2025</v>
      </c>
      <c r="F2260" s="376">
        <v>1</v>
      </c>
      <c r="G2260" s="376">
        <v>10872.741503138899</v>
      </c>
      <c r="H2260" s="376">
        <v>0</v>
      </c>
      <c r="I2260" s="376">
        <v>1</v>
      </c>
    </row>
    <row r="2261" spans="1:9" x14ac:dyDescent="0.35">
      <c r="A2261" s="376" t="s">
        <v>1604</v>
      </c>
      <c r="B2261" s="376" t="s">
        <v>1609</v>
      </c>
      <c r="C2261" s="376" t="s">
        <v>1051</v>
      </c>
      <c r="D2261" s="376">
        <v>2024</v>
      </c>
      <c r="E2261" s="376">
        <v>2025</v>
      </c>
      <c r="F2261" s="376">
        <v>1</v>
      </c>
      <c r="G2261" s="376">
        <v>10872.741503138899</v>
      </c>
      <c r="H2261" s="376">
        <v>0</v>
      </c>
      <c r="I2261" s="376">
        <v>1</v>
      </c>
    </row>
    <row r="2262" spans="1:9" x14ac:dyDescent="0.35">
      <c r="A2262" s="376" t="s">
        <v>1604</v>
      </c>
      <c r="B2262" s="376" t="s">
        <v>1609</v>
      </c>
      <c r="C2262" s="376" t="s">
        <v>1054</v>
      </c>
      <c r="D2262" s="376">
        <v>2024</v>
      </c>
      <c r="E2262" s="376">
        <v>2025</v>
      </c>
      <c r="F2262" s="376">
        <v>1</v>
      </c>
      <c r="G2262" s="376">
        <v>10872.741503138899</v>
      </c>
      <c r="H2262" s="376">
        <v>0</v>
      </c>
      <c r="I2262" s="376">
        <v>1</v>
      </c>
    </row>
    <row r="2263" spans="1:9" x14ac:dyDescent="0.35">
      <c r="A2263" s="376" t="s">
        <v>1604</v>
      </c>
      <c r="B2263" s="376" t="s">
        <v>1609</v>
      </c>
      <c r="C2263" s="376" t="s">
        <v>1046</v>
      </c>
      <c r="D2263" s="376">
        <v>2024</v>
      </c>
      <c r="E2263" s="376">
        <v>2026</v>
      </c>
      <c r="F2263" s="376">
        <v>1</v>
      </c>
      <c r="G2263" s="376">
        <v>10872.741503138899</v>
      </c>
      <c r="H2263" s="376">
        <v>0</v>
      </c>
      <c r="I2263" s="376">
        <v>1</v>
      </c>
    </row>
    <row r="2264" spans="1:9" x14ac:dyDescent="0.35">
      <c r="A2264" s="376" t="s">
        <v>1604</v>
      </c>
      <c r="B2264" s="376" t="s">
        <v>1609</v>
      </c>
      <c r="C2264" s="376" t="s">
        <v>644</v>
      </c>
      <c r="D2264" s="376">
        <v>2024</v>
      </c>
      <c r="E2264" s="376">
        <v>2026</v>
      </c>
      <c r="F2264" s="376">
        <v>1</v>
      </c>
      <c r="G2264" s="376">
        <v>10872.741503138899</v>
      </c>
      <c r="H2264" s="376">
        <v>0</v>
      </c>
      <c r="I2264" s="376">
        <v>1</v>
      </c>
    </row>
    <row r="2265" spans="1:9" x14ac:dyDescent="0.35">
      <c r="A2265" s="376" t="s">
        <v>1604</v>
      </c>
      <c r="B2265" s="376" t="s">
        <v>1609</v>
      </c>
      <c r="C2265" s="376" t="s">
        <v>628</v>
      </c>
      <c r="D2265" s="376">
        <v>2024</v>
      </c>
      <c r="E2265" s="376">
        <v>2026</v>
      </c>
      <c r="F2265" s="376">
        <v>1</v>
      </c>
      <c r="G2265" s="376">
        <v>10872.741503138899</v>
      </c>
      <c r="H2265" s="376">
        <v>0</v>
      </c>
      <c r="I2265" s="376">
        <v>1</v>
      </c>
    </row>
    <row r="2266" spans="1:9" x14ac:dyDescent="0.35">
      <c r="A2266" s="376" t="s">
        <v>1604</v>
      </c>
      <c r="B2266" s="376" t="s">
        <v>1609</v>
      </c>
      <c r="C2266" s="376" t="s">
        <v>1051</v>
      </c>
      <c r="D2266" s="376">
        <v>2024</v>
      </c>
      <c r="E2266" s="376">
        <v>2026</v>
      </c>
      <c r="F2266" s="376">
        <v>1</v>
      </c>
      <c r="G2266" s="376">
        <v>10872.741503138899</v>
      </c>
      <c r="H2266" s="376">
        <v>0</v>
      </c>
      <c r="I2266" s="376">
        <v>1</v>
      </c>
    </row>
    <row r="2267" spans="1:9" x14ac:dyDescent="0.35">
      <c r="A2267" s="376" t="s">
        <v>1604</v>
      </c>
      <c r="B2267" s="376" t="s">
        <v>1609</v>
      </c>
      <c r="C2267" s="376" t="s">
        <v>1054</v>
      </c>
      <c r="D2267" s="376">
        <v>2024</v>
      </c>
      <c r="E2267" s="376">
        <v>2026</v>
      </c>
      <c r="F2267" s="376">
        <v>1</v>
      </c>
      <c r="G2267" s="376">
        <v>10872.741503138899</v>
      </c>
      <c r="H2267" s="376">
        <v>0</v>
      </c>
      <c r="I2267" s="376">
        <v>1</v>
      </c>
    </row>
    <row r="2268" spans="1:9" x14ac:dyDescent="0.35">
      <c r="A2268" s="376" t="s">
        <v>1604</v>
      </c>
      <c r="B2268" s="376" t="s">
        <v>1609</v>
      </c>
      <c r="C2268" s="376" t="s">
        <v>1046</v>
      </c>
      <c r="D2268" s="376">
        <v>2024</v>
      </c>
      <c r="E2268" s="376">
        <v>2027</v>
      </c>
      <c r="F2268" s="376">
        <v>1</v>
      </c>
      <c r="G2268" s="376">
        <v>10872.741503138899</v>
      </c>
      <c r="H2268" s="376">
        <v>0</v>
      </c>
      <c r="I2268" s="376">
        <v>1</v>
      </c>
    </row>
    <row r="2269" spans="1:9" x14ac:dyDescent="0.35">
      <c r="A2269" s="376" t="s">
        <v>1604</v>
      </c>
      <c r="B2269" s="376" t="s">
        <v>1609</v>
      </c>
      <c r="C2269" s="376" t="s">
        <v>644</v>
      </c>
      <c r="D2269" s="376">
        <v>2024</v>
      </c>
      <c r="E2269" s="376">
        <v>2027</v>
      </c>
      <c r="F2269" s="376">
        <v>1</v>
      </c>
      <c r="G2269" s="376">
        <v>10872.741503138899</v>
      </c>
      <c r="H2269" s="376">
        <v>0</v>
      </c>
      <c r="I2269" s="376">
        <v>1</v>
      </c>
    </row>
    <row r="2270" spans="1:9" x14ac:dyDescent="0.35">
      <c r="A2270" s="376" t="s">
        <v>1604</v>
      </c>
      <c r="B2270" s="376" t="s">
        <v>1609</v>
      </c>
      <c r="C2270" s="376" t="s">
        <v>628</v>
      </c>
      <c r="D2270" s="376">
        <v>2024</v>
      </c>
      <c r="E2270" s="376">
        <v>2027</v>
      </c>
      <c r="F2270" s="376">
        <v>1</v>
      </c>
      <c r="G2270" s="376">
        <v>10872.741503138899</v>
      </c>
      <c r="H2270" s="376">
        <v>0</v>
      </c>
      <c r="I2270" s="376">
        <v>1</v>
      </c>
    </row>
    <row r="2271" spans="1:9" x14ac:dyDescent="0.35">
      <c r="A2271" s="376" t="s">
        <v>1604</v>
      </c>
      <c r="B2271" s="376" t="s">
        <v>1609</v>
      </c>
      <c r="C2271" s="376" t="s">
        <v>1051</v>
      </c>
      <c r="D2271" s="376">
        <v>2024</v>
      </c>
      <c r="E2271" s="376">
        <v>2027</v>
      </c>
      <c r="F2271" s="376">
        <v>1</v>
      </c>
      <c r="G2271" s="376">
        <v>10872.741503138899</v>
      </c>
      <c r="H2271" s="376">
        <v>0</v>
      </c>
      <c r="I2271" s="376">
        <v>1</v>
      </c>
    </row>
    <row r="2272" spans="1:9" x14ac:dyDescent="0.35">
      <c r="A2272" s="376" t="s">
        <v>1604</v>
      </c>
      <c r="B2272" s="376" t="s">
        <v>1609</v>
      </c>
      <c r="C2272" s="376" t="s">
        <v>1054</v>
      </c>
      <c r="D2272" s="376">
        <v>2024</v>
      </c>
      <c r="E2272" s="376">
        <v>2027</v>
      </c>
      <c r="F2272" s="376">
        <v>1</v>
      </c>
      <c r="G2272" s="376">
        <v>10872.741503138899</v>
      </c>
      <c r="H2272" s="376">
        <v>0</v>
      </c>
      <c r="I2272" s="376">
        <v>1</v>
      </c>
    </row>
    <row r="2273" spans="1:9" x14ac:dyDescent="0.35">
      <c r="A2273" s="376" t="s">
        <v>1604</v>
      </c>
      <c r="B2273" s="376" t="s">
        <v>1609</v>
      </c>
      <c r="C2273" s="376" t="s">
        <v>1046</v>
      </c>
      <c r="D2273" s="376">
        <v>2024</v>
      </c>
      <c r="E2273" s="376">
        <v>2028</v>
      </c>
      <c r="F2273" s="376">
        <v>1</v>
      </c>
      <c r="G2273" s="376">
        <v>10872.741503138899</v>
      </c>
      <c r="H2273" s="376">
        <v>0</v>
      </c>
      <c r="I2273" s="376">
        <v>1</v>
      </c>
    </row>
    <row r="2274" spans="1:9" x14ac:dyDescent="0.35">
      <c r="A2274" s="376" t="s">
        <v>1604</v>
      </c>
      <c r="B2274" s="376" t="s">
        <v>1609</v>
      </c>
      <c r="C2274" s="376" t="s">
        <v>644</v>
      </c>
      <c r="D2274" s="376">
        <v>2024</v>
      </c>
      <c r="E2274" s="376">
        <v>2028</v>
      </c>
      <c r="F2274" s="376">
        <v>1</v>
      </c>
      <c r="G2274" s="376">
        <v>10872.741503138899</v>
      </c>
      <c r="H2274" s="376">
        <v>0</v>
      </c>
      <c r="I2274" s="376">
        <v>1</v>
      </c>
    </row>
    <row r="2275" spans="1:9" x14ac:dyDescent="0.35">
      <c r="A2275" s="376" t="s">
        <v>1604</v>
      </c>
      <c r="B2275" s="376" t="s">
        <v>1609</v>
      </c>
      <c r="C2275" s="376" t="s">
        <v>628</v>
      </c>
      <c r="D2275" s="376">
        <v>2024</v>
      </c>
      <c r="E2275" s="376">
        <v>2028</v>
      </c>
      <c r="F2275" s="376">
        <v>1</v>
      </c>
      <c r="G2275" s="376">
        <v>10872.741503138899</v>
      </c>
      <c r="H2275" s="376">
        <v>0</v>
      </c>
      <c r="I2275" s="376">
        <v>1</v>
      </c>
    </row>
    <row r="2276" spans="1:9" x14ac:dyDescent="0.35">
      <c r="A2276" s="376" t="s">
        <v>1604</v>
      </c>
      <c r="B2276" s="376" t="s">
        <v>1609</v>
      </c>
      <c r="C2276" s="376" t="s">
        <v>1051</v>
      </c>
      <c r="D2276" s="376">
        <v>2024</v>
      </c>
      <c r="E2276" s="376">
        <v>2028</v>
      </c>
      <c r="F2276" s="376">
        <v>1</v>
      </c>
      <c r="G2276" s="376">
        <v>10872.741503138899</v>
      </c>
      <c r="H2276" s="376">
        <v>0</v>
      </c>
      <c r="I2276" s="376">
        <v>1</v>
      </c>
    </row>
    <row r="2277" spans="1:9" x14ac:dyDescent="0.35">
      <c r="A2277" s="376" t="s">
        <v>1604</v>
      </c>
      <c r="B2277" s="376" t="s">
        <v>1609</v>
      </c>
      <c r="C2277" s="376" t="s">
        <v>1054</v>
      </c>
      <c r="D2277" s="376">
        <v>2024</v>
      </c>
      <c r="E2277" s="376">
        <v>2028</v>
      </c>
      <c r="F2277" s="376">
        <v>1</v>
      </c>
      <c r="G2277" s="376">
        <v>10872.741503138899</v>
      </c>
      <c r="H2277" s="376">
        <v>0</v>
      </c>
      <c r="I2277" s="376">
        <v>1</v>
      </c>
    </row>
    <row r="2278" spans="1:9" x14ac:dyDescent="0.35">
      <c r="A2278" s="376" t="s">
        <v>1604</v>
      </c>
      <c r="B2278" s="376" t="s">
        <v>1609</v>
      </c>
      <c r="C2278" s="376" t="s">
        <v>1046</v>
      </c>
      <c r="D2278" s="376">
        <v>2024</v>
      </c>
      <c r="E2278" s="376">
        <v>2029</v>
      </c>
      <c r="F2278" s="376">
        <v>1</v>
      </c>
      <c r="G2278" s="376">
        <v>10872.741503138899</v>
      </c>
      <c r="H2278" s="376">
        <v>0</v>
      </c>
      <c r="I2278" s="376">
        <v>1</v>
      </c>
    </row>
    <row r="2279" spans="1:9" x14ac:dyDescent="0.35">
      <c r="A2279" s="376" t="s">
        <v>1604</v>
      </c>
      <c r="B2279" s="376" t="s">
        <v>1609</v>
      </c>
      <c r="C2279" s="376" t="s">
        <v>644</v>
      </c>
      <c r="D2279" s="376">
        <v>2024</v>
      </c>
      <c r="E2279" s="376">
        <v>2029</v>
      </c>
      <c r="F2279" s="376">
        <v>1</v>
      </c>
      <c r="G2279" s="376">
        <v>10872.741503138899</v>
      </c>
      <c r="H2279" s="376">
        <v>0</v>
      </c>
      <c r="I2279" s="376">
        <v>1</v>
      </c>
    </row>
    <row r="2280" spans="1:9" x14ac:dyDescent="0.35">
      <c r="A2280" s="376" t="s">
        <v>1604</v>
      </c>
      <c r="B2280" s="376" t="s">
        <v>1609</v>
      </c>
      <c r="C2280" s="376" t="s">
        <v>628</v>
      </c>
      <c r="D2280" s="376">
        <v>2024</v>
      </c>
      <c r="E2280" s="376">
        <v>2029</v>
      </c>
      <c r="F2280" s="376">
        <v>1</v>
      </c>
      <c r="G2280" s="376">
        <v>10872.741503138899</v>
      </c>
      <c r="H2280" s="376">
        <v>0</v>
      </c>
      <c r="I2280" s="376">
        <v>1</v>
      </c>
    </row>
    <row r="2281" spans="1:9" x14ac:dyDescent="0.35">
      <c r="A2281" s="376" t="s">
        <v>1604</v>
      </c>
      <c r="B2281" s="376" t="s">
        <v>1609</v>
      </c>
      <c r="C2281" s="376" t="s">
        <v>1051</v>
      </c>
      <c r="D2281" s="376">
        <v>2024</v>
      </c>
      <c r="E2281" s="376">
        <v>2029</v>
      </c>
      <c r="F2281" s="376">
        <v>1</v>
      </c>
      <c r="G2281" s="376">
        <v>10872.741503138899</v>
      </c>
      <c r="H2281" s="376">
        <v>0</v>
      </c>
      <c r="I2281" s="376">
        <v>1</v>
      </c>
    </row>
    <row r="2282" spans="1:9" x14ac:dyDescent="0.35">
      <c r="A2282" s="376" t="s">
        <v>1604</v>
      </c>
      <c r="B2282" s="376" t="s">
        <v>1609</v>
      </c>
      <c r="C2282" s="376" t="s">
        <v>1054</v>
      </c>
      <c r="D2282" s="376">
        <v>2024</v>
      </c>
      <c r="E2282" s="376">
        <v>2029</v>
      </c>
      <c r="F2282" s="376">
        <v>1</v>
      </c>
      <c r="G2282" s="376">
        <v>10872.741503138899</v>
      </c>
      <c r="H2282" s="376">
        <v>0</v>
      </c>
      <c r="I2282" s="376">
        <v>1</v>
      </c>
    </row>
    <row r="2283" spans="1:9" x14ac:dyDescent="0.35">
      <c r="A2283" s="376" t="s">
        <v>1604</v>
      </c>
      <c r="B2283" s="376" t="s">
        <v>1609</v>
      </c>
      <c r="C2283" s="376" t="s">
        <v>1046</v>
      </c>
      <c r="D2283" s="376">
        <v>2024</v>
      </c>
      <c r="E2283" s="376">
        <v>2030</v>
      </c>
      <c r="F2283" s="376">
        <v>1</v>
      </c>
      <c r="G2283" s="376">
        <v>10872.741503138899</v>
      </c>
      <c r="H2283" s="376">
        <v>0</v>
      </c>
      <c r="I2283" s="376">
        <v>1</v>
      </c>
    </row>
    <row r="2284" spans="1:9" x14ac:dyDescent="0.35">
      <c r="A2284" s="376" t="s">
        <v>1604</v>
      </c>
      <c r="B2284" s="376" t="s">
        <v>1609</v>
      </c>
      <c r="C2284" s="376" t="s">
        <v>644</v>
      </c>
      <c r="D2284" s="376">
        <v>2024</v>
      </c>
      <c r="E2284" s="376">
        <v>2030</v>
      </c>
      <c r="F2284" s="376">
        <v>1</v>
      </c>
      <c r="G2284" s="376">
        <v>10872.741503138899</v>
      </c>
      <c r="H2284" s="376">
        <v>0</v>
      </c>
      <c r="I2284" s="376">
        <v>1</v>
      </c>
    </row>
    <row r="2285" spans="1:9" x14ac:dyDescent="0.35">
      <c r="A2285" s="376" t="s">
        <v>1604</v>
      </c>
      <c r="B2285" s="376" t="s">
        <v>1609</v>
      </c>
      <c r="C2285" s="376" t="s">
        <v>628</v>
      </c>
      <c r="D2285" s="376">
        <v>2024</v>
      </c>
      <c r="E2285" s="376">
        <v>2030</v>
      </c>
      <c r="F2285" s="376">
        <v>1</v>
      </c>
      <c r="G2285" s="376">
        <v>10872.741503138899</v>
      </c>
      <c r="H2285" s="376">
        <v>0</v>
      </c>
      <c r="I2285" s="376">
        <v>1</v>
      </c>
    </row>
    <row r="2286" spans="1:9" x14ac:dyDescent="0.35">
      <c r="A2286" s="376" t="s">
        <v>1604</v>
      </c>
      <c r="B2286" s="376" t="s">
        <v>1609</v>
      </c>
      <c r="C2286" s="376" t="s">
        <v>1051</v>
      </c>
      <c r="D2286" s="376">
        <v>2024</v>
      </c>
      <c r="E2286" s="376">
        <v>2030</v>
      </c>
      <c r="F2286" s="376">
        <v>1</v>
      </c>
      <c r="G2286" s="376">
        <v>10872.741503138899</v>
      </c>
      <c r="H2286" s="376">
        <v>0</v>
      </c>
      <c r="I2286" s="376">
        <v>1</v>
      </c>
    </row>
    <row r="2287" spans="1:9" x14ac:dyDescent="0.35">
      <c r="A2287" s="376" t="s">
        <v>1604</v>
      </c>
      <c r="B2287" s="376" t="s">
        <v>1609</v>
      </c>
      <c r="C2287" s="376" t="s">
        <v>1054</v>
      </c>
      <c r="D2287" s="376">
        <v>2024</v>
      </c>
      <c r="E2287" s="376">
        <v>2030</v>
      </c>
      <c r="F2287" s="376">
        <v>1</v>
      </c>
      <c r="G2287" s="376">
        <v>10872.741503138899</v>
      </c>
      <c r="H2287" s="376">
        <v>0</v>
      </c>
      <c r="I2287" s="376">
        <v>1</v>
      </c>
    </row>
    <row r="2288" spans="1:9" x14ac:dyDescent="0.35">
      <c r="A2288" s="376" t="s">
        <v>1604</v>
      </c>
      <c r="B2288" s="376" t="s">
        <v>1609</v>
      </c>
      <c r="C2288" s="376" t="s">
        <v>1046</v>
      </c>
      <c r="D2288" s="376">
        <v>2024</v>
      </c>
      <c r="E2288" s="376">
        <v>2031</v>
      </c>
      <c r="F2288" s="376">
        <v>1</v>
      </c>
      <c r="G2288" s="376">
        <v>10872.741503138899</v>
      </c>
      <c r="H2288" s="376">
        <v>0</v>
      </c>
      <c r="I2288" s="376">
        <v>1</v>
      </c>
    </row>
    <row r="2289" spans="1:9" x14ac:dyDescent="0.35">
      <c r="A2289" s="376" t="s">
        <v>1604</v>
      </c>
      <c r="B2289" s="376" t="s">
        <v>1609</v>
      </c>
      <c r="C2289" s="376" t="s">
        <v>644</v>
      </c>
      <c r="D2289" s="376">
        <v>2024</v>
      </c>
      <c r="E2289" s="376">
        <v>2031</v>
      </c>
      <c r="F2289" s="376">
        <v>1</v>
      </c>
      <c r="G2289" s="376">
        <v>10872.741503138899</v>
      </c>
      <c r="H2289" s="376">
        <v>0</v>
      </c>
      <c r="I2289" s="376">
        <v>1</v>
      </c>
    </row>
    <row r="2290" spans="1:9" x14ac:dyDescent="0.35">
      <c r="A2290" s="376" t="s">
        <v>1604</v>
      </c>
      <c r="B2290" s="376" t="s">
        <v>1609</v>
      </c>
      <c r="C2290" s="376" t="s">
        <v>628</v>
      </c>
      <c r="D2290" s="376">
        <v>2024</v>
      </c>
      <c r="E2290" s="376">
        <v>2031</v>
      </c>
      <c r="F2290" s="376">
        <v>1</v>
      </c>
      <c r="G2290" s="376">
        <v>10872.741503138899</v>
      </c>
      <c r="H2290" s="376">
        <v>0</v>
      </c>
      <c r="I2290" s="376">
        <v>1</v>
      </c>
    </row>
    <row r="2291" spans="1:9" x14ac:dyDescent="0.35">
      <c r="A2291" s="376" t="s">
        <v>1604</v>
      </c>
      <c r="B2291" s="376" t="s">
        <v>1609</v>
      </c>
      <c r="C2291" s="376" t="s">
        <v>1051</v>
      </c>
      <c r="D2291" s="376">
        <v>2024</v>
      </c>
      <c r="E2291" s="376">
        <v>2031</v>
      </c>
      <c r="F2291" s="376">
        <v>1</v>
      </c>
      <c r="G2291" s="376">
        <v>10872.741503138899</v>
      </c>
      <c r="H2291" s="376">
        <v>0</v>
      </c>
      <c r="I2291" s="376">
        <v>1</v>
      </c>
    </row>
    <row r="2292" spans="1:9" x14ac:dyDescent="0.35">
      <c r="A2292" s="376" t="s">
        <v>1604</v>
      </c>
      <c r="B2292" s="376" t="s">
        <v>1609</v>
      </c>
      <c r="C2292" s="376" t="s">
        <v>1054</v>
      </c>
      <c r="D2292" s="376">
        <v>2024</v>
      </c>
      <c r="E2292" s="376">
        <v>2031</v>
      </c>
      <c r="F2292" s="376">
        <v>1</v>
      </c>
      <c r="G2292" s="376">
        <v>10872.741503138899</v>
      </c>
      <c r="H2292" s="376">
        <v>0</v>
      </c>
      <c r="I2292" s="376">
        <v>1</v>
      </c>
    </row>
    <row r="2293" spans="1:9" x14ac:dyDescent="0.35">
      <c r="A2293" s="376" t="s">
        <v>1615</v>
      </c>
      <c r="B2293" s="376" t="s">
        <v>1609</v>
      </c>
      <c r="C2293" s="376" t="s">
        <v>1046</v>
      </c>
      <c r="D2293" s="376">
        <v>2024</v>
      </c>
      <c r="E2293" s="376">
        <v>2024</v>
      </c>
      <c r="F2293" s="376">
        <v>1</v>
      </c>
      <c r="G2293" s="376">
        <v>20148.813739673951</v>
      </c>
      <c r="H2293" s="376">
        <v>0</v>
      </c>
      <c r="I2293" s="376">
        <v>0.65716939790195539</v>
      </c>
    </row>
    <row r="2294" spans="1:9" x14ac:dyDescent="0.35">
      <c r="A2294" s="376" t="s">
        <v>1615</v>
      </c>
      <c r="B2294" s="376" t="s">
        <v>1609</v>
      </c>
      <c r="C2294" s="376" t="s">
        <v>644</v>
      </c>
      <c r="D2294" s="376">
        <v>2024</v>
      </c>
      <c r="E2294" s="376">
        <v>2024</v>
      </c>
      <c r="F2294" s="376">
        <v>1</v>
      </c>
      <c r="G2294" s="376">
        <v>20148.813739673951</v>
      </c>
      <c r="H2294" s="376">
        <v>0</v>
      </c>
      <c r="I2294" s="376">
        <v>0.65716939790195539</v>
      </c>
    </row>
    <row r="2295" spans="1:9" x14ac:dyDescent="0.35">
      <c r="A2295" s="376" t="s">
        <v>1615</v>
      </c>
      <c r="B2295" s="376" t="s">
        <v>1609</v>
      </c>
      <c r="C2295" s="376" t="s">
        <v>628</v>
      </c>
      <c r="D2295" s="376">
        <v>2024</v>
      </c>
      <c r="E2295" s="376">
        <v>2024</v>
      </c>
      <c r="F2295" s="376">
        <v>1</v>
      </c>
      <c r="G2295" s="376">
        <v>20148.813739673951</v>
      </c>
      <c r="H2295" s="376">
        <v>0</v>
      </c>
      <c r="I2295" s="376">
        <v>0.65716939790195539</v>
      </c>
    </row>
    <row r="2296" spans="1:9" x14ac:dyDescent="0.35">
      <c r="A2296" s="376" t="s">
        <v>1615</v>
      </c>
      <c r="B2296" s="376" t="s">
        <v>1609</v>
      </c>
      <c r="C2296" s="376" t="s">
        <v>1051</v>
      </c>
      <c r="D2296" s="376">
        <v>2024</v>
      </c>
      <c r="E2296" s="376">
        <v>2024</v>
      </c>
      <c r="F2296" s="376">
        <v>1</v>
      </c>
      <c r="G2296" s="376">
        <v>20148.813739673951</v>
      </c>
      <c r="H2296" s="376">
        <v>0</v>
      </c>
      <c r="I2296" s="376">
        <v>0.65716939790195539</v>
      </c>
    </row>
    <row r="2297" spans="1:9" x14ac:dyDescent="0.35">
      <c r="A2297" s="376" t="s">
        <v>1615</v>
      </c>
      <c r="B2297" s="376" t="s">
        <v>1609</v>
      </c>
      <c r="C2297" s="376" t="s">
        <v>1054</v>
      </c>
      <c r="D2297" s="376">
        <v>2024</v>
      </c>
      <c r="E2297" s="376">
        <v>2024</v>
      </c>
      <c r="F2297" s="376">
        <v>1</v>
      </c>
      <c r="G2297" s="376">
        <v>20148.813739673951</v>
      </c>
      <c r="H2297" s="376">
        <v>0</v>
      </c>
      <c r="I2297" s="376">
        <v>0.65716939790195539</v>
      </c>
    </row>
    <row r="2298" spans="1:9" x14ac:dyDescent="0.35">
      <c r="A2298" s="376" t="s">
        <v>1615</v>
      </c>
      <c r="B2298" s="376" t="s">
        <v>1609</v>
      </c>
      <c r="C2298" s="376" t="s">
        <v>1046</v>
      </c>
      <c r="D2298" s="376">
        <v>2024</v>
      </c>
      <c r="E2298" s="376">
        <v>2025</v>
      </c>
      <c r="F2298" s="376">
        <v>1</v>
      </c>
      <c r="G2298" s="376">
        <v>20148.813739673951</v>
      </c>
      <c r="H2298" s="376">
        <v>0</v>
      </c>
      <c r="I2298" s="376">
        <v>0.65716939790195539</v>
      </c>
    </row>
    <row r="2299" spans="1:9" x14ac:dyDescent="0.35">
      <c r="A2299" s="376" t="s">
        <v>1615</v>
      </c>
      <c r="B2299" s="376" t="s">
        <v>1609</v>
      </c>
      <c r="C2299" s="376" t="s">
        <v>644</v>
      </c>
      <c r="D2299" s="376">
        <v>2024</v>
      </c>
      <c r="E2299" s="376">
        <v>2025</v>
      </c>
      <c r="F2299" s="376">
        <v>1</v>
      </c>
      <c r="G2299" s="376">
        <v>20148.813739673951</v>
      </c>
      <c r="H2299" s="376">
        <v>0</v>
      </c>
      <c r="I2299" s="376">
        <v>0.65716939790195539</v>
      </c>
    </row>
    <row r="2300" spans="1:9" x14ac:dyDescent="0.35">
      <c r="A2300" s="376" t="s">
        <v>1615</v>
      </c>
      <c r="B2300" s="376" t="s">
        <v>1609</v>
      </c>
      <c r="C2300" s="376" t="s">
        <v>628</v>
      </c>
      <c r="D2300" s="376">
        <v>2024</v>
      </c>
      <c r="E2300" s="376">
        <v>2025</v>
      </c>
      <c r="F2300" s="376">
        <v>1</v>
      </c>
      <c r="G2300" s="376">
        <v>20148.813739673951</v>
      </c>
      <c r="H2300" s="376">
        <v>0</v>
      </c>
      <c r="I2300" s="376">
        <v>0.65716939790195539</v>
      </c>
    </row>
    <row r="2301" spans="1:9" x14ac:dyDescent="0.35">
      <c r="A2301" s="376" t="s">
        <v>1615</v>
      </c>
      <c r="B2301" s="376" t="s">
        <v>1609</v>
      </c>
      <c r="C2301" s="376" t="s">
        <v>1051</v>
      </c>
      <c r="D2301" s="376">
        <v>2024</v>
      </c>
      <c r="E2301" s="376">
        <v>2025</v>
      </c>
      <c r="F2301" s="376">
        <v>1</v>
      </c>
      <c r="G2301" s="376">
        <v>20148.813739673951</v>
      </c>
      <c r="H2301" s="376">
        <v>0</v>
      </c>
      <c r="I2301" s="376">
        <v>0.65716939790195539</v>
      </c>
    </row>
    <row r="2302" spans="1:9" x14ac:dyDescent="0.35">
      <c r="A2302" s="376" t="s">
        <v>1615</v>
      </c>
      <c r="B2302" s="376" t="s">
        <v>1609</v>
      </c>
      <c r="C2302" s="376" t="s">
        <v>1054</v>
      </c>
      <c r="D2302" s="376">
        <v>2024</v>
      </c>
      <c r="E2302" s="376">
        <v>2025</v>
      </c>
      <c r="F2302" s="376">
        <v>1</v>
      </c>
      <c r="G2302" s="376">
        <v>20148.813739673951</v>
      </c>
      <c r="H2302" s="376">
        <v>0</v>
      </c>
      <c r="I2302" s="376">
        <v>0.65716939790195539</v>
      </c>
    </row>
    <row r="2303" spans="1:9" x14ac:dyDescent="0.35">
      <c r="A2303" s="376" t="s">
        <v>1615</v>
      </c>
      <c r="B2303" s="376" t="s">
        <v>1609</v>
      </c>
      <c r="C2303" s="376" t="s">
        <v>1046</v>
      </c>
      <c r="D2303" s="376">
        <v>2024</v>
      </c>
      <c r="E2303" s="376">
        <v>2026</v>
      </c>
      <c r="F2303" s="376">
        <v>1</v>
      </c>
      <c r="G2303" s="376">
        <v>20148.813739673951</v>
      </c>
      <c r="H2303" s="376">
        <v>0</v>
      </c>
      <c r="I2303" s="376">
        <v>0.65716939790195539</v>
      </c>
    </row>
    <row r="2304" spans="1:9" x14ac:dyDescent="0.35">
      <c r="A2304" s="376" t="s">
        <v>1615</v>
      </c>
      <c r="B2304" s="376" t="s">
        <v>1609</v>
      </c>
      <c r="C2304" s="376" t="s">
        <v>644</v>
      </c>
      <c r="D2304" s="376">
        <v>2024</v>
      </c>
      <c r="E2304" s="376">
        <v>2026</v>
      </c>
      <c r="F2304" s="376">
        <v>1</v>
      </c>
      <c r="G2304" s="376">
        <v>20148.813739673951</v>
      </c>
      <c r="H2304" s="376">
        <v>0</v>
      </c>
      <c r="I2304" s="376">
        <v>0.65716939790195539</v>
      </c>
    </row>
    <row r="2305" spans="1:9" x14ac:dyDescent="0.35">
      <c r="A2305" s="376" t="s">
        <v>1615</v>
      </c>
      <c r="B2305" s="376" t="s">
        <v>1609</v>
      </c>
      <c r="C2305" s="376" t="s">
        <v>628</v>
      </c>
      <c r="D2305" s="376">
        <v>2024</v>
      </c>
      <c r="E2305" s="376">
        <v>2026</v>
      </c>
      <c r="F2305" s="376">
        <v>1</v>
      </c>
      <c r="G2305" s="376">
        <v>20148.813739673951</v>
      </c>
      <c r="H2305" s="376">
        <v>0</v>
      </c>
      <c r="I2305" s="376">
        <v>0.65716939790195539</v>
      </c>
    </row>
    <row r="2306" spans="1:9" x14ac:dyDescent="0.35">
      <c r="A2306" s="376" t="s">
        <v>1615</v>
      </c>
      <c r="B2306" s="376" t="s">
        <v>1609</v>
      </c>
      <c r="C2306" s="376" t="s">
        <v>1051</v>
      </c>
      <c r="D2306" s="376">
        <v>2024</v>
      </c>
      <c r="E2306" s="376">
        <v>2026</v>
      </c>
      <c r="F2306" s="376">
        <v>1</v>
      </c>
      <c r="G2306" s="376">
        <v>20148.813739673951</v>
      </c>
      <c r="H2306" s="376">
        <v>0</v>
      </c>
      <c r="I2306" s="376">
        <v>0.65716939790195539</v>
      </c>
    </row>
    <row r="2307" spans="1:9" x14ac:dyDescent="0.35">
      <c r="A2307" s="376" t="s">
        <v>1615</v>
      </c>
      <c r="B2307" s="376" t="s">
        <v>1609</v>
      </c>
      <c r="C2307" s="376" t="s">
        <v>1054</v>
      </c>
      <c r="D2307" s="376">
        <v>2024</v>
      </c>
      <c r="E2307" s="376">
        <v>2026</v>
      </c>
      <c r="F2307" s="376">
        <v>1</v>
      </c>
      <c r="G2307" s="376">
        <v>20148.813739673951</v>
      </c>
      <c r="H2307" s="376">
        <v>0</v>
      </c>
      <c r="I2307" s="376">
        <v>0.65716939790195539</v>
      </c>
    </row>
    <row r="2308" spans="1:9" x14ac:dyDescent="0.35">
      <c r="A2308" s="376" t="s">
        <v>1615</v>
      </c>
      <c r="B2308" s="376" t="s">
        <v>1609</v>
      </c>
      <c r="C2308" s="376" t="s">
        <v>1046</v>
      </c>
      <c r="D2308" s="376">
        <v>2024</v>
      </c>
      <c r="E2308" s="376">
        <v>2027</v>
      </c>
      <c r="F2308" s="376">
        <v>1</v>
      </c>
      <c r="G2308" s="376">
        <v>20148.813739673951</v>
      </c>
      <c r="H2308" s="376">
        <v>0</v>
      </c>
      <c r="I2308" s="376">
        <v>0.65716939790195539</v>
      </c>
    </row>
    <row r="2309" spans="1:9" x14ac:dyDescent="0.35">
      <c r="A2309" s="376" t="s">
        <v>1615</v>
      </c>
      <c r="B2309" s="376" t="s">
        <v>1609</v>
      </c>
      <c r="C2309" s="376" t="s">
        <v>644</v>
      </c>
      <c r="D2309" s="376">
        <v>2024</v>
      </c>
      <c r="E2309" s="376">
        <v>2027</v>
      </c>
      <c r="F2309" s="376">
        <v>1</v>
      </c>
      <c r="G2309" s="376">
        <v>20148.813739673951</v>
      </c>
      <c r="H2309" s="376">
        <v>0</v>
      </c>
      <c r="I2309" s="376">
        <v>0.65716939790195539</v>
      </c>
    </row>
    <row r="2310" spans="1:9" x14ac:dyDescent="0.35">
      <c r="A2310" s="376" t="s">
        <v>1615</v>
      </c>
      <c r="B2310" s="376" t="s">
        <v>1609</v>
      </c>
      <c r="C2310" s="376" t="s">
        <v>628</v>
      </c>
      <c r="D2310" s="376">
        <v>2024</v>
      </c>
      <c r="E2310" s="376">
        <v>2027</v>
      </c>
      <c r="F2310" s="376">
        <v>1</v>
      </c>
      <c r="G2310" s="376">
        <v>20148.813739673951</v>
      </c>
      <c r="H2310" s="376">
        <v>0</v>
      </c>
      <c r="I2310" s="376">
        <v>0.65716939790195539</v>
      </c>
    </row>
    <row r="2311" spans="1:9" x14ac:dyDescent="0.35">
      <c r="A2311" s="376" t="s">
        <v>1615</v>
      </c>
      <c r="B2311" s="376" t="s">
        <v>1609</v>
      </c>
      <c r="C2311" s="376" t="s">
        <v>1051</v>
      </c>
      <c r="D2311" s="376">
        <v>2024</v>
      </c>
      <c r="E2311" s="376">
        <v>2027</v>
      </c>
      <c r="F2311" s="376">
        <v>1</v>
      </c>
      <c r="G2311" s="376">
        <v>20148.813739673951</v>
      </c>
      <c r="H2311" s="376">
        <v>0</v>
      </c>
      <c r="I2311" s="376">
        <v>0.65716939790195539</v>
      </c>
    </row>
    <row r="2312" spans="1:9" x14ac:dyDescent="0.35">
      <c r="A2312" s="376" t="s">
        <v>1615</v>
      </c>
      <c r="B2312" s="376" t="s">
        <v>1609</v>
      </c>
      <c r="C2312" s="376" t="s">
        <v>1054</v>
      </c>
      <c r="D2312" s="376">
        <v>2024</v>
      </c>
      <c r="E2312" s="376">
        <v>2027</v>
      </c>
      <c r="F2312" s="376">
        <v>1</v>
      </c>
      <c r="G2312" s="376">
        <v>20148.813739673951</v>
      </c>
      <c r="H2312" s="376">
        <v>0</v>
      </c>
      <c r="I2312" s="376">
        <v>0.65716939790195539</v>
      </c>
    </row>
    <row r="2313" spans="1:9" x14ac:dyDescent="0.35">
      <c r="A2313" s="376" t="s">
        <v>1615</v>
      </c>
      <c r="B2313" s="376" t="s">
        <v>1609</v>
      </c>
      <c r="C2313" s="376" t="s">
        <v>1046</v>
      </c>
      <c r="D2313" s="376">
        <v>2024</v>
      </c>
      <c r="E2313" s="376">
        <v>2028</v>
      </c>
      <c r="F2313" s="376">
        <v>1</v>
      </c>
      <c r="G2313" s="376">
        <v>20148.813739673951</v>
      </c>
      <c r="H2313" s="376">
        <v>0</v>
      </c>
      <c r="I2313" s="376">
        <v>0.65716939790195539</v>
      </c>
    </row>
    <row r="2314" spans="1:9" x14ac:dyDescent="0.35">
      <c r="A2314" s="376" t="s">
        <v>1615</v>
      </c>
      <c r="B2314" s="376" t="s">
        <v>1609</v>
      </c>
      <c r="C2314" s="376" t="s">
        <v>644</v>
      </c>
      <c r="D2314" s="376">
        <v>2024</v>
      </c>
      <c r="E2314" s="376">
        <v>2028</v>
      </c>
      <c r="F2314" s="376">
        <v>1</v>
      </c>
      <c r="G2314" s="376">
        <v>20148.813739673951</v>
      </c>
      <c r="H2314" s="376">
        <v>0</v>
      </c>
      <c r="I2314" s="376">
        <v>0.65716939790195539</v>
      </c>
    </row>
    <row r="2315" spans="1:9" x14ac:dyDescent="0.35">
      <c r="A2315" s="376" t="s">
        <v>1615</v>
      </c>
      <c r="B2315" s="376" t="s">
        <v>1609</v>
      </c>
      <c r="C2315" s="376" t="s">
        <v>628</v>
      </c>
      <c r="D2315" s="376">
        <v>2024</v>
      </c>
      <c r="E2315" s="376">
        <v>2028</v>
      </c>
      <c r="F2315" s="376">
        <v>1</v>
      </c>
      <c r="G2315" s="376">
        <v>20148.813739673951</v>
      </c>
      <c r="H2315" s="376">
        <v>0</v>
      </c>
      <c r="I2315" s="376">
        <v>0.65716939790195539</v>
      </c>
    </row>
    <row r="2316" spans="1:9" x14ac:dyDescent="0.35">
      <c r="A2316" s="376" t="s">
        <v>1615</v>
      </c>
      <c r="B2316" s="376" t="s">
        <v>1609</v>
      </c>
      <c r="C2316" s="376" t="s">
        <v>1051</v>
      </c>
      <c r="D2316" s="376">
        <v>2024</v>
      </c>
      <c r="E2316" s="376">
        <v>2028</v>
      </c>
      <c r="F2316" s="376">
        <v>1</v>
      </c>
      <c r="G2316" s="376">
        <v>20148.813739673951</v>
      </c>
      <c r="H2316" s="376">
        <v>0</v>
      </c>
      <c r="I2316" s="376">
        <v>0.65716939790195539</v>
      </c>
    </row>
    <row r="2317" spans="1:9" x14ac:dyDescent="0.35">
      <c r="A2317" s="376" t="s">
        <v>1615</v>
      </c>
      <c r="B2317" s="376" t="s">
        <v>1609</v>
      </c>
      <c r="C2317" s="376" t="s">
        <v>1054</v>
      </c>
      <c r="D2317" s="376">
        <v>2024</v>
      </c>
      <c r="E2317" s="376">
        <v>2028</v>
      </c>
      <c r="F2317" s="376">
        <v>1</v>
      </c>
      <c r="G2317" s="376">
        <v>20148.813739673951</v>
      </c>
      <c r="H2317" s="376">
        <v>0</v>
      </c>
      <c r="I2317" s="376">
        <v>0.65716939790195539</v>
      </c>
    </row>
    <row r="2318" spans="1:9" x14ac:dyDescent="0.35">
      <c r="A2318" s="376" t="s">
        <v>1615</v>
      </c>
      <c r="B2318" s="376" t="s">
        <v>1609</v>
      </c>
      <c r="C2318" s="376" t="s">
        <v>1046</v>
      </c>
      <c r="D2318" s="376">
        <v>2024</v>
      </c>
      <c r="E2318" s="376">
        <v>2029</v>
      </c>
      <c r="F2318" s="376">
        <v>1</v>
      </c>
      <c r="G2318" s="376">
        <v>20148.813739673951</v>
      </c>
      <c r="H2318" s="376">
        <v>0</v>
      </c>
      <c r="I2318" s="376">
        <v>0.65716939790195539</v>
      </c>
    </row>
    <row r="2319" spans="1:9" x14ac:dyDescent="0.35">
      <c r="A2319" s="376" t="s">
        <v>1615</v>
      </c>
      <c r="B2319" s="376" t="s">
        <v>1609</v>
      </c>
      <c r="C2319" s="376" t="s">
        <v>644</v>
      </c>
      <c r="D2319" s="376">
        <v>2024</v>
      </c>
      <c r="E2319" s="376">
        <v>2029</v>
      </c>
      <c r="F2319" s="376">
        <v>1</v>
      </c>
      <c r="G2319" s="376">
        <v>20148.813739673951</v>
      </c>
      <c r="H2319" s="376">
        <v>0</v>
      </c>
      <c r="I2319" s="376">
        <v>0.65716939790195539</v>
      </c>
    </row>
    <row r="2320" spans="1:9" x14ac:dyDescent="0.35">
      <c r="A2320" s="376" t="s">
        <v>1615</v>
      </c>
      <c r="B2320" s="376" t="s">
        <v>1609</v>
      </c>
      <c r="C2320" s="376" t="s">
        <v>628</v>
      </c>
      <c r="D2320" s="376">
        <v>2024</v>
      </c>
      <c r="E2320" s="376">
        <v>2029</v>
      </c>
      <c r="F2320" s="376">
        <v>1</v>
      </c>
      <c r="G2320" s="376">
        <v>20148.813739673951</v>
      </c>
      <c r="H2320" s="376">
        <v>0</v>
      </c>
      <c r="I2320" s="376">
        <v>0.65716939790195539</v>
      </c>
    </row>
    <row r="2321" spans="1:9" x14ac:dyDescent="0.35">
      <c r="A2321" s="376" t="s">
        <v>1615</v>
      </c>
      <c r="B2321" s="376" t="s">
        <v>1609</v>
      </c>
      <c r="C2321" s="376" t="s">
        <v>1051</v>
      </c>
      <c r="D2321" s="376">
        <v>2024</v>
      </c>
      <c r="E2321" s="376">
        <v>2029</v>
      </c>
      <c r="F2321" s="376">
        <v>1</v>
      </c>
      <c r="G2321" s="376">
        <v>20148.813739673951</v>
      </c>
      <c r="H2321" s="376">
        <v>0</v>
      </c>
      <c r="I2321" s="376">
        <v>0.65716939790195539</v>
      </c>
    </row>
    <row r="2322" spans="1:9" x14ac:dyDescent="0.35">
      <c r="A2322" s="376" t="s">
        <v>1615</v>
      </c>
      <c r="B2322" s="376" t="s">
        <v>1609</v>
      </c>
      <c r="C2322" s="376" t="s">
        <v>1054</v>
      </c>
      <c r="D2322" s="376">
        <v>2024</v>
      </c>
      <c r="E2322" s="376">
        <v>2029</v>
      </c>
      <c r="F2322" s="376">
        <v>1</v>
      </c>
      <c r="G2322" s="376">
        <v>20148.813739673951</v>
      </c>
      <c r="H2322" s="376">
        <v>0</v>
      </c>
      <c r="I2322" s="376">
        <v>0.65716939790195539</v>
      </c>
    </row>
    <row r="2323" spans="1:9" x14ac:dyDescent="0.35">
      <c r="A2323" s="376" t="s">
        <v>1615</v>
      </c>
      <c r="B2323" s="376" t="s">
        <v>1609</v>
      </c>
      <c r="C2323" s="376" t="s">
        <v>1046</v>
      </c>
      <c r="D2323" s="376">
        <v>2024</v>
      </c>
      <c r="E2323" s="376">
        <v>2030</v>
      </c>
      <c r="F2323" s="376">
        <v>1</v>
      </c>
      <c r="G2323" s="376">
        <v>20148.813739673951</v>
      </c>
      <c r="H2323" s="376">
        <v>0</v>
      </c>
      <c r="I2323" s="376">
        <v>0.65716939790195539</v>
      </c>
    </row>
    <row r="2324" spans="1:9" x14ac:dyDescent="0.35">
      <c r="A2324" s="376" t="s">
        <v>1615</v>
      </c>
      <c r="B2324" s="376" t="s">
        <v>1609</v>
      </c>
      <c r="C2324" s="376" t="s">
        <v>644</v>
      </c>
      <c r="D2324" s="376">
        <v>2024</v>
      </c>
      <c r="E2324" s="376">
        <v>2030</v>
      </c>
      <c r="F2324" s="376">
        <v>1</v>
      </c>
      <c r="G2324" s="376">
        <v>20148.813739673951</v>
      </c>
      <c r="H2324" s="376">
        <v>0</v>
      </c>
      <c r="I2324" s="376">
        <v>0.65716939790195539</v>
      </c>
    </row>
    <row r="2325" spans="1:9" x14ac:dyDescent="0.35">
      <c r="A2325" s="376" t="s">
        <v>1615</v>
      </c>
      <c r="B2325" s="376" t="s">
        <v>1609</v>
      </c>
      <c r="C2325" s="376" t="s">
        <v>628</v>
      </c>
      <c r="D2325" s="376">
        <v>2024</v>
      </c>
      <c r="E2325" s="376">
        <v>2030</v>
      </c>
      <c r="F2325" s="376">
        <v>1</v>
      </c>
      <c r="G2325" s="376">
        <v>20148.813739673951</v>
      </c>
      <c r="H2325" s="376">
        <v>0</v>
      </c>
      <c r="I2325" s="376">
        <v>0.65716939790195539</v>
      </c>
    </row>
    <row r="2326" spans="1:9" x14ac:dyDescent="0.35">
      <c r="A2326" s="376" t="s">
        <v>1615</v>
      </c>
      <c r="B2326" s="376" t="s">
        <v>1609</v>
      </c>
      <c r="C2326" s="376" t="s">
        <v>1051</v>
      </c>
      <c r="D2326" s="376">
        <v>2024</v>
      </c>
      <c r="E2326" s="376">
        <v>2030</v>
      </c>
      <c r="F2326" s="376">
        <v>1</v>
      </c>
      <c r="G2326" s="376">
        <v>20148.813739673951</v>
      </c>
      <c r="H2326" s="376">
        <v>0</v>
      </c>
      <c r="I2326" s="376">
        <v>0.65716939790195539</v>
      </c>
    </row>
    <row r="2327" spans="1:9" x14ac:dyDescent="0.35">
      <c r="A2327" s="376" t="s">
        <v>1615</v>
      </c>
      <c r="B2327" s="376" t="s">
        <v>1609</v>
      </c>
      <c r="C2327" s="376" t="s">
        <v>1054</v>
      </c>
      <c r="D2327" s="376">
        <v>2024</v>
      </c>
      <c r="E2327" s="376">
        <v>2030</v>
      </c>
      <c r="F2327" s="376">
        <v>1</v>
      </c>
      <c r="G2327" s="376">
        <v>20148.813739673951</v>
      </c>
      <c r="H2327" s="376">
        <v>0</v>
      </c>
      <c r="I2327" s="376">
        <v>0.65716939790195539</v>
      </c>
    </row>
    <row r="2328" spans="1:9" x14ac:dyDescent="0.35">
      <c r="A2328" s="376" t="s">
        <v>1615</v>
      </c>
      <c r="B2328" s="376" t="s">
        <v>1609</v>
      </c>
      <c r="C2328" s="376" t="s">
        <v>1046</v>
      </c>
      <c r="D2328" s="376">
        <v>2024</v>
      </c>
      <c r="E2328" s="376">
        <v>2031</v>
      </c>
      <c r="F2328" s="376">
        <v>1</v>
      </c>
      <c r="G2328" s="376">
        <v>20148.813739673951</v>
      </c>
      <c r="H2328" s="376">
        <v>0</v>
      </c>
      <c r="I2328" s="376">
        <v>0.65716939790195539</v>
      </c>
    </row>
    <row r="2329" spans="1:9" x14ac:dyDescent="0.35">
      <c r="A2329" s="376" t="s">
        <v>1615</v>
      </c>
      <c r="B2329" s="376" t="s">
        <v>1609</v>
      </c>
      <c r="C2329" s="376" t="s">
        <v>644</v>
      </c>
      <c r="D2329" s="376">
        <v>2024</v>
      </c>
      <c r="E2329" s="376">
        <v>2031</v>
      </c>
      <c r="F2329" s="376">
        <v>1</v>
      </c>
      <c r="G2329" s="376">
        <v>20148.813739673951</v>
      </c>
      <c r="H2329" s="376">
        <v>0</v>
      </c>
      <c r="I2329" s="376">
        <v>0.65716939790195539</v>
      </c>
    </row>
    <row r="2330" spans="1:9" x14ac:dyDescent="0.35">
      <c r="A2330" s="376" t="s">
        <v>1615</v>
      </c>
      <c r="B2330" s="376" t="s">
        <v>1609</v>
      </c>
      <c r="C2330" s="376" t="s">
        <v>628</v>
      </c>
      <c r="D2330" s="376">
        <v>2024</v>
      </c>
      <c r="E2330" s="376">
        <v>2031</v>
      </c>
      <c r="F2330" s="376">
        <v>1</v>
      </c>
      <c r="G2330" s="376">
        <v>20148.813739673951</v>
      </c>
      <c r="H2330" s="376">
        <v>0</v>
      </c>
      <c r="I2330" s="376">
        <v>0.65716939790195539</v>
      </c>
    </row>
    <row r="2331" spans="1:9" x14ac:dyDescent="0.35">
      <c r="A2331" s="376" t="s">
        <v>1615</v>
      </c>
      <c r="B2331" s="376" t="s">
        <v>1609</v>
      </c>
      <c r="C2331" s="376" t="s">
        <v>1051</v>
      </c>
      <c r="D2331" s="376">
        <v>2024</v>
      </c>
      <c r="E2331" s="376">
        <v>2031</v>
      </c>
      <c r="F2331" s="376">
        <v>1</v>
      </c>
      <c r="G2331" s="376">
        <v>20148.813739673951</v>
      </c>
      <c r="H2331" s="376">
        <v>0</v>
      </c>
      <c r="I2331" s="376">
        <v>0.65716939790195539</v>
      </c>
    </row>
    <row r="2332" spans="1:9" x14ac:dyDescent="0.35">
      <c r="A2332" s="376" t="s">
        <v>1615</v>
      </c>
      <c r="B2332" s="376" t="s">
        <v>1609</v>
      </c>
      <c r="C2332" s="376" t="s">
        <v>1054</v>
      </c>
      <c r="D2332" s="376">
        <v>2024</v>
      </c>
      <c r="E2332" s="376">
        <v>2031</v>
      </c>
      <c r="F2332" s="376">
        <v>1</v>
      </c>
      <c r="G2332" s="376">
        <v>20148.813739673951</v>
      </c>
      <c r="H2332" s="376">
        <v>0</v>
      </c>
      <c r="I2332" s="376">
        <v>0.65716939790195539</v>
      </c>
    </row>
    <row r="2333" spans="1:9" x14ac:dyDescent="0.35">
      <c r="A2333" s="376" t="s">
        <v>1603</v>
      </c>
      <c r="B2333" s="376" t="s">
        <v>1609</v>
      </c>
      <c r="C2333" s="376" t="s">
        <v>1046</v>
      </c>
      <c r="D2333" s="376">
        <v>2024</v>
      </c>
      <c r="E2333" s="376">
        <v>2024</v>
      </c>
      <c r="F2333" s="376">
        <v>1</v>
      </c>
      <c r="G2333" s="376">
        <v>6101.463203368502</v>
      </c>
      <c r="H2333" s="376">
        <v>0</v>
      </c>
      <c r="I2333" s="376">
        <v>1</v>
      </c>
    </row>
    <row r="2334" spans="1:9" x14ac:dyDescent="0.35">
      <c r="A2334" s="376" t="s">
        <v>1603</v>
      </c>
      <c r="B2334" s="376" t="s">
        <v>1609</v>
      </c>
      <c r="C2334" s="376" t="s">
        <v>644</v>
      </c>
      <c r="D2334" s="376">
        <v>2024</v>
      </c>
      <c r="E2334" s="376">
        <v>2024</v>
      </c>
      <c r="F2334" s="376">
        <v>1</v>
      </c>
      <c r="G2334" s="376">
        <v>6101.463203368502</v>
      </c>
      <c r="H2334" s="376">
        <v>0</v>
      </c>
      <c r="I2334" s="376">
        <v>1</v>
      </c>
    </row>
    <row r="2335" spans="1:9" x14ac:dyDescent="0.35">
      <c r="A2335" s="376" t="s">
        <v>1603</v>
      </c>
      <c r="B2335" s="376" t="s">
        <v>1609</v>
      </c>
      <c r="C2335" s="376" t="s">
        <v>628</v>
      </c>
      <c r="D2335" s="376">
        <v>2024</v>
      </c>
      <c r="E2335" s="376">
        <v>2024</v>
      </c>
      <c r="F2335" s="376">
        <v>1</v>
      </c>
      <c r="G2335" s="376">
        <v>6101.463203368502</v>
      </c>
      <c r="H2335" s="376">
        <v>0</v>
      </c>
      <c r="I2335" s="376">
        <v>1</v>
      </c>
    </row>
    <row r="2336" spans="1:9" x14ac:dyDescent="0.35">
      <c r="A2336" s="376" t="s">
        <v>1603</v>
      </c>
      <c r="B2336" s="376" t="s">
        <v>1609</v>
      </c>
      <c r="C2336" s="376" t="s">
        <v>1051</v>
      </c>
      <c r="D2336" s="376">
        <v>2024</v>
      </c>
      <c r="E2336" s="376">
        <v>2024</v>
      </c>
      <c r="F2336" s="376">
        <v>1</v>
      </c>
      <c r="G2336" s="376">
        <v>6101.463203368502</v>
      </c>
      <c r="H2336" s="376">
        <v>0</v>
      </c>
      <c r="I2336" s="376">
        <v>1</v>
      </c>
    </row>
    <row r="2337" spans="1:9" x14ac:dyDescent="0.35">
      <c r="A2337" s="376" t="s">
        <v>1603</v>
      </c>
      <c r="B2337" s="376" t="s">
        <v>1609</v>
      </c>
      <c r="C2337" s="376" t="s">
        <v>1054</v>
      </c>
      <c r="D2337" s="376">
        <v>2024</v>
      </c>
      <c r="E2337" s="376">
        <v>2024</v>
      </c>
      <c r="F2337" s="376">
        <v>1</v>
      </c>
      <c r="G2337" s="376">
        <v>6101.463203368502</v>
      </c>
      <c r="H2337" s="376">
        <v>0</v>
      </c>
      <c r="I2337" s="376">
        <v>1</v>
      </c>
    </row>
    <row r="2338" spans="1:9" x14ac:dyDescent="0.35">
      <c r="A2338" s="376" t="s">
        <v>1603</v>
      </c>
      <c r="B2338" s="376" t="s">
        <v>1609</v>
      </c>
      <c r="C2338" s="376" t="s">
        <v>1046</v>
      </c>
      <c r="D2338" s="376">
        <v>2024</v>
      </c>
      <c r="E2338" s="376">
        <v>2025</v>
      </c>
      <c r="F2338" s="376">
        <v>1</v>
      </c>
      <c r="G2338" s="376">
        <v>6101.463203368502</v>
      </c>
      <c r="H2338" s="376">
        <v>0</v>
      </c>
      <c r="I2338" s="376">
        <v>1</v>
      </c>
    </row>
    <row r="2339" spans="1:9" x14ac:dyDescent="0.35">
      <c r="A2339" s="376" t="s">
        <v>1603</v>
      </c>
      <c r="B2339" s="376" t="s">
        <v>1609</v>
      </c>
      <c r="C2339" s="376" t="s">
        <v>644</v>
      </c>
      <c r="D2339" s="376">
        <v>2024</v>
      </c>
      <c r="E2339" s="376">
        <v>2025</v>
      </c>
      <c r="F2339" s="376">
        <v>1</v>
      </c>
      <c r="G2339" s="376">
        <v>6101.463203368502</v>
      </c>
      <c r="H2339" s="376">
        <v>0</v>
      </c>
      <c r="I2339" s="376">
        <v>1</v>
      </c>
    </row>
    <row r="2340" spans="1:9" x14ac:dyDescent="0.35">
      <c r="A2340" s="376" t="s">
        <v>1603</v>
      </c>
      <c r="B2340" s="376" t="s">
        <v>1609</v>
      </c>
      <c r="C2340" s="376" t="s">
        <v>628</v>
      </c>
      <c r="D2340" s="376">
        <v>2024</v>
      </c>
      <c r="E2340" s="376">
        <v>2025</v>
      </c>
      <c r="F2340" s="376">
        <v>1</v>
      </c>
      <c r="G2340" s="376">
        <v>6101.463203368502</v>
      </c>
      <c r="H2340" s="376">
        <v>0</v>
      </c>
      <c r="I2340" s="376">
        <v>1</v>
      </c>
    </row>
    <row r="2341" spans="1:9" x14ac:dyDescent="0.35">
      <c r="A2341" s="376" t="s">
        <v>1603</v>
      </c>
      <c r="B2341" s="376" t="s">
        <v>1609</v>
      </c>
      <c r="C2341" s="376" t="s">
        <v>1051</v>
      </c>
      <c r="D2341" s="376">
        <v>2024</v>
      </c>
      <c r="E2341" s="376">
        <v>2025</v>
      </c>
      <c r="F2341" s="376">
        <v>1</v>
      </c>
      <c r="G2341" s="376">
        <v>6101.463203368502</v>
      </c>
      <c r="H2341" s="376">
        <v>0</v>
      </c>
      <c r="I2341" s="376">
        <v>1</v>
      </c>
    </row>
    <row r="2342" spans="1:9" x14ac:dyDescent="0.35">
      <c r="A2342" s="376" t="s">
        <v>1603</v>
      </c>
      <c r="B2342" s="376" t="s">
        <v>1609</v>
      </c>
      <c r="C2342" s="376" t="s">
        <v>1054</v>
      </c>
      <c r="D2342" s="376">
        <v>2024</v>
      </c>
      <c r="E2342" s="376">
        <v>2025</v>
      </c>
      <c r="F2342" s="376">
        <v>1</v>
      </c>
      <c r="G2342" s="376">
        <v>6101.463203368502</v>
      </c>
      <c r="H2342" s="376">
        <v>0</v>
      </c>
      <c r="I2342" s="376">
        <v>1</v>
      </c>
    </row>
    <row r="2343" spans="1:9" x14ac:dyDescent="0.35">
      <c r="A2343" s="376" t="s">
        <v>1603</v>
      </c>
      <c r="B2343" s="376" t="s">
        <v>1609</v>
      </c>
      <c r="C2343" s="376" t="s">
        <v>1046</v>
      </c>
      <c r="D2343" s="376">
        <v>2024</v>
      </c>
      <c r="E2343" s="376">
        <v>2026</v>
      </c>
      <c r="F2343" s="376">
        <v>1</v>
      </c>
      <c r="G2343" s="376">
        <v>6101.463203368502</v>
      </c>
      <c r="H2343" s="376">
        <v>0</v>
      </c>
      <c r="I2343" s="376">
        <v>1</v>
      </c>
    </row>
    <row r="2344" spans="1:9" x14ac:dyDescent="0.35">
      <c r="A2344" s="376" t="s">
        <v>1603</v>
      </c>
      <c r="B2344" s="376" t="s">
        <v>1609</v>
      </c>
      <c r="C2344" s="376" t="s">
        <v>644</v>
      </c>
      <c r="D2344" s="376">
        <v>2024</v>
      </c>
      <c r="E2344" s="376">
        <v>2026</v>
      </c>
      <c r="F2344" s="376">
        <v>1</v>
      </c>
      <c r="G2344" s="376">
        <v>6101.463203368502</v>
      </c>
      <c r="H2344" s="376">
        <v>0</v>
      </c>
      <c r="I2344" s="376">
        <v>1</v>
      </c>
    </row>
    <row r="2345" spans="1:9" x14ac:dyDescent="0.35">
      <c r="A2345" s="376" t="s">
        <v>1603</v>
      </c>
      <c r="B2345" s="376" t="s">
        <v>1609</v>
      </c>
      <c r="C2345" s="376" t="s">
        <v>628</v>
      </c>
      <c r="D2345" s="376">
        <v>2024</v>
      </c>
      <c r="E2345" s="376">
        <v>2026</v>
      </c>
      <c r="F2345" s="376">
        <v>1</v>
      </c>
      <c r="G2345" s="376">
        <v>6101.463203368502</v>
      </c>
      <c r="H2345" s="376">
        <v>0</v>
      </c>
      <c r="I2345" s="376">
        <v>1</v>
      </c>
    </row>
    <row r="2346" spans="1:9" x14ac:dyDescent="0.35">
      <c r="A2346" s="376" t="s">
        <v>1603</v>
      </c>
      <c r="B2346" s="376" t="s">
        <v>1609</v>
      </c>
      <c r="C2346" s="376" t="s">
        <v>1051</v>
      </c>
      <c r="D2346" s="376">
        <v>2024</v>
      </c>
      <c r="E2346" s="376">
        <v>2026</v>
      </c>
      <c r="F2346" s="376">
        <v>1</v>
      </c>
      <c r="G2346" s="376">
        <v>6101.463203368502</v>
      </c>
      <c r="H2346" s="376">
        <v>0</v>
      </c>
      <c r="I2346" s="376">
        <v>1</v>
      </c>
    </row>
    <row r="2347" spans="1:9" x14ac:dyDescent="0.35">
      <c r="A2347" s="376" t="s">
        <v>1603</v>
      </c>
      <c r="B2347" s="376" t="s">
        <v>1609</v>
      </c>
      <c r="C2347" s="376" t="s">
        <v>1054</v>
      </c>
      <c r="D2347" s="376">
        <v>2024</v>
      </c>
      <c r="E2347" s="376">
        <v>2026</v>
      </c>
      <c r="F2347" s="376">
        <v>1</v>
      </c>
      <c r="G2347" s="376">
        <v>6101.463203368502</v>
      </c>
      <c r="H2347" s="376">
        <v>0</v>
      </c>
      <c r="I2347" s="376">
        <v>1</v>
      </c>
    </row>
    <row r="2348" spans="1:9" x14ac:dyDescent="0.35">
      <c r="A2348" s="376" t="s">
        <v>1603</v>
      </c>
      <c r="B2348" s="376" t="s">
        <v>1609</v>
      </c>
      <c r="C2348" s="376" t="s">
        <v>1046</v>
      </c>
      <c r="D2348" s="376">
        <v>2024</v>
      </c>
      <c r="E2348" s="376">
        <v>2027</v>
      </c>
      <c r="F2348" s="376">
        <v>1</v>
      </c>
      <c r="G2348" s="376">
        <v>6101.463203368502</v>
      </c>
      <c r="H2348" s="376">
        <v>0</v>
      </c>
      <c r="I2348" s="376">
        <v>1</v>
      </c>
    </row>
    <row r="2349" spans="1:9" x14ac:dyDescent="0.35">
      <c r="A2349" s="376" t="s">
        <v>1603</v>
      </c>
      <c r="B2349" s="376" t="s">
        <v>1609</v>
      </c>
      <c r="C2349" s="376" t="s">
        <v>644</v>
      </c>
      <c r="D2349" s="376">
        <v>2024</v>
      </c>
      <c r="E2349" s="376">
        <v>2027</v>
      </c>
      <c r="F2349" s="376">
        <v>1</v>
      </c>
      <c r="G2349" s="376">
        <v>6101.463203368502</v>
      </c>
      <c r="H2349" s="376">
        <v>0</v>
      </c>
      <c r="I2349" s="376">
        <v>1</v>
      </c>
    </row>
    <row r="2350" spans="1:9" x14ac:dyDescent="0.35">
      <c r="A2350" s="376" t="s">
        <v>1603</v>
      </c>
      <c r="B2350" s="376" t="s">
        <v>1609</v>
      </c>
      <c r="C2350" s="376" t="s">
        <v>628</v>
      </c>
      <c r="D2350" s="376">
        <v>2024</v>
      </c>
      <c r="E2350" s="376">
        <v>2027</v>
      </c>
      <c r="F2350" s="376">
        <v>1</v>
      </c>
      <c r="G2350" s="376">
        <v>6101.463203368502</v>
      </c>
      <c r="H2350" s="376">
        <v>0</v>
      </c>
      <c r="I2350" s="376">
        <v>1</v>
      </c>
    </row>
    <row r="2351" spans="1:9" x14ac:dyDescent="0.35">
      <c r="A2351" s="376" t="s">
        <v>1603</v>
      </c>
      <c r="B2351" s="376" t="s">
        <v>1609</v>
      </c>
      <c r="C2351" s="376" t="s">
        <v>1051</v>
      </c>
      <c r="D2351" s="376">
        <v>2024</v>
      </c>
      <c r="E2351" s="376">
        <v>2027</v>
      </c>
      <c r="F2351" s="376">
        <v>1</v>
      </c>
      <c r="G2351" s="376">
        <v>6101.463203368502</v>
      </c>
      <c r="H2351" s="376">
        <v>0</v>
      </c>
      <c r="I2351" s="376">
        <v>1</v>
      </c>
    </row>
    <row r="2352" spans="1:9" x14ac:dyDescent="0.35">
      <c r="A2352" s="376" t="s">
        <v>1603</v>
      </c>
      <c r="B2352" s="376" t="s">
        <v>1609</v>
      </c>
      <c r="C2352" s="376" t="s">
        <v>1054</v>
      </c>
      <c r="D2352" s="376">
        <v>2024</v>
      </c>
      <c r="E2352" s="376">
        <v>2027</v>
      </c>
      <c r="F2352" s="376">
        <v>1</v>
      </c>
      <c r="G2352" s="376">
        <v>6101.463203368502</v>
      </c>
      <c r="H2352" s="376">
        <v>0</v>
      </c>
      <c r="I2352" s="376">
        <v>1</v>
      </c>
    </row>
    <row r="2353" spans="1:9" x14ac:dyDescent="0.35">
      <c r="A2353" s="376" t="s">
        <v>1603</v>
      </c>
      <c r="B2353" s="376" t="s">
        <v>1609</v>
      </c>
      <c r="C2353" s="376" t="s">
        <v>1046</v>
      </c>
      <c r="D2353" s="376">
        <v>2024</v>
      </c>
      <c r="E2353" s="376">
        <v>2028</v>
      </c>
      <c r="F2353" s="376">
        <v>1</v>
      </c>
      <c r="G2353" s="376">
        <v>6101.463203368502</v>
      </c>
      <c r="H2353" s="376">
        <v>0</v>
      </c>
      <c r="I2353" s="376">
        <v>1</v>
      </c>
    </row>
    <row r="2354" spans="1:9" x14ac:dyDescent="0.35">
      <c r="A2354" s="376" t="s">
        <v>1603</v>
      </c>
      <c r="B2354" s="376" t="s">
        <v>1609</v>
      </c>
      <c r="C2354" s="376" t="s">
        <v>644</v>
      </c>
      <c r="D2354" s="376">
        <v>2024</v>
      </c>
      <c r="E2354" s="376">
        <v>2028</v>
      </c>
      <c r="F2354" s="376">
        <v>1</v>
      </c>
      <c r="G2354" s="376">
        <v>6101.463203368502</v>
      </c>
      <c r="H2354" s="376">
        <v>0</v>
      </c>
      <c r="I2354" s="376">
        <v>1</v>
      </c>
    </row>
    <row r="2355" spans="1:9" x14ac:dyDescent="0.35">
      <c r="A2355" s="376" t="s">
        <v>1603</v>
      </c>
      <c r="B2355" s="376" t="s">
        <v>1609</v>
      </c>
      <c r="C2355" s="376" t="s">
        <v>628</v>
      </c>
      <c r="D2355" s="376">
        <v>2024</v>
      </c>
      <c r="E2355" s="376">
        <v>2028</v>
      </c>
      <c r="F2355" s="376">
        <v>1</v>
      </c>
      <c r="G2355" s="376">
        <v>6101.463203368502</v>
      </c>
      <c r="H2355" s="376">
        <v>0</v>
      </c>
      <c r="I2355" s="376">
        <v>1</v>
      </c>
    </row>
    <row r="2356" spans="1:9" x14ac:dyDescent="0.35">
      <c r="A2356" s="376" t="s">
        <v>1603</v>
      </c>
      <c r="B2356" s="376" t="s">
        <v>1609</v>
      </c>
      <c r="C2356" s="376" t="s">
        <v>1051</v>
      </c>
      <c r="D2356" s="376">
        <v>2024</v>
      </c>
      <c r="E2356" s="376">
        <v>2028</v>
      </c>
      <c r="F2356" s="376">
        <v>1</v>
      </c>
      <c r="G2356" s="376">
        <v>6101.463203368502</v>
      </c>
      <c r="H2356" s="376">
        <v>0</v>
      </c>
      <c r="I2356" s="376">
        <v>1</v>
      </c>
    </row>
    <row r="2357" spans="1:9" x14ac:dyDescent="0.35">
      <c r="A2357" s="376" t="s">
        <v>1603</v>
      </c>
      <c r="B2357" s="376" t="s">
        <v>1609</v>
      </c>
      <c r="C2357" s="376" t="s">
        <v>1054</v>
      </c>
      <c r="D2357" s="376">
        <v>2024</v>
      </c>
      <c r="E2357" s="376">
        <v>2028</v>
      </c>
      <c r="F2357" s="376">
        <v>1</v>
      </c>
      <c r="G2357" s="376">
        <v>6101.463203368502</v>
      </c>
      <c r="H2357" s="376">
        <v>0</v>
      </c>
      <c r="I2357" s="376">
        <v>1</v>
      </c>
    </row>
    <row r="2358" spans="1:9" x14ac:dyDescent="0.35">
      <c r="A2358" s="376" t="s">
        <v>1603</v>
      </c>
      <c r="B2358" s="376" t="s">
        <v>1609</v>
      </c>
      <c r="C2358" s="376" t="s">
        <v>1046</v>
      </c>
      <c r="D2358" s="376">
        <v>2024</v>
      </c>
      <c r="E2358" s="376">
        <v>2029</v>
      </c>
      <c r="F2358" s="376">
        <v>1</v>
      </c>
      <c r="G2358" s="376">
        <v>6101.463203368502</v>
      </c>
      <c r="H2358" s="376">
        <v>0</v>
      </c>
      <c r="I2358" s="376">
        <v>1</v>
      </c>
    </row>
    <row r="2359" spans="1:9" x14ac:dyDescent="0.35">
      <c r="A2359" s="376" t="s">
        <v>1603</v>
      </c>
      <c r="B2359" s="376" t="s">
        <v>1609</v>
      </c>
      <c r="C2359" s="376" t="s">
        <v>644</v>
      </c>
      <c r="D2359" s="376">
        <v>2024</v>
      </c>
      <c r="E2359" s="376">
        <v>2029</v>
      </c>
      <c r="F2359" s="376">
        <v>1</v>
      </c>
      <c r="G2359" s="376">
        <v>6101.463203368502</v>
      </c>
      <c r="H2359" s="376">
        <v>0</v>
      </c>
      <c r="I2359" s="376">
        <v>1</v>
      </c>
    </row>
    <row r="2360" spans="1:9" x14ac:dyDescent="0.35">
      <c r="A2360" s="376" t="s">
        <v>1603</v>
      </c>
      <c r="B2360" s="376" t="s">
        <v>1609</v>
      </c>
      <c r="C2360" s="376" t="s">
        <v>628</v>
      </c>
      <c r="D2360" s="376">
        <v>2024</v>
      </c>
      <c r="E2360" s="376">
        <v>2029</v>
      </c>
      <c r="F2360" s="376">
        <v>1</v>
      </c>
      <c r="G2360" s="376">
        <v>6101.463203368502</v>
      </c>
      <c r="H2360" s="376">
        <v>0</v>
      </c>
      <c r="I2360" s="376">
        <v>1</v>
      </c>
    </row>
    <row r="2361" spans="1:9" x14ac:dyDescent="0.35">
      <c r="A2361" s="376" t="s">
        <v>1603</v>
      </c>
      <c r="B2361" s="376" t="s">
        <v>1609</v>
      </c>
      <c r="C2361" s="376" t="s">
        <v>1051</v>
      </c>
      <c r="D2361" s="376">
        <v>2024</v>
      </c>
      <c r="E2361" s="376">
        <v>2029</v>
      </c>
      <c r="F2361" s="376">
        <v>1</v>
      </c>
      <c r="G2361" s="376">
        <v>6101.463203368502</v>
      </c>
      <c r="H2361" s="376">
        <v>0</v>
      </c>
      <c r="I2361" s="376">
        <v>1</v>
      </c>
    </row>
    <row r="2362" spans="1:9" x14ac:dyDescent="0.35">
      <c r="A2362" s="376" t="s">
        <v>1603</v>
      </c>
      <c r="B2362" s="376" t="s">
        <v>1609</v>
      </c>
      <c r="C2362" s="376" t="s">
        <v>1054</v>
      </c>
      <c r="D2362" s="376">
        <v>2024</v>
      </c>
      <c r="E2362" s="376">
        <v>2029</v>
      </c>
      <c r="F2362" s="376">
        <v>1</v>
      </c>
      <c r="G2362" s="376">
        <v>6101.463203368502</v>
      </c>
      <c r="H2362" s="376">
        <v>0</v>
      </c>
      <c r="I2362" s="376">
        <v>1</v>
      </c>
    </row>
    <row r="2363" spans="1:9" x14ac:dyDescent="0.35">
      <c r="A2363" s="376" t="s">
        <v>1603</v>
      </c>
      <c r="B2363" s="376" t="s">
        <v>1609</v>
      </c>
      <c r="C2363" s="376" t="s">
        <v>1046</v>
      </c>
      <c r="D2363" s="376">
        <v>2024</v>
      </c>
      <c r="E2363" s="376">
        <v>2030</v>
      </c>
      <c r="F2363" s="376">
        <v>1</v>
      </c>
      <c r="G2363" s="376">
        <v>6101.463203368502</v>
      </c>
      <c r="H2363" s="376">
        <v>0</v>
      </c>
      <c r="I2363" s="376">
        <v>1</v>
      </c>
    </row>
    <row r="2364" spans="1:9" x14ac:dyDescent="0.35">
      <c r="A2364" s="376" t="s">
        <v>1603</v>
      </c>
      <c r="B2364" s="376" t="s">
        <v>1609</v>
      </c>
      <c r="C2364" s="376" t="s">
        <v>644</v>
      </c>
      <c r="D2364" s="376">
        <v>2024</v>
      </c>
      <c r="E2364" s="376">
        <v>2030</v>
      </c>
      <c r="F2364" s="376">
        <v>1</v>
      </c>
      <c r="G2364" s="376">
        <v>6101.463203368502</v>
      </c>
      <c r="H2364" s="376">
        <v>0</v>
      </c>
      <c r="I2364" s="376">
        <v>1</v>
      </c>
    </row>
    <row r="2365" spans="1:9" x14ac:dyDescent="0.35">
      <c r="A2365" s="376" t="s">
        <v>1603</v>
      </c>
      <c r="B2365" s="376" t="s">
        <v>1609</v>
      </c>
      <c r="C2365" s="376" t="s">
        <v>628</v>
      </c>
      <c r="D2365" s="376">
        <v>2024</v>
      </c>
      <c r="E2365" s="376">
        <v>2030</v>
      </c>
      <c r="F2365" s="376">
        <v>1</v>
      </c>
      <c r="G2365" s="376">
        <v>6101.463203368502</v>
      </c>
      <c r="H2365" s="376">
        <v>0</v>
      </c>
      <c r="I2365" s="376">
        <v>1</v>
      </c>
    </row>
    <row r="2366" spans="1:9" x14ac:dyDescent="0.35">
      <c r="A2366" s="376" t="s">
        <v>1603</v>
      </c>
      <c r="B2366" s="376" t="s">
        <v>1609</v>
      </c>
      <c r="C2366" s="376" t="s">
        <v>1051</v>
      </c>
      <c r="D2366" s="376">
        <v>2024</v>
      </c>
      <c r="E2366" s="376">
        <v>2030</v>
      </c>
      <c r="F2366" s="376">
        <v>1</v>
      </c>
      <c r="G2366" s="376">
        <v>6101.463203368502</v>
      </c>
      <c r="H2366" s="376">
        <v>0</v>
      </c>
      <c r="I2366" s="376">
        <v>1</v>
      </c>
    </row>
    <row r="2367" spans="1:9" x14ac:dyDescent="0.35">
      <c r="A2367" s="376" t="s">
        <v>1603</v>
      </c>
      <c r="B2367" s="376" t="s">
        <v>1609</v>
      </c>
      <c r="C2367" s="376" t="s">
        <v>1054</v>
      </c>
      <c r="D2367" s="376">
        <v>2024</v>
      </c>
      <c r="E2367" s="376">
        <v>2030</v>
      </c>
      <c r="F2367" s="376">
        <v>1</v>
      </c>
      <c r="G2367" s="376">
        <v>6101.463203368502</v>
      </c>
      <c r="H2367" s="376">
        <v>0</v>
      </c>
      <c r="I2367" s="376">
        <v>1</v>
      </c>
    </row>
    <row r="2368" spans="1:9" x14ac:dyDescent="0.35">
      <c r="A2368" s="376" t="s">
        <v>1603</v>
      </c>
      <c r="B2368" s="376" t="s">
        <v>1609</v>
      </c>
      <c r="C2368" s="376" t="s">
        <v>1046</v>
      </c>
      <c r="D2368" s="376">
        <v>2024</v>
      </c>
      <c r="E2368" s="376">
        <v>2031</v>
      </c>
      <c r="F2368" s="376">
        <v>1</v>
      </c>
      <c r="G2368" s="376">
        <v>6101.463203368502</v>
      </c>
      <c r="H2368" s="376">
        <v>0</v>
      </c>
      <c r="I2368" s="376">
        <v>1</v>
      </c>
    </row>
    <row r="2369" spans="1:9" x14ac:dyDescent="0.35">
      <c r="A2369" s="376" t="s">
        <v>1603</v>
      </c>
      <c r="B2369" s="376" t="s">
        <v>1609</v>
      </c>
      <c r="C2369" s="376" t="s">
        <v>644</v>
      </c>
      <c r="D2369" s="376">
        <v>2024</v>
      </c>
      <c r="E2369" s="376">
        <v>2031</v>
      </c>
      <c r="F2369" s="376">
        <v>1</v>
      </c>
      <c r="G2369" s="376">
        <v>6101.463203368502</v>
      </c>
      <c r="H2369" s="376">
        <v>0</v>
      </c>
      <c r="I2369" s="376">
        <v>1</v>
      </c>
    </row>
    <row r="2370" spans="1:9" x14ac:dyDescent="0.35">
      <c r="A2370" s="376" t="s">
        <v>1603</v>
      </c>
      <c r="B2370" s="376" t="s">
        <v>1609</v>
      </c>
      <c r="C2370" s="376" t="s">
        <v>628</v>
      </c>
      <c r="D2370" s="376">
        <v>2024</v>
      </c>
      <c r="E2370" s="376">
        <v>2031</v>
      </c>
      <c r="F2370" s="376">
        <v>1</v>
      </c>
      <c r="G2370" s="376">
        <v>6101.463203368502</v>
      </c>
      <c r="H2370" s="376">
        <v>0</v>
      </c>
      <c r="I2370" s="376">
        <v>1</v>
      </c>
    </row>
    <row r="2371" spans="1:9" x14ac:dyDescent="0.35">
      <c r="A2371" s="376" t="s">
        <v>1603</v>
      </c>
      <c r="B2371" s="376" t="s">
        <v>1609</v>
      </c>
      <c r="C2371" s="376" t="s">
        <v>1051</v>
      </c>
      <c r="D2371" s="376">
        <v>2024</v>
      </c>
      <c r="E2371" s="376">
        <v>2031</v>
      </c>
      <c r="F2371" s="376">
        <v>1</v>
      </c>
      <c r="G2371" s="376">
        <v>6101.463203368502</v>
      </c>
      <c r="H2371" s="376">
        <v>0</v>
      </c>
      <c r="I2371" s="376">
        <v>1</v>
      </c>
    </row>
    <row r="2372" spans="1:9" x14ac:dyDescent="0.35">
      <c r="A2372" s="376" t="s">
        <v>1603</v>
      </c>
      <c r="B2372" s="376" t="s">
        <v>1609</v>
      </c>
      <c r="C2372" s="376" t="s">
        <v>1054</v>
      </c>
      <c r="D2372" s="376">
        <v>2024</v>
      </c>
      <c r="E2372" s="376">
        <v>2031</v>
      </c>
      <c r="F2372" s="376">
        <v>1</v>
      </c>
      <c r="G2372" s="376">
        <v>6101.463203368502</v>
      </c>
      <c r="H2372" s="376">
        <v>0</v>
      </c>
      <c r="I2372" s="376">
        <v>1</v>
      </c>
    </row>
    <row r="2373" spans="1:9" x14ac:dyDescent="0.35">
      <c r="A2373" s="376" t="s">
        <v>1605</v>
      </c>
      <c r="B2373" s="376" t="s">
        <v>1609</v>
      </c>
      <c r="C2373" s="376" t="s">
        <v>1046</v>
      </c>
      <c r="D2373" s="376">
        <v>2024</v>
      </c>
      <c r="E2373" s="376">
        <v>2024</v>
      </c>
      <c r="F2373" s="376">
        <v>0.23884589662749595</v>
      </c>
      <c r="G2373" s="376">
        <v>10426.102375692073</v>
      </c>
      <c r="H2373" s="376">
        <v>0</v>
      </c>
      <c r="I2373" s="376">
        <v>1</v>
      </c>
    </row>
    <row r="2374" spans="1:9" x14ac:dyDescent="0.35">
      <c r="A2374" s="376" t="s">
        <v>1605</v>
      </c>
      <c r="B2374" s="376" t="s">
        <v>1609</v>
      </c>
      <c r="C2374" s="376" t="s">
        <v>644</v>
      </c>
      <c r="D2374" s="376">
        <v>2024</v>
      </c>
      <c r="E2374" s="376">
        <v>2024</v>
      </c>
      <c r="F2374" s="376">
        <v>0.23884589662749595</v>
      </c>
      <c r="G2374" s="376">
        <v>10426.102375692073</v>
      </c>
      <c r="H2374" s="376">
        <v>0</v>
      </c>
      <c r="I2374" s="376">
        <v>1</v>
      </c>
    </row>
    <row r="2375" spans="1:9" x14ac:dyDescent="0.35">
      <c r="A2375" s="376" t="s">
        <v>1605</v>
      </c>
      <c r="B2375" s="376" t="s">
        <v>1609</v>
      </c>
      <c r="C2375" s="376" t="s">
        <v>628</v>
      </c>
      <c r="D2375" s="376">
        <v>2024</v>
      </c>
      <c r="E2375" s="376">
        <v>2024</v>
      </c>
      <c r="F2375" s="376">
        <v>0.23884589662749595</v>
      </c>
      <c r="G2375" s="376">
        <v>10426.102375692073</v>
      </c>
      <c r="H2375" s="376">
        <v>0</v>
      </c>
      <c r="I2375" s="376">
        <v>1</v>
      </c>
    </row>
    <row r="2376" spans="1:9" x14ac:dyDescent="0.35">
      <c r="A2376" s="376" t="s">
        <v>1605</v>
      </c>
      <c r="B2376" s="376" t="s">
        <v>1609</v>
      </c>
      <c r="C2376" s="376" t="s">
        <v>1051</v>
      </c>
      <c r="D2376" s="376">
        <v>2024</v>
      </c>
      <c r="E2376" s="376">
        <v>2024</v>
      </c>
      <c r="F2376" s="376">
        <v>0.23884589662749595</v>
      </c>
      <c r="G2376" s="376">
        <v>10426.102375692073</v>
      </c>
      <c r="H2376" s="376">
        <v>0</v>
      </c>
      <c r="I2376" s="376">
        <v>1</v>
      </c>
    </row>
    <row r="2377" spans="1:9" x14ac:dyDescent="0.35">
      <c r="A2377" s="376" t="s">
        <v>1605</v>
      </c>
      <c r="B2377" s="376" t="s">
        <v>1609</v>
      </c>
      <c r="C2377" s="376" t="s">
        <v>1054</v>
      </c>
      <c r="D2377" s="376">
        <v>2024</v>
      </c>
      <c r="E2377" s="376">
        <v>2024</v>
      </c>
      <c r="F2377" s="376">
        <v>0.23884589662749595</v>
      </c>
      <c r="G2377" s="376">
        <v>10426.102375692073</v>
      </c>
      <c r="H2377" s="376">
        <v>0</v>
      </c>
      <c r="I2377" s="376">
        <v>1</v>
      </c>
    </row>
    <row r="2378" spans="1:9" x14ac:dyDescent="0.35">
      <c r="A2378" s="376" t="s">
        <v>1605</v>
      </c>
      <c r="B2378" s="376" t="s">
        <v>1609</v>
      </c>
      <c r="C2378" s="376" t="s">
        <v>1046</v>
      </c>
      <c r="D2378" s="376">
        <v>2024</v>
      </c>
      <c r="E2378" s="376">
        <v>2025</v>
      </c>
      <c r="F2378" s="376">
        <v>0.23884589662749595</v>
      </c>
      <c r="G2378" s="376">
        <v>10426.102375692073</v>
      </c>
      <c r="H2378" s="376">
        <v>0</v>
      </c>
      <c r="I2378" s="376">
        <v>1</v>
      </c>
    </row>
    <row r="2379" spans="1:9" x14ac:dyDescent="0.35">
      <c r="A2379" s="376" t="s">
        <v>1605</v>
      </c>
      <c r="B2379" s="376" t="s">
        <v>1609</v>
      </c>
      <c r="C2379" s="376" t="s">
        <v>644</v>
      </c>
      <c r="D2379" s="376">
        <v>2024</v>
      </c>
      <c r="E2379" s="376">
        <v>2025</v>
      </c>
      <c r="F2379" s="376">
        <v>0.23884589662749595</v>
      </c>
      <c r="G2379" s="376">
        <v>10426.102375692073</v>
      </c>
      <c r="H2379" s="376">
        <v>0</v>
      </c>
      <c r="I2379" s="376">
        <v>1</v>
      </c>
    </row>
    <row r="2380" spans="1:9" x14ac:dyDescent="0.35">
      <c r="A2380" s="376" t="s">
        <v>1605</v>
      </c>
      <c r="B2380" s="376" t="s">
        <v>1609</v>
      </c>
      <c r="C2380" s="376" t="s">
        <v>628</v>
      </c>
      <c r="D2380" s="376">
        <v>2024</v>
      </c>
      <c r="E2380" s="376">
        <v>2025</v>
      </c>
      <c r="F2380" s="376">
        <v>0.23884589662749595</v>
      </c>
      <c r="G2380" s="376">
        <v>10426.102375692073</v>
      </c>
      <c r="H2380" s="376">
        <v>0</v>
      </c>
      <c r="I2380" s="376">
        <v>1</v>
      </c>
    </row>
    <row r="2381" spans="1:9" x14ac:dyDescent="0.35">
      <c r="A2381" s="376" t="s">
        <v>1605</v>
      </c>
      <c r="B2381" s="376" t="s">
        <v>1609</v>
      </c>
      <c r="C2381" s="376" t="s">
        <v>1051</v>
      </c>
      <c r="D2381" s="376">
        <v>2024</v>
      </c>
      <c r="E2381" s="376">
        <v>2025</v>
      </c>
      <c r="F2381" s="376">
        <v>0.23884589662749595</v>
      </c>
      <c r="G2381" s="376">
        <v>10426.102375692073</v>
      </c>
      <c r="H2381" s="376">
        <v>0</v>
      </c>
      <c r="I2381" s="376">
        <v>1</v>
      </c>
    </row>
    <row r="2382" spans="1:9" x14ac:dyDescent="0.35">
      <c r="A2382" s="376" t="s">
        <v>1605</v>
      </c>
      <c r="B2382" s="376" t="s">
        <v>1609</v>
      </c>
      <c r="C2382" s="376" t="s">
        <v>1054</v>
      </c>
      <c r="D2382" s="376">
        <v>2024</v>
      </c>
      <c r="E2382" s="376">
        <v>2025</v>
      </c>
      <c r="F2382" s="376">
        <v>0.23884589662749595</v>
      </c>
      <c r="G2382" s="376">
        <v>10426.102375692073</v>
      </c>
      <c r="H2382" s="376">
        <v>0</v>
      </c>
      <c r="I2382" s="376">
        <v>1</v>
      </c>
    </row>
    <row r="2383" spans="1:9" x14ac:dyDescent="0.35">
      <c r="A2383" s="376" t="s">
        <v>1605</v>
      </c>
      <c r="B2383" s="376" t="s">
        <v>1609</v>
      </c>
      <c r="C2383" s="376" t="s">
        <v>1046</v>
      </c>
      <c r="D2383" s="376">
        <v>2024</v>
      </c>
      <c r="E2383" s="376">
        <v>2026</v>
      </c>
      <c r="F2383" s="376">
        <v>0.23884589662749595</v>
      </c>
      <c r="G2383" s="376">
        <v>10426.102375692073</v>
      </c>
      <c r="H2383" s="376">
        <v>0</v>
      </c>
      <c r="I2383" s="376">
        <v>1</v>
      </c>
    </row>
    <row r="2384" spans="1:9" x14ac:dyDescent="0.35">
      <c r="A2384" s="376" t="s">
        <v>1605</v>
      </c>
      <c r="B2384" s="376" t="s">
        <v>1609</v>
      </c>
      <c r="C2384" s="376" t="s">
        <v>644</v>
      </c>
      <c r="D2384" s="376">
        <v>2024</v>
      </c>
      <c r="E2384" s="376">
        <v>2026</v>
      </c>
      <c r="F2384" s="376">
        <v>0.23884589662749595</v>
      </c>
      <c r="G2384" s="376">
        <v>10426.102375692073</v>
      </c>
      <c r="H2384" s="376">
        <v>0</v>
      </c>
      <c r="I2384" s="376">
        <v>1</v>
      </c>
    </row>
    <row r="2385" spans="1:9" x14ac:dyDescent="0.35">
      <c r="A2385" s="376" t="s">
        <v>1605</v>
      </c>
      <c r="B2385" s="376" t="s">
        <v>1609</v>
      </c>
      <c r="C2385" s="376" t="s">
        <v>628</v>
      </c>
      <c r="D2385" s="376">
        <v>2024</v>
      </c>
      <c r="E2385" s="376">
        <v>2026</v>
      </c>
      <c r="F2385" s="376">
        <v>0.23884589662749595</v>
      </c>
      <c r="G2385" s="376">
        <v>10426.102375692073</v>
      </c>
      <c r="H2385" s="376">
        <v>0</v>
      </c>
      <c r="I2385" s="376">
        <v>1</v>
      </c>
    </row>
    <row r="2386" spans="1:9" x14ac:dyDescent="0.35">
      <c r="A2386" s="376" t="s">
        <v>1605</v>
      </c>
      <c r="B2386" s="376" t="s">
        <v>1609</v>
      </c>
      <c r="C2386" s="376" t="s">
        <v>1051</v>
      </c>
      <c r="D2386" s="376">
        <v>2024</v>
      </c>
      <c r="E2386" s="376">
        <v>2026</v>
      </c>
      <c r="F2386" s="376">
        <v>0.23884589662749595</v>
      </c>
      <c r="G2386" s="376">
        <v>10426.102375692073</v>
      </c>
      <c r="H2386" s="376">
        <v>0</v>
      </c>
      <c r="I2386" s="376">
        <v>1</v>
      </c>
    </row>
    <row r="2387" spans="1:9" x14ac:dyDescent="0.35">
      <c r="A2387" s="376" t="s">
        <v>1605</v>
      </c>
      <c r="B2387" s="376" t="s">
        <v>1609</v>
      </c>
      <c r="C2387" s="376" t="s">
        <v>1054</v>
      </c>
      <c r="D2387" s="376">
        <v>2024</v>
      </c>
      <c r="E2387" s="376">
        <v>2026</v>
      </c>
      <c r="F2387" s="376">
        <v>0.23884589662749595</v>
      </c>
      <c r="G2387" s="376">
        <v>10426.102375692073</v>
      </c>
      <c r="H2387" s="376">
        <v>0</v>
      </c>
      <c r="I2387" s="376">
        <v>1</v>
      </c>
    </row>
    <row r="2388" spans="1:9" x14ac:dyDescent="0.35">
      <c r="A2388" s="376" t="s">
        <v>1605</v>
      </c>
      <c r="B2388" s="376" t="s">
        <v>1609</v>
      </c>
      <c r="C2388" s="376" t="s">
        <v>1046</v>
      </c>
      <c r="D2388" s="376">
        <v>2024</v>
      </c>
      <c r="E2388" s="376">
        <v>2027</v>
      </c>
      <c r="F2388" s="376">
        <v>0.23884589662749595</v>
      </c>
      <c r="G2388" s="376">
        <v>10426.102375692073</v>
      </c>
      <c r="H2388" s="376">
        <v>0</v>
      </c>
      <c r="I2388" s="376">
        <v>1</v>
      </c>
    </row>
    <row r="2389" spans="1:9" x14ac:dyDescent="0.35">
      <c r="A2389" s="376" t="s">
        <v>1605</v>
      </c>
      <c r="B2389" s="376" t="s">
        <v>1609</v>
      </c>
      <c r="C2389" s="376" t="s">
        <v>644</v>
      </c>
      <c r="D2389" s="376">
        <v>2024</v>
      </c>
      <c r="E2389" s="376">
        <v>2027</v>
      </c>
      <c r="F2389" s="376">
        <v>0.23884589662749595</v>
      </c>
      <c r="G2389" s="376">
        <v>10426.102375692073</v>
      </c>
      <c r="H2389" s="376">
        <v>0</v>
      </c>
      <c r="I2389" s="376">
        <v>1</v>
      </c>
    </row>
    <row r="2390" spans="1:9" x14ac:dyDescent="0.35">
      <c r="A2390" s="376" t="s">
        <v>1605</v>
      </c>
      <c r="B2390" s="376" t="s">
        <v>1609</v>
      </c>
      <c r="C2390" s="376" t="s">
        <v>628</v>
      </c>
      <c r="D2390" s="376">
        <v>2024</v>
      </c>
      <c r="E2390" s="376">
        <v>2027</v>
      </c>
      <c r="F2390" s="376">
        <v>0.23884589662749595</v>
      </c>
      <c r="G2390" s="376">
        <v>10426.102375692073</v>
      </c>
      <c r="H2390" s="376">
        <v>0</v>
      </c>
      <c r="I2390" s="376">
        <v>1</v>
      </c>
    </row>
    <row r="2391" spans="1:9" x14ac:dyDescent="0.35">
      <c r="A2391" s="376" t="s">
        <v>1605</v>
      </c>
      <c r="B2391" s="376" t="s">
        <v>1609</v>
      </c>
      <c r="C2391" s="376" t="s">
        <v>1051</v>
      </c>
      <c r="D2391" s="376">
        <v>2024</v>
      </c>
      <c r="E2391" s="376">
        <v>2027</v>
      </c>
      <c r="F2391" s="376">
        <v>0.23884589662749595</v>
      </c>
      <c r="G2391" s="376">
        <v>10426.102375692073</v>
      </c>
      <c r="H2391" s="376">
        <v>0</v>
      </c>
      <c r="I2391" s="376">
        <v>1</v>
      </c>
    </row>
    <row r="2392" spans="1:9" x14ac:dyDescent="0.35">
      <c r="A2392" s="376" t="s">
        <v>1605</v>
      </c>
      <c r="B2392" s="376" t="s">
        <v>1609</v>
      </c>
      <c r="C2392" s="376" t="s">
        <v>1054</v>
      </c>
      <c r="D2392" s="376">
        <v>2024</v>
      </c>
      <c r="E2392" s="376">
        <v>2027</v>
      </c>
      <c r="F2392" s="376">
        <v>0.23884589662749595</v>
      </c>
      <c r="G2392" s="376">
        <v>10426.102375692073</v>
      </c>
      <c r="H2392" s="376">
        <v>0</v>
      </c>
      <c r="I2392" s="376">
        <v>1</v>
      </c>
    </row>
    <row r="2393" spans="1:9" x14ac:dyDescent="0.35">
      <c r="A2393" s="376" t="s">
        <v>1605</v>
      </c>
      <c r="B2393" s="376" t="s">
        <v>1609</v>
      </c>
      <c r="C2393" s="376" t="s">
        <v>1046</v>
      </c>
      <c r="D2393" s="376">
        <v>2024</v>
      </c>
      <c r="E2393" s="376">
        <v>2028</v>
      </c>
      <c r="F2393" s="376">
        <v>0.23884589662749595</v>
      </c>
      <c r="G2393" s="376">
        <v>10426.102375692073</v>
      </c>
      <c r="H2393" s="376">
        <v>0</v>
      </c>
      <c r="I2393" s="376">
        <v>1</v>
      </c>
    </row>
    <row r="2394" spans="1:9" x14ac:dyDescent="0.35">
      <c r="A2394" s="376" t="s">
        <v>1605</v>
      </c>
      <c r="B2394" s="376" t="s">
        <v>1609</v>
      </c>
      <c r="C2394" s="376" t="s">
        <v>644</v>
      </c>
      <c r="D2394" s="376">
        <v>2024</v>
      </c>
      <c r="E2394" s="376">
        <v>2028</v>
      </c>
      <c r="F2394" s="376">
        <v>0.23884589662749595</v>
      </c>
      <c r="G2394" s="376">
        <v>10426.102375692073</v>
      </c>
      <c r="H2394" s="376">
        <v>0</v>
      </c>
      <c r="I2394" s="376">
        <v>1</v>
      </c>
    </row>
    <row r="2395" spans="1:9" x14ac:dyDescent="0.35">
      <c r="A2395" s="376" t="s">
        <v>1605</v>
      </c>
      <c r="B2395" s="376" t="s">
        <v>1609</v>
      </c>
      <c r="C2395" s="376" t="s">
        <v>628</v>
      </c>
      <c r="D2395" s="376">
        <v>2024</v>
      </c>
      <c r="E2395" s="376">
        <v>2028</v>
      </c>
      <c r="F2395" s="376">
        <v>0.23884589662749595</v>
      </c>
      <c r="G2395" s="376">
        <v>10426.102375692073</v>
      </c>
      <c r="H2395" s="376">
        <v>0</v>
      </c>
      <c r="I2395" s="376">
        <v>1</v>
      </c>
    </row>
    <row r="2396" spans="1:9" x14ac:dyDescent="0.35">
      <c r="A2396" s="376" t="s">
        <v>1605</v>
      </c>
      <c r="B2396" s="376" t="s">
        <v>1609</v>
      </c>
      <c r="C2396" s="376" t="s">
        <v>1051</v>
      </c>
      <c r="D2396" s="376">
        <v>2024</v>
      </c>
      <c r="E2396" s="376">
        <v>2028</v>
      </c>
      <c r="F2396" s="376">
        <v>0.23884589662749595</v>
      </c>
      <c r="G2396" s="376">
        <v>10426.102375692073</v>
      </c>
      <c r="H2396" s="376">
        <v>0</v>
      </c>
      <c r="I2396" s="376">
        <v>1</v>
      </c>
    </row>
    <row r="2397" spans="1:9" x14ac:dyDescent="0.35">
      <c r="A2397" s="376" t="s">
        <v>1605</v>
      </c>
      <c r="B2397" s="376" t="s">
        <v>1609</v>
      </c>
      <c r="C2397" s="376" t="s">
        <v>1054</v>
      </c>
      <c r="D2397" s="376">
        <v>2024</v>
      </c>
      <c r="E2397" s="376">
        <v>2028</v>
      </c>
      <c r="F2397" s="376">
        <v>0.23884589662749595</v>
      </c>
      <c r="G2397" s="376">
        <v>10426.102375692073</v>
      </c>
      <c r="H2397" s="376">
        <v>0</v>
      </c>
      <c r="I2397" s="376">
        <v>1</v>
      </c>
    </row>
    <row r="2398" spans="1:9" x14ac:dyDescent="0.35">
      <c r="A2398" s="376" t="s">
        <v>1605</v>
      </c>
      <c r="B2398" s="376" t="s">
        <v>1609</v>
      </c>
      <c r="C2398" s="376" t="s">
        <v>1046</v>
      </c>
      <c r="D2398" s="376">
        <v>2024</v>
      </c>
      <c r="E2398" s="376">
        <v>2029</v>
      </c>
      <c r="F2398" s="376">
        <v>0.23884589662749595</v>
      </c>
      <c r="G2398" s="376">
        <v>10426.102375692073</v>
      </c>
      <c r="H2398" s="376">
        <v>0</v>
      </c>
      <c r="I2398" s="376">
        <v>1</v>
      </c>
    </row>
    <row r="2399" spans="1:9" x14ac:dyDescent="0.35">
      <c r="A2399" s="376" t="s">
        <v>1605</v>
      </c>
      <c r="B2399" s="376" t="s">
        <v>1609</v>
      </c>
      <c r="C2399" s="376" t="s">
        <v>644</v>
      </c>
      <c r="D2399" s="376">
        <v>2024</v>
      </c>
      <c r="E2399" s="376">
        <v>2029</v>
      </c>
      <c r="F2399" s="376">
        <v>0.23884589662749595</v>
      </c>
      <c r="G2399" s="376">
        <v>10426.102375692073</v>
      </c>
      <c r="H2399" s="376">
        <v>0</v>
      </c>
      <c r="I2399" s="376">
        <v>1</v>
      </c>
    </row>
    <row r="2400" spans="1:9" x14ac:dyDescent="0.35">
      <c r="A2400" s="376" t="s">
        <v>1605</v>
      </c>
      <c r="B2400" s="376" t="s">
        <v>1609</v>
      </c>
      <c r="C2400" s="376" t="s">
        <v>628</v>
      </c>
      <c r="D2400" s="376">
        <v>2024</v>
      </c>
      <c r="E2400" s="376">
        <v>2029</v>
      </c>
      <c r="F2400" s="376">
        <v>0.23884589662749595</v>
      </c>
      <c r="G2400" s="376">
        <v>10426.102375692073</v>
      </c>
      <c r="H2400" s="376">
        <v>0</v>
      </c>
      <c r="I2400" s="376">
        <v>1</v>
      </c>
    </row>
    <row r="2401" spans="1:9" x14ac:dyDescent="0.35">
      <c r="A2401" s="376" t="s">
        <v>1605</v>
      </c>
      <c r="B2401" s="376" t="s">
        <v>1609</v>
      </c>
      <c r="C2401" s="376" t="s">
        <v>1051</v>
      </c>
      <c r="D2401" s="376">
        <v>2024</v>
      </c>
      <c r="E2401" s="376">
        <v>2029</v>
      </c>
      <c r="F2401" s="376">
        <v>0.23884589662749595</v>
      </c>
      <c r="G2401" s="376">
        <v>10426.102375692073</v>
      </c>
      <c r="H2401" s="376">
        <v>0</v>
      </c>
      <c r="I2401" s="376">
        <v>1</v>
      </c>
    </row>
    <row r="2402" spans="1:9" x14ac:dyDescent="0.35">
      <c r="A2402" s="376" t="s">
        <v>1605</v>
      </c>
      <c r="B2402" s="376" t="s">
        <v>1609</v>
      </c>
      <c r="C2402" s="376" t="s">
        <v>1054</v>
      </c>
      <c r="D2402" s="376">
        <v>2024</v>
      </c>
      <c r="E2402" s="376">
        <v>2029</v>
      </c>
      <c r="F2402" s="376">
        <v>0.23884589662749595</v>
      </c>
      <c r="G2402" s="376">
        <v>10426.102375692073</v>
      </c>
      <c r="H2402" s="376">
        <v>0</v>
      </c>
      <c r="I2402" s="376">
        <v>1</v>
      </c>
    </row>
    <row r="2403" spans="1:9" x14ac:dyDescent="0.35">
      <c r="A2403" s="376" t="s">
        <v>1605</v>
      </c>
      <c r="B2403" s="376" t="s">
        <v>1609</v>
      </c>
      <c r="C2403" s="376" t="s">
        <v>1046</v>
      </c>
      <c r="D2403" s="376">
        <v>2024</v>
      </c>
      <c r="E2403" s="376">
        <v>2030</v>
      </c>
      <c r="F2403" s="376">
        <v>0.23884589662749595</v>
      </c>
      <c r="G2403" s="376">
        <v>10426.102375692073</v>
      </c>
      <c r="H2403" s="376">
        <v>0</v>
      </c>
      <c r="I2403" s="376">
        <v>1</v>
      </c>
    </row>
    <row r="2404" spans="1:9" x14ac:dyDescent="0.35">
      <c r="A2404" s="376" t="s">
        <v>1605</v>
      </c>
      <c r="B2404" s="376" t="s">
        <v>1609</v>
      </c>
      <c r="C2404" s="376" t="s">
        <v>644</v>
      </c>
      <c r="D2404" s="376">
        <v>2024</v>
      </c>
      <c r="E2404" s="376">
        <v>2030</v>
      </c>
      <c r="F2404" s="376">
        <v>0.23884589662749595</v>
      </c>
      <c r="G2404" s="376">
        <v>10426.102375692073</v>
      </c>
      <c r="H2404" s="376">
        <v>0</v>
      </c>
      <c r="I2404" s="376">
        <v>1</v>
      </c>
    </row>
    <row r="2405" spans="1:9" x14ac:dyDescent="0.35">
      <c r="A2405" s="376" t="s">
        <v>1605</v>
      </c>
      <c r="B2405" s="376" t="s">
        <v>1609</v>
      </c>
      <c r="C2405" s="376" t="s">
        <v>628</v>
      </c>
      <c r="D2405" s="376">
        <v>2024</v>
      </c>
      <c r="E2405" s="376">
        <v>2030</v>
      </c>
      <c r="F2405" s="376">
        <v>0.23884589662749595</v>
      </c>
      <c r="G2405" s="376">
        <v>10426.102375692073</v>
      </c>
      <c r="H2405" s="376">
        <v>0</v>
      </c>
      <c r="I2405" s="376">
        <v>1</v>
      </c>
    </row>
    <row r="2406" spans="1:9" x14ac:dyDescent="0.35">
      <c r="A2406" s="376" t="s">
        <v>1605</v>
      </c>
      <c r="B2406" s="376" t="s">
        <v>1609</v>
      </c>
      <c r="C2406" s="376" t="s">
        <v>1051</v>
      </c>
      <c r="D2406" s="376">
        <v>2024</v>
      </c>
      <c r="E2406" s="376">
        <v>2030</v>
      </c>
      <c r="F2406" s="376">
        <v>0.23884589662749595</v>
      </c>
      <c r="G2406" s="376">
        <v>10426.102375692073</v>
      </c>
      <c r="H2406" s="376">
        <v>0</v>
      </c>
      <c r="I2406" s="376">
        <v>1</v>
      </c>
    </row>
    <row r="2407" spans="1:9" x14ac:dyDescent="0.35">
      <c r="A2407" s="376" t="s">
        <v>1605</v>
      </c>
      <c r="B2407" s="376" t="s">
        <v>1609</v>
      </c>
      <c r="C2407" s="376" t="s">
        <v>1054</v>
      </c>
      <c r="D2407" s="376">
        <v>2024</v>
      </c>
      <c r="E2407" s="376">
        <v>2030</v>
      </c>
      <c r="F2407" s="376">
        <v>0.23884589662749595</v>
      </c>
      <c r="G2407" s="376">
        <v>10426.102375692073</v>
      </c>
      <c r="H2407" s="376">
        <v>0</v>
      </c>
      <c r="I2407" s="376">
        <v>1</v>
      </c>
    </row>
    <row r="2408" spans="1:9" x14ac:dyDescent="0.35">
      <c r="A2408" s="376" t="s">
        <v>1605</v>
      </c>
      <c r="B2408" s="376" t="s">
        <v>1609</v>
      </c>
      <c r="C2408" s="376" t="s">
        <v>1046</v>
      </c>
      <c r="D2408" s="376">
        <v>2024</v>
      </c>
      <c r="E2408" s="376">
        <v>2031</v>
      </c>
      <c r="F2408" s="376">
        <v>0.23884589662749595</v>
      </c>
      <c r="G2408" s="376">
        <v>10426.102375692073</v>
      </c>
      <c r="H2408" s="376">
        <v>0</v>
      </c>
      <c r="I2408" s="376">
        <v>1</v>
      </c>
    </row>
    <row r="2409" spans="1:9" x14ac:dyDescent="0.35">
      <c r="A2409" s="376" t="s">
        <v>1605</v>
      </c>
      <c r="B2409" s="376" t="s">
        <v>1609</v>
      </c>
      <c r="C2409" s="376" t="s">
        <v>644</v>
      </c>
      <c r="D2409" s="376">
        <v>2024</v>
      </c>
      <c r="E2409" s="376">
        <v>2031</v>
      </c>
      <c r="F2409" s="376">
        <v>0.23884589662749595</v>
      </c>
      <c r="G2409" s="376">
        <v>10426.102375692073</v>
      </c>
      <c r="H2409" s="376">
        <v>0</v>
      </c>
      <c r="I2409" s="376">
        <v>1</v>
      </c>
    </row>
    <row r="2410" spans="1:9" x14ac:dyDescent="0.35">
      <c r="A2410" s="376" t="s">
        <v>1605</v>
      </c>
      <c r="B2410" s="376" t="s">
        <v>1609</v>
      </c>
      <c r="C2410" s="376" t="s">
        <v>628</v>
      </c>
      <c r="D2410" s="376">
        <v>2024</v>
      </c>
      <c r="E2410" s="376">
        <v>2031</v>
      </c>
      <c r="F2410" s="376">
        <v>0.23884589662749595</v>
      </c>
      <c r="G2410" s="376">
        <v>10426.102375692073</v>
      </c>
      <c r="H2410" s="376">
        <v>0</v>
      </c>
      <c r="I2410" s="376">
        <v>1</v>
      </c>
    </row>
    <row r="2411" spans="1:9" x14ac:dyDescent="0.35">
      <c r="A2411" s="376" t="s">
        <v>1605</v>
      </c>
      <c r="B2411" s="376" t="s">
        <v>1609</v>
      </c>
      <c r="C2411" s="376" t="s">
        <v>1051</v>
      </c>
      <c r="D2411" s="376">
        <v>2024</v>
      </c>
      <c r="E2411" s="376">
        <v>2031</v>
      </c>
      <c r="F2411" s="376">
        <v>0.23884589662749595</v>
      </c>
      <c r="G2411" s="376">
        <v>10426.102375692073</v>
      </c>
      <c r="H2411" s="376">
        <v>0</v>
      </c>
      <c r="I2411" s="376">
        <v>1</v>
      </c>
    </row>
    <row r="2412" spans="1:9" x14ac:dyDescent="0.35">
      <c r="A2412" s="376" t="s">
        <v>1605</v>
      </c>
      <c r="B2412" s="376" t="s">
        <v>1609</v>
      </c>
      <c r="C2412" s="376" t="s">
        <v>1054</v>
      </c>
      <c r="D2412" s="376">
        <v>2024</v>
      </c>
      <c r="E2412" s="376">
        <v>2031</v>
      </c>
      <c r="F2412" s="376">
        <v>0.23884589662749595</v>
      </c>
      <c r="G2412" s="376">
        <v>10426.102375692073</v>
      </c>
      <c r="H2412" s="376">
        <v>0</v>
      </c>
      <c r="I2412" s="376">
        <v>1</v>
      </c>
    </row>
    <row r="2413" spans="1:9" x14ac:dyDescent="0.35">
      <c r="A2413" s="376" t="s">
        <v>1636</v>
      </c>
      <c r="B2413" s="376" t="s">
        <v>1609</v>
      </c>
      <c r="C2413" s="376" t="s">
        <v>1046</v>
      </c>
      <c r="D2413" s="376">
        <v>2024</v>
      </c>
      <c r="E2413" s="376">
        <v>2024</v>
      </c>
      <c r="F2413" s="376">
        <v>1</v>
      </c>
      <c r="G2413" s="376">
        <v>3592.5747097887579</v>
      </c>
      <c r="H2413" s="376">
        <v>0</v>
      </c>
      <c r="I2413" s="376">
        <v>1</v>
      </c>
    </row>
    <row r="2414" spans="1:9" x14ac:dyDescent="0.35">
      <c r="A2414" s="376" t="s">
        <v>1636</v>
      </c>
      <c r="B2414" s="376" t="s">
        <v>1609</v>
      </c>
      <c r="C2414" s="376" t="s">
        <v>644</v>
      </c>
      <c r="D2414" s="376">
        <v>2024</v>
      </c>
      <c r="E2414" s="376">
        <v>2024</v>
      </c>
      <c r="F2414" s="376">
        <v>1</v>
      </c>
      <c r="G2414" s="376">
        <v>3592.5747097887579</v>
      </c>
      <c r="H2414" s="376">
        <v>0</v>
      </c>
      <c r="I2414" s="376">
        <v>1</v>
      </c>
    </row>
    <row r="2415" spans="1:9" x14ac:dyDescent="0.35">
      <c r="A2415" s="376" t="s">
        <v>1636</v>
      </c>
      <c r="B2415" s="376" t="s">
        <v>1609</v>
      </c>
      <c r="C2415" s="376" t="s">
        <v>628</v>
      </c>
      <c r="D2415" s="376">
        <v>2024</v>
      </c>
      <c r="E2415" s="376">
        <v>2024</v>
      </c>
      <c r="F2415" s="376">
        <v>1</v>
      </c>
      <c r="G2415" s="376">
        <v>3592.5747097887579</v>
      </c>
      <c r="H2415" s="376">
        <v>0</v>
      </c>
      <c r="I2415" s="376">
        <v>1</v>
      </c>
    </row>
    <row r="2416" spans="1:9" x14ac:dyDescent="0.35">
      <c r="A2416" s="376" t="s">
        <v>1636</v>
      </c>
      <c r="B2416" s="376" t="s">
        <v>1609</v>
      </c>
      <c r="C2416" s="376" t="s">
        <v>1051</v>
      </c>
      <c r="D2416" s="376">
        <v>2024</v>
      </c>
      <c r="E2416" s="376">
        <v>2024</v>
      </c>
      <c r="F2416" s="376">
        <v>1</v>
      </c>
      <c r="G2416" s="376">
        <v>3592.5747097887579</v>
      </c>
      <c r="H2416" s="376">
        <v>0</v>
      </c>
      <c r="I2416" s="376">
        <v>1</v>
      </c>
    </row>
    <row r="2417" spans="1:9" x14ac:dyDescent="0.35">
      <c r="A2417" s="376" t="s">
        <v>1636</v>
      </c>
      <c r="B2417" s="376" t="s">
        <v>1609</v>
      </c>
      <c r="C2417" s="376" t="s">
        <v>1054</v>
      </c>
      <c r="D2417" s="376">
        <v>2024</v>
      </c>
      <c r="E2417" s="376">
        <v>2024</v>
      </c>
      <c r="F2417" s="376">
        <v>1</v>
      </c>
      <c r="G2417" s="376">
        <v>3592.5747097887579</v>
      </c>
      <c r="H2417" s="376">
        <v>0</v>
      </c>
      <c r="I2417" s="376">
        <v>1</v>
      </c>
    </row>
    <row r="2418" spans="1:9" x14ac:dyDescent="0.35">
      <c r="A2418" s="376" t="s">
        <v>1636</v>
      </c>
      <c r="B2418" s="376" t="s">
        <v>1609</v>
      </c>
      <c r="C2418" s="376" t="s">
        <v>1046</v>
      </c>
      <c r="D2418" s="376">
        <v>2024</v>
      </c>
      <c r="E2418" s="376">
        <v>2025</v>
      </c>
      <c r="F2418" s="376">
        <v>1</v>
      </c>
      <c r="G2418" s="376">
        <v>3592.5747097887579</v>
      </c>
      <c r="H2418" s="376">
        <v>0</v>
      </c>
      <c r="I2418" s="376">
        <v>1</v>
      </c>
    </row>
    <row r="2419" spans="1:9" x14ac:dyDescent="0.35">
      <c r="A2419" s="376" t="s">
        <v>1636</v>
      </c>
      <c r="B2419" s="376" t="s">
        <v>1609</v>
      </c>
      <c r="C2419" s="376" t="s">
        <v>644</v>
      </c>
      <c r="D2419" s="376">
        <v>2024</v>
      </c>
      <c r="E2419" s="376">
        <v>2025</v>
      </c>
      <c r="F2419" s="376">
        <v>1</v>
      </c>
      <c r="G2419" s="376">
        <v>3592.5747097887579</v>
      </c>
      <c r="H2419" s="376">
        <v>0</v>
      </c>
      <c r="I2419" s="376">
        <v>1</v>
      </c>
    </row>
    <row r="2420" spans="1:9" x14ac:dyDescent="0.35">
      <c r="A2420" s="376" t="s">
        <v>1636</v>
      </c>
      <c r="B2420" s="376" t="s">
        <v>1609</v>
      </c>
      <c r="C2420" s="376" t="s">
        <v>628</v>
      </c>
      <c r="D2420" s="376">
        <v>2024</v>
      </c>
      <c r="E2420" s="376">
        <v>2025</v>
      </c>
      <c r="F2420" s="376">
        <v>1</v>
      </c>
      <c r="G2420" s="376">
        <v>3592.5747097887579</v>
      </c>
      <c r="H2420" s="376">
        <v>0</v>
      </c>
      <c r="I2420" s="376">
        <v>1</v>
      </c>
    </row>
    <row r="2421" spans="1:9" x14ac:dyDescent="0.35">
      <c r="A2421" s="376" t="s">
        <v>1636</v>
      </c>
      <c r="B2421" s="376" t="s">
        <v>1609</v>
      </c>
      <c r="C2421" s="376" t="s">
        <v>1051</v>
      </c>
      <c r="D2421" s="376">
        <v>2024</v>
      </c>
      <c r="E2421" s="376">
        <v>2025</v>
      </c>
      <c r="F2421" s="376">
        <v>1</v>
      </c>
      <c r="G2421" s="376">
        <v>3592.5747097887579</v>
      </c>
      <c r="H2421" s="376">
        <v>0</v>
      </c>
      <c r="I2421" s="376">
        <v>1</v>
      </c>
    </row>
    <row r="2422" spans="1:9" x14ac:dyDescent="0.35">
      <c r="A2422" s="376" t="s">
        <v>1636</v>
      </c>
      <c r="B2422" s="376" t="s">
        <v>1609</v>
      </c>
      <c r="C2422" s="376" t="s">
        <v>1054</v>
      </c>
      <c r="D2422" s="376">
        <v>2024</v>
      </c>
      <c r="E2422" s="376">
        <v>2025</v>
      </c>
      <c r="F2422" s="376">
        <v>1</v>
      </c>
      <c r="G2422" s="376">
        <v>3592.5747097887579</v>
      </c>
      <c r="H2422" s="376">
        <v>0</v>
      </c>
      <c r="I2422" s="376">
        <v>1</v>
      </c>
    </row>
    <row r="2423" spans="1:9" x14ac:dyDescent="0.35">
      <c r="A2423" s="376" t="s">
        <v>1636</v>
      </c>
      <c r="B2423" s="376" t="s">
        <v>1609</v>
      </c>
      <c r="C2423" s="376" t="s">
        <v>1046</v>
      </c>
      <c r="D2423" s="376">
        <v>2024</v>
      </c>
      <c r="E2423" s="376">
        <v>2026</v>
      </c>
      <c r="F2423" s="376">
        <v>1</v>
      </c>
      <c r="G2423" s="376">
        <v>3592.5747097887579</v>
      </c>
      <c r="H2423" s="376">
        <v>0</v>
      </c>
      <c r="I2423" s="376">
        <v>1</v>
      </c>
    </row>
    <row r="2424" spans="1:9" x14ac:dyDescent="0.35">
      <c r="A2424" s="376" t="s">
        <v>1636</v>
      </c>
      <c r="B2424" s="376" t="s">
        <v>1609</v>
      </c>
      <c r="C2424" s="376" t="s">
        <v>644</v>
      </c>
      <c r="D2424" s="376">
        <v>2024</v>
      </c>
      <c r="E2424" s="376">
        <v>2026</v>
      </c>
      <c r="F2424" s="376">
        <v>1</v>
      </c>
      <c r="G2424" s="376">
        <v>3592.5747097887579</v>
      </c>
      <c r="H2424" s="376">
        <v>0</v>
      </c>
      <c r="I2424" s="376">
        <v>1</v>
      </c>
    </row>
    <row r="2425" spans="1:9" x14ac:dyDescent="0.35">
      <c r="A2425" s="376" t="s">
        <v>1636</v>
      </c>
      <c r="B2425" s="376" t="s">
        <v>1609</v>
      </c>
      <c r="C2425" s="376" t="s">
        <v>628</v>
      </c>
      <c r="D2425" s="376">
        <v>2024</v>
      </c>
      <c r="E2425" s="376">
        <v>2026</v>
      </c>
      <c r="F2425" s="376">
        <v>1</v>
      </c>
      <c r="G2425" s="376">
        <v>3592.5747097887579</v>
      </c>
      <c r="H2425" s="376">
        <v>0</v>
      </c>
      <c r="I2425" s="376">
        <v>1</v>
      </c>
    </row>
    <row r="2426" spans="1:9" x14ac:dyDescent="0.35">
      <c r="A2426" s="376" t="s">
        <v>1636</v>
      </c>
      <c r="B2426" s="376" t="s">
        <v>1609</v>
      </c>
      <c r="C2426" s="376" t="s">
        <v>1051</v>
      </c>
      <c r="D2426" s="376">
        <v>2024</v>
      </c>
      <c r="E2426" s="376">
        <v>2026</v>
      </c>
      <c r="F2426" s="376">
        <v>1</v>
      </c>
      <c r="G2426" s="376">
        <v>3592.5747097887579</v>
      </c>
      <c r="H2426" s="376">
        <v>0</v>
      </c>
      <c r="I2426" s="376">
        <v>1</v>
      </c>
    </row>
    <row r="2427" spans="1:9" x14ac:dyDescent="0.35">
      <c r="A2427" s="376" t="s">
        <v>1636</v>
      </c>
      <c r="B2427" s="376" t="s">
        <v>1609</v>
      </c>
      <c r="C2427" s="376" t="s">
        <v>1054</v>
      </c>
      <c r="D2427" s="376">
        <v>2024</v>
      </c>
      <c r="E2427" s="376">
        <v>2026</v>
      </c>
      <c r="F2427" s="376">
        <v>1</v>
      </c>
      <c r="G2427" s="376">
        <v>3592.5747097887579</v>
      </c>
      <c r="H2427" s="376">
        <v>0</v>
      </c>
      <c r="I2427" s="376">
        <v>1</v>
      </c>
    </row>
    <row r="2428" spans="1:9" x14ac:dyDescent="0.35">
      <c r="A2428" s="376" t="s">
        <v>1636</v>
      </c>
      <c r="B2428" s="376" t="s">
        <v>1609</v>
      </c>
      <c r="C2428" s="376" t="s">
        <v>1046</v>
      </c>
      <c r="D2428" s="376">
        <v>2024</v>
      </c>
      <c r="E2428" s="376">
        <v>2027</v>
      </c>
      <c r="F2428" s="376">
        <v>1</v>
      </c>
      <c r="G2428" s="376">
        <v>3592.5747097887579</v>
      </c>
      <c r="H2428" s="376">
        <v>0</v>
      </c>
      <c r="I2428" s="376">
        <v>1</v>
      </c>
    </row>
    <row r="2429" spans="1:9" x14ac:dyDescent="0.35">
      <c r="A2429" s="376" t="s">
        <v>1636</v>
      </c>
      <c r="B2429" s="376" t="s">
        <v>1609</v>
      </c>
      <c r="C2429" s="376" t="s">
        <v>644</v>
      </c>
      <c r="D2429" s="376">
        <v>2024</v>
      </c>
      <c r="E2429" s="376">
        <v>2027</v>
      </c>
      <c r="F2429" s="376">
        <v>1</v>
      </c>
      <c r="G2429" s="376">
        <v>3592.5747097887579</v>
      </c>
      <c r="H2429" s="376">
        <v>0</v>
      </c>
      <c r="I2429" s="376">
        <v>1</v>
      </c>
    </row>
    <row r="2430" spans="1:9" x14ac:dyDescent="0.35">
      <c r="A2430" s="376" t="s">
        <v>1636</v>
      </c>
      <c r="B2430" s="376" t="s">
        <v>1609</v>
      </c>
      <c r="C2430" s="376" t="s">
        <v>628</v>
      </c>
      <c r="D2430" s="376">
        <v>2024</v>
      </c>
      <c r="E2430" s="376">
        <v>2027</v>
      </c>
      <c r="F2430" s="376">
        <v>1</v>
      </c>
      <c r="G2430" s="376">
        <v>3592.5747097887579</v>
      </c>
      <c r="H2430" s="376">
        <v>0</v>
      </c>
      <c r="I2430" s="376">
        <v>1</v>
      </c>
    </row>
    <row r="2431" spans="1:9" x14ac:dyDescent="0.35">
      <c r="A2431" s="376" t="s">
        <v>1636</v>
      </c>
      <c r="B2431" s="376" t="s">
        <v>1609</v>
      </c>
      <c r="C2431" s="376" t="s">
        <v>1051</v>
      </c>
      <c r="D2431" s="376">
        <v>2024</v>
      </c>
      <c r="E2431" s="376">
        <v>2027</v>
      </c>
      <c r="F2431" s="376">
        <v>1</v>
      </c>
      <c r="G2431" s="376">
        <v>3592.5747097887579</v>
      </c>
      <c r="H2431" s="376">
        <v>0</v>
      </c>
      <c r="I2431" s="376">
        <v>1</v>
      </c>
    </row>
    <row r="2432" spans="1:9" x14ac:dyDescent="0.35">
      <c r="A2432" s="376" t="s">
        <v>1636</v>
      </c>
      <c r="B2432" s="376" t="s">
        <v>1609</v>
      </c>
      <c r="C2432" s="376" t="s">
        <v>1054</v>
      </c>
      <c r="D2432" s="376">
        <v>2024</v>
      </c>
      <c r="E2432" s="376">
        <v>2027</v>
      </c>
      <c r="F2432" s="376">
        <v>1</v>
      </c>
      <c r="G2432" s="376">
        <v>3592.5747097887579</v>
      </c>
      <c r="H2432" s="376">
        <v>0</v>
      </c>
      <c r="I2432" s="376">
        <v>1</v>
      </c>
    </row>
    <row r="2433" spans="1:9" x14ac:dyDescent="0.35">
      <c r="A2433" s="376" t="s">
        <v>1636</v>
      </c>
      <c r="B2433" s="376" t="s">
        <v>1609</v>
      </c>
      <c r="C2433" s="376" t="s">
        <v>1046</v>
      </c>
      <c r="D2433" s="376">
        <v>2024</v>
      </c>
      <c r="E2433" s="376">
        <v>2028</v>
      </c>
      <c r="F2433" s="376">
        <v>1</v>
      </c>
      <c r="G2433" s="376">
        <v>3592.5747097887579</v>
      </c>
      <c r="H2433" s="376">
        <v>0</v>
      </c>
      <c r="I2433" s="376">
        <v>1</v>
      </c>
    </row>
    <row r="2434" spans="1:9" x14ac:dyDescent="0.35">
      <c r="A2434" s="376" t="s">
        <v>1636</v>
      </c>
      <c r="B2434" s="376" t="s">
        <v>1609</v>
      </c>
      <c r="C2434" s="376" t="s">
        <v>644</v>
      </c>
      <c r="D2434" s="376">
        <v>2024</v>
      </c>
      <c r="E2434" s="376">
        <v>2028</v>
      </c>
      <c r="F2434" s="376">
        <v>1</v>
      </c>
      <c r="G2434" s="376">
        <v>3592.5747097887579</v>
      </c>
      <c r="H2434" s="376">
        <v>0</v>
      </c>
      <c r="I2434" s="376">
        <v>1</v>
      </c>
    </row>
    <row r="2435" spans="1:9" x14ac:dyDescent="0.35">
      <c r="A2435" s="376" t="s">
        <v>1636</v>
      </c>
      <c r="B2435" s="376" t="s">
        <v>1609</v>
      </c>
      <c r="C2435" s="376" t="s">
        <v>628</v>
      </c>
      <c r="D2435" s="376">
        <v>2024</v>
      </c>
      <c r="E2435" s="376">
        <v>2028</v>
      </c>
      <c r="F2435" s="376">
        <v>1</v>
      </c>
      <c r="G2435" s="376">
        <v>3592.5747097887579</v>
      </c>
      <c r="H2435" s="376">
        <v>0</v>
      </c>
      <c r="I2435" s="376">
        <v>1</v>
      </c>
    </row>
    <row r="2436" spans="1:9" x14ac:dyDescent="0.35">
      <c r="A2436" s="376" t="s">
        <v>1636</v>
      </c>
      <c r="B2436" s="376" t="s">
        <v>1609</v>
      </c>
      <c r="C2436" s="376" t="s">
        <v>1051</v>
      </c>
      <c r="D2436" s="376">
        <v>2024</v>
      </c>
      <c r="E2436" s="376">
        <v>2028</v>
      </c>
      <c r="F2436" s="376">
        <v>1</v>
      </c>
      <c r="G2436" s="376">
        <v>3592.5747097887579</v>
      </c>
      <c r="H2436" s="376">
        <v>0</v>
      </c>
      <c r="I2436" s="376">
        <v>1</v>
      </c>
    </row>
    <row r="2437" spans="1:9" x14ac:dyDescent="0.35">
      <c r="A2437" s="376" t="s">
        <v>1636</v>
      </c>
      <c r="B2437" s="376" t="s">
        <v>1609</v>
      </c>
      <c r="C2437" s="376" t="s">
        <v>1054</v>
      </c>
      <c r="D2437" s="376">
        <v>2024</v>
      </c>
      <c r="E2437" s="376">
        <v>2028</v>
      </c>
      <c r="F2437" s="376">
        <v>1</v>
      </c>
      <c r="G2437" s="376">
        <v>3592.5747097887579</v>
      </c>
      <c r="H2437" s="376">
        <v>0</v>
      </c>
      <c r="I2437" s="376">
        <v>1</v>
      </c>
    </row>
    <row r="2438" spans="1:9" x14ac:dyDescent="0.35">
      <c r="A2438" s="376" t="s">
        <v>1636</v>
      </c>
      <c r="B2438" s="376" t="s">
        <v>1609</v>
      </c>
      <c r="C2438" s="376" t="s">
        <v>1046</v>
      </c>
      <c r="D2438" s="376">
        <v>2024</v>
      </c>
      <c r="E2438" s="376">
        <v>2029</v>
      </c>
      <c r="F2438" s="376">
        <v>1</v>
      </c>
      <c r="G2438" s="376">
        <v>3592.5747097887579</v>
      </c>
      <c r="H2438" s="376">
        <v>0</v>
      </c>
      <c r="I2438" s="376">
        <v>1</v>
      </c>
    </row>
    <row r="2439" spans="1:9" x14ac:dyDescent="0.35">
      <c r="A2439" s="376" t="s">
        <v>1636</v>
      </c>
      <c r="B2439" s="376" t="s">
        <v>1609</v>
      </c>
      <c r="C2439" s="376" t="s">
        <v>644</v>
      </c>
      <c r="D2439" s="376">
        <v>2024</v>
      </c>
      <c r="E2439" s="376">
        <v>2029</v>
      </c>
      <c r="F2439" s="376">
        <v>1</v>
      </c>
      <c r="G2439" s="376">
        <v>3592.5747097887579</v>
      </c>
      <c r="H2439" s="376">
        <v>0</v>
      </c>
      <c r="I2439" s="376">
        <v>1</v>
      </c>
    </row>
    <row r="2440" spans="1:9" x14ac:dyDescent="0.35">
      <c r="A2440" s="376" t="s">
        <v>1636</v>
      </c>
      <c r="B2440" s="376" t="s">
        <v>1609</v>
      </c>
      <c r="C2440" s="376" t="s">
        <v>628</v>
      </c>
      <c r="D2440" s="376">
        <v>2024</v>
      </c>
      <c r="E2440" s="376">
        <v>2029</v>
      </c>
      <c r="F2440" s="376">
        <v>1</v>
      </c>
      <c r="G2440" s="376">
        <v>3592.5747097887579</v>
      </c>
      <c r="H2440" s="376">
        <v>0</v>
      </c>
      <c r="I2440" s="376">
        <v>1</v>
      </c>
    </row>
    <row r="2441" spans="1:9" x14ac:dyDescent="0.35">
      <c r="A2441" s="376" t="s">
        <v>1636</v>
      </c>
      <c r="B2441" s="376" t="s">
        <v>1609</v>
      </c>
      <c r="C2441" s="376" t="s">
        <v>1051</v>
      </c>
      <c r="D2441" s="376">
        <v>2024</v>
      </c>
      <c r="E2441" s="376">
        <v>2029</v>
      </c>
      <c r="F2441" s="376">
        <v>1</v>
      </c>
      <c r="G2441" s="376">
        <v>3592.5747097887579</v>
      </c>
      <c r="H2441" s="376">
        <v>0</v>
      </c>
      <c r="I2441" s="376">
        <v>1</v>
      </c>
    </row>
    <row r="2442" spans="1:9" x14ac:dyDescent="0.35">
      <c r="A2442" s="376" t="s">
        <v>1636</v>
      </c>
      <c r="B2442" s="376" t="s">
        <v>1609</v>
      </c>
      <c r="C2442" s="376" t="s">
        <v>1054</v>
      </c>
      <c r="D2442" s="376">
        <v>2024</v>
      </c>
      <c r="E2442" s="376">
        <v>2029</v>
      </c>
      <c r="F2442" s="376">
        <v>1</v>
      </c>
      <c r="G2442" s="376">
        <v>3592.5747097887579</v>
      </c>
      <c r="H2442" s="376">
        <v>0</v>
      </c>
      <c r="I2442" s="376">
        <v>1</v>
      </c>
    </row>
    <row r="2443" spans="1:9" x14ac:dyDescent="0.35">
      <c r="A2443" s="376" t="s">
        <v>1636</v>
      </c>
      <c r="B2443" s="376" t="s">
        <v>1609</v>
      </c>
      <c r="C2443" s="376" t="s">
        <v>1046</v>
      </c>
      <c r="D2443" s="376">
        <v>2024</v>
      </c>
      <c r="E2443" s="376">
        <v>2030</v>
      </c>
      <c r="F2443" s="376">
        <v>1</v>
      </c>
      <c r="G2443" s="376">
        <v>3592.5747097887579</v>
      </c>
      <c r="H2443" s="376">
        <v>0</v>
      </c>
      <c r="I2443" s="376">
        <v>1</v>
      </c>
    </row>
    <row r="2444" spans="1:9" x14ac:dyDescent="0.35">
      <c r="A2444" s="376" t="s">
        <v>1636</v>
      </c>
      <c r="B2444" s="376" t="s">
        <v>1609</v>
      </c>
      <c r="C2444" s="376" t="s">
        <v>644</v>
      </c>
      <c r="D2444" s="376">
        <v>2024</v>
      </c>
      <c r="E2444" s="376">
        <v>2030</v>
      </c>
      <c r="F2444" s="376">
        <v>1</v>
      </c>
      <c r="G2444" s="376">
        <v>3592.5747097887579</v>
      </c>
      <c r="H2444" s="376">
        <v>0</v>
      </c>
      <c r="I2444" s="376">
        <v>1</v>
      </c>
    </row>
    <row r="2445" spans="1:9" x14ac:dyDescent="0.35">
      <c r="A2445" s="376" t="s">
        <v>1636</v>
      </c>
      <c r="B2445" s="376" t="s">
        <v>1609</v>
      </c>
      <c r="C2445" s="376" t="s">
        <v>628</v>
      </c>
      <c r="D2445" s="376">
        <v>2024</v>
      </c>
      <c r="E2445" s="376">
        <v>2030</v>
      </c>
      <c r="F2445" s="376">
        <v>1</v>
      </c>
      <c r="G2445" s="376">
        <v>3592.5747097887579</v>
      </c>
      <c r="H2445" s="376">
        <v>0</v>
      </c>
      <c r="I2445" s="376">
        <v>1</v>
      </c>
    </row>
    <row r="2446" spans="1:9" x14ac:dyDescent="0.35">
      <c r="A2446" s="376" t="s">
        <v>1636</v>
      </c>
      <c r="B2446" s="376" t="s">
        <v>1609</v>
      </c>
      <c r="C2446" s="376" t="s">
        <v>1051</v>
      </c>
      <c r="D2446" s="376">
        <v>2024</v>
      </c>
      <c r="E2446" s="376">
        <v>2030</v>
      </c>
      <c r="F2446" s="376">
        <v>1</v>
      </c>
      <c r="G2446" s="376">
        <v>3592.5747097887579</v>
      </c>
      <c r="H2446" s="376">
        <v>0</v>
      </c>
      <c r="I2446" s="376">
        <v>1</v>
      </c>
    </row>
    <row r="2447" spans="1:9" x14ac:dyDescent="0.35">
      <c r="A2447" s="376" t="s">
        <v>1636</v>
      </c>
      <c r="B2447" s="376" t="s">
        <v>1609</v>
      </c>
      <c r="C2447" s="376" t="s">
        <v>1054</v>
      </c>
      <c r="D2447" s="376">
        <v>2024</v>
      </c>
      <c r="E2447" s="376">
        <v>2030</v>
      </c>
      <c r="F2447" s="376">
        <v>1</v>
      </c>
      <c r="G2447" s="376">
        <v>3592.5747097887579</v>
      </c>
      <c r="H2447" s="376">
        <v>0</v>
      </c>
      <c r="I2447" s="376">
        <v>1</v>
      </c>
    </row>
    <row r="2448" spans="1:9" x14ac:dyDescent="0.35">
      <c r="A2448" s="376" t="s">
        <v>1636</v>
      </c>
      <c r="B2448" s="376" t="s">
        <v>1609</v>
      </c>
      <c r="C2448" s="376" t="s">
        <v>1046</v>
      </c>
      <c r="D2448" s="376">
        <v>2024</v>
      </c>
      <c r="E2448" s="376">
        <v>2031</v>
      </c>
      <c r="F2448" s="376">
        <v>1</v>
      </c>
      <c r="G2448" s="376">
        <v>3592.5747097887579</v>
      </c>
      <c r="H2448" s="376">
        <v>0</v>
      </c>
      <c r="I2448" s="376">
        <v>1</v>
      </c>
    </row>
    <row r="2449" spans="1:9" x14ac:dyDescent="0.35">
      <c r="A2449" s="376" t="s">
        <v>1636</v>
      </c>
      <c r="B2449" s="376" t="s">
        <v>1609</v>
      </c>
      <c r="C2449" s="376" t="s">
        <v>644</v>
      </c>
      <c r="D2449" s="376">
        <v>2024</v>
      </c>
      <c r="E2449" s="376">
        <v>2031</v>
      </c>
      <c r="F2449" s="376">
        <v>1</v>
      </c>
      <c r="G2449" s="376">
        <v>3592.5747097887579</v>
      </c>
      <c r="H2449" s="376">
        <v>0</v>
      </c>
      <c r="I2449" s="376">
        <v>1</v>
      </c>
    </row>
    <row r="2450" spans="1:9" x14ac:dyDescent="0.35">
      <c r="A2450" s="376" t="s">
        <v>1636</v>
      </c>
      <c r="B2450" s="376" t="s">
        <v>1609</v>
      </c>
      <c r="C2450" s="376" t="s">
        <v>628</v>
      </c>
      <c r="D2450" s="376">
        <v>2024</v>
      </c>
      <c r="E2450" s="376">
        <v>2031</v>
      </c>
      <c r="F2450" s="376">
        <v>1</v>
      </c>
      <c r="G2450" s="376">
        <v>3592.5747097887579</v>
      </c>
      <c r="H2450" s="376">
        <v>0</v>
      </c>
      <c r="I2450" s="376">
        <v>1</v>
      </c>
    </row>
    <row r="2451" spans="1:9" x14ac:dyDescent="0.35">
      <c r="A2451" s="376" t="s">
        <v>1636</v>
      </c>
      <c r="B2451" s="376" t="s">
        <v>1609</v>
      </c>
      <c r="C2451" s="376" t="s">
        <v>1051</v>
      </c>
      <c r="D2451" s="376">
        <v>2024</v>
      </c>
      <c r="E2451" s="376">
        <v>2031</v>
      </c>
      <c r="F2451" s="376">
        <v>1</v>
      </c>
      <c r="G2451" s="376">
        <v>3592.5747097887579</v>
      </c>
      <c r="H2451" s="376">
        <v>0</v>
      </c>
      <c r="I2451" s="376">
        <v>1</v>
      </c>
    </row>
    <row r="2452" spans="1:9" x14ac:dyDescent="0.35">
      <c r="A2452" s="376" t="s">
        <v>1636</v>
      </c>
      <c r="B2452" s="376" t="s">
        <v>1609</v>
      </c>
      <c r="C2452" s="376" t="s">
        <v>1054</v>
      </c>
      <c r="D2452" s="376">
        <v>2024</v>
      </c>
      <c r="E2452" s="376">
        <v>2031</v>
      </c>
      <c r="F2452" s="376">
        <v>1</v>
      </c>
      <c r="G2452" s="376">
        <v>3592.5747097887579</v>
      </c>
      <c r="H2452" s="376">
        <v>0</v>
      </c>
      <c r="I2452" s="376">
        <v>1</v>
      </c>
    </row>
    <row r="2453" spans="1:9" x14ac:dyDescent="0.35">
      <c r="A2453" s="376" t="s">
        <v>1606</v>
      </c>
      <c r="B2453" s="376" t="s">
        <v>1609</v>
      </c>
      <c r="C2453" s="376" t="s">
        <v>1046</v>
      </c>
      <c r="D2453" s="376">
        <v>2024</v>
      </c>
      <c r="E2453" s="376">
        <v>2024</v>
      </c>
      <c r="F2453" s="376">
        <v>1</v>
      </c>
      <c r="G2453" s="376">
        <v>5993.361184792012</v>
      </c>
      <c r="H2453" s="376">
        <v>0</v>
      </c>
      <c r="I2453" s="376">
        <v>1</v>
      </c>
    </row>
    <row r="2454" spans="1:9" x14ac:dyDescent="0.35">
      <c r="A2454" s="376" t="s">
        <v>1606</v>
      </c>
      <c r="B2454" s="376" t="s">
        <v>1609</v>
      </c>
      <c r="C2454" s="376" t="s">
        <v>644</v>
      </c>
      <c r="D2454" s="376">
        <v>2024</v>
      </c>
      <c r="E2454" s="376">
        <v>2024</v>
      </c>
      <c r="F2454" s="376">
        <v>1</v>
      </c>
      <c r="G2454" s="376">
        <v>5993.361184792012</v>
      </c>
      <c r="H2454" s="376">
        <v>0</v>
      </c>
      <c r="I2454" s="376">
        <v>1</v>
      </c>
    </row>
    <row r="2455" spans="1:9" x14ac:dyDescent="0.35">
      <c r="A2455" s="376" t="s">
        <v>1606</v>
      </c>
      <c r="B2455" s="376" t="s">
        <v>1609</v>
      </c>
      <c r="C2455" s="376" t="s">
        <v>628</v>
      </c>
      <c r="D2455" s="376">
        <v>2024</v>
      </c>
      <c r="E2455" s="376">
        <v>2024</v>
      </c>
      <c r="F2455" s="376">
        <v>1</v>
      </c>
      <c r="G2455" s="376">
        <v>5993.361184792012</v>
      </c>
      <c r="H2455" s="376">
        <v>0</v>
      </c>
      <c r="I2455" s="376">
        <v>1</v>
      </c>
    </row>
    <row r="2456" spans="1:9" x14ac:dyDescent="0.35">
      <c r="A2456" s="376" t="s">
        <v>1606</v>
      </c>
      <c r="B2456" s="376" t="s">
        <v>1609</v>
      </c>
      <c r="C2456" s="376" t="s">
        <v>1051</v>
      </c>
      <c r="D2456" s="376">
        <v>2024</v>
      </c>
      <c r="E2456" s="376">
        <v>2024</v>
      </c>
      <c r="F2456" s="376">
        <v>1</v>
      </c>
      <c r="G2456" s="376">
        <v>5993.361184792012</v>
      </c>
      <c r="H2456" s="376">
        <v>0</v>
      </c>
      <c r="I2456" s="376">
        <v>1</v>
      </c>
    </row>
    <row r="2457" spans="1:9" x14ac:dyDescent="0.35">
      <c r="A2457" s="376" t="s">
        <v>1606</v>
      </c>
      <c r="B2457" s="376" t="s">
        <v>1609</v>
      </c>
      <c r="C2457" s="376" t="s">
        <v>1054</v>
      </c>
      <c r="D2457" s="376">
        <v>2024</v>
      </c>
      <c r="E2457" s="376">
        <v>2024</v>
      </c>
      <c r="F2457" s="376">
        <v>1</v>
      </c>
      <c r="G2457" s="376">
        <v>5993.361184792012</v>
      </c>
      <c r="H2457" s="376">
        <v>0</v>
      </c>
      <c r="I2457" s="376">
        <v>1</v>
      </c>
    </row>
    <row r="2458" spans="1:9" x14ac:dyDescent="0.35">
      <c r="A2458" s="376" t="s">
        <v>1606</v>
      </c>
      <c r="B2458" s="376" t="s">
        <v>1609</v>
      </c>
      <c r="C2458" s="376" t="s">
        <v>1046</v>
      </c>
      <c r="D2458" s="376">
        <v>2024</v>
      </c>
      <c r="E2458" s="376">
        <v>2025</v>
      </c>
      <c r="F2458" s="376">
        <v>1</v>
      </c>
      <c r="G2458" s="376">
        <v>5993.361184792012</v>
      </c>
      <c r="H2458" s="376">
        <v>0</v>
      </c>
      <c r="I2458" s="376">
        <v>1</v>
      </c>
    </row>
    <row r="2459" spans="1:9" x14ac:dyDescent="0.35">
      <c r="A2459" s="376" t="s">
        <v>1606</v>
      </c>
      <c r="B2459" s="376" t="s">
        <v>1609</v>
      </c>
      <c r="C2459" s="376" t="s">
        <v>644</v>
      </c>
      <c r="D2459" s="376">
        <v>2024</v>
      </c>
      <c r="E2459" s="376">
        <v>2025</v>
      </c>
      <c r="F2459" s="376">
        <v>1</v>
      </c>
      <c r="G2459" s="376">
        <v>5993.361184792012</v>
      </c>
      <c r="H2459" s="376">
        <v>0</v>
      </c>
      <c r="I2459" s="376">
        <v>1</v>
      </c>
    </row>
    <row r="2460" spans="1:9" x14ac:dyDescent="0.35">
      <c r="A2460" s="376" t="s">
        <v>1606</v>
      </c>
      <c r="B2460" s="376" t="s">
        <v>1609</v>
      </c>
      <c r="C2460" s="376" t="s">
        <v>628</v>
      </c>
      <c r="D2460" s="376">
        <v>2024</v>
      </c>
      <c r="E2460" s="376">
        <v>2025</v>
      </c>
      <c r="F2460" s="376">
        <v>1</v>
      </c>
      <c r="G2460" s="376">
        <v>5993.361184792012</v>
      </c>
      <c r="H2460" s="376">
        <v>0</v>
      </c>
      <c r="I2460" s="376">
        <v>1</v>
      </c>
    </row>
    <row r="2461" spans="1:9" x14ac:dyDescent="0.35">
      <c r="A2461" s="376" t="s">
        <v>1606</v>
      </c>
      <c r="B2461" s="376" t="s">
        <v>1609</v>
      </c>
      <c r="C2461" s="376" t="s">
        <v>1051</v>
      </c>
      <c r="D2461" s="376">
        <v>2024</v>
      </c>
      <c r="E2461" s="376">
        <v>2025</v>
      </c>
      <c r="F2461" s="376">
        <v>1</v>
      </c>
      <c r="G2461" s="376">
        <v>5993.361184792012</v>
      </c>
      <c r="H2461" s="376">
        <v>0</v>
      </c>
      <c r="I2461" s="376">
        <v>1</v>
      </c>
    </row>
    <row r="2462" spans="1:9" x14ac:dyDescent="0.35">
      <c r="A2462" s="376" t="s">
        <v>1606</v>
      </c>
      <c r="B2462" s="376" t="s">
        <v>1609</v>
      </c>
      <c r="C2462" s="376" t="s">
        <v>1054</v>
      </c>
      <c r="D2462" s="376">
        <v>2024</v>
      </c>
      <c r="E2462" s="376">
        <v>2025</v>
      </c>
      <c r="F2462" s="376">
        <v>1</v>
      </c>
      <c r="G2462" s="376">
        <v>5993.361184792012</v>
      </c>
      <c r="H2462" s="376">
        <v>0</v>
      </c>
      <c r="I2462" s="376">
        <v>1</v>
      </c>
    </row>
    <row r="2463" spans="1:9" x14ac:dyDescent="0.35">
      <c r="A2463" s="376" t="s">
        <v>1606</v>
      </c>
      <c r="B2463" s="376" t="s">
        <v>1609</v>
      </c>
      <c r="C2463" s="376" t="s">
        <v>1046</v>
      </c>
      <c r="D2463" s="376">
        <v>2024</v>
      </c>
      <c r="E2463" s="376">
        <v>2026</v>
      </c>
      <c r="F2463" s="376">
        <v>1</v>
      </c>
      <c r="G2463" s="376">
        <v>5993.361184792012</v>
      </c>
      <c r="H2463" s="376">
        <v>0</v>
      </c>
      <c r="I2463" s="376">
        <v>1</v>
      </c>
    </row>
    <row r="2464" spans="1:9" x14ac:dyDescent="0.35">
      <c r="A2464" s="376" t="s">
        <v>1606</v>
      </c>
      <c r="B2464" s="376" t="s">
        <v>1609</v>
      </c>
      <c r="C2464" s="376" t="s">
        <v>644</v>
      </c>
      <c r="D2464" s="376">
        <v>2024</v>
      </c>
      <c r="E2464" s="376">
        <v>2026</v>
      </c>
      <c r="F2464" s="376">
        <v>1</v>
      </c>
      <c r="G2464" s="376">
        <v>5993.361184792012</v>
      </c>
      <c r="H2464" s="376">
        <v>0</v>
      </c>
      <c r="I2464" s="376">
        <v>1</v>
      </c>
    </row>
    <row r="2465" spans="1:9" x14ac:dyDescent="0.35">
      <c r="A2465" s="376" t="s">
        <v>1606</v>
      </c>
      <c r="B2465" s="376" t="s">
        <v>1609</v>
      </c>
      <c r="C2465" s="376" t="s">
        <v>628</v>
      </c>
      <c r="D2465" s="376">
        <v>2024</v>
      </c>
      <c r="E2465" s="376">
        <v>2026</v>
      </c>
      <c r="F2465" s="376">
        <v>1</v>
      </c>
      <c r="G2465" s="376">
        <v>5993.361184792012</v>
      </c>
      <c r="H2465" s="376">
        <v>0</v>
      </c>
      <c r="I2465" s="376">
        <v>1</v>
      </c>
    </row>
    <row r="2466" spans="1:9" x14ac:dyDescent="0.35">
      <c r="A2466" s="376" t="s">
        <v>1606</v>
      </c>
      <c r="B2466" s="376" t="s">
        <v>1609</v>
      </c>
      <c r="C2466" s="376" t="s">
        <v>1051</v>
      </c>
      <c r="D2466" s="376">
        <v>2024</v>
      </c>
      <c r="E2466" s="376">
        <v>2026</v>
      </c>
      <c r="F2466" s="376">
        <v>1</v>
      </c>
      <c r="G2466" s="376">
        <v>5993.361184792012</v>
      </c>
      <c r="H2466" s="376">
        <v>0</v>
      </c>
      <c r="I2466" s="376">
        <v>1</v>
      </c>
    </row>
    <row r="2467" spans="1:9" x14ac:dyDescent="0.35">
      <c r="A2467" s="376" t="s">
        <v>1606</v>
      </c>
      <c r="B2467" s="376" t="s">
        <v>1609</v>
      </c>
      <c r="C2467" s="376" t="s">
        <v>1054</v>
      </c>
      <c r="D2467" s="376">
        <v>2024</v>
      </c>
      <c r="E2467" s="376">
        <v>2026</v>
      </c>
      <c r="F2467" s="376">
        <v>1</v>
      </c>
      <c r="G2467" s="376">
        <v>5993.361184792012</v>
      </c>
      <c r="H2467" s="376">
        <v>0</v>
      </c>
      <c r="I2467" s="376">
        <v>1</v>
      </c>
    </row>
    <row r="2468" spans="1:9" x14ac:dyDescent="0.35">
      <c r="A2468" s="376" t="s">
        <v>1606</v>
      </c>
      <c r="B2468" s="376" t="s">
        <v>1609</v>
      </c>
      <c r="C2468" s="376" t="s">
        <v>1046</v>
      </c>
      <c r="D2468" s="376">
        <v>2024</v>
      </c>
      <c r="E2468" s="376">
        <v>2027</v>
      </c>
      <c r="F2468" s="376">
        <v>1</v>
      </c>
      <c r="G2468" s="376">
        <v>5993.361184792012</v>
      </c>
      <c r="H2468" s="376">
        <v>0</v>
      </c>
      <c r="I2468" s="376">
        <v>1</v>
      </c>
    </row>
    <row r="2469" spans="1:9" x14ac:dyDescent="0.35">
      <c r="A2469" s="376" t="s">
        <v>1606</v>
      </c>
      <c r="B2469" s="376" t="s">
        <v>1609</v>
      </c>
      <c r="C2469" s="376" t="s">
        <v>644</v>
      </c>
      <c r="D2469" s="376">
        <v>2024</v>
      </c>
      <c r="E2469" s="376">
        <v>2027</v>
      </c>
      <c r="F2469" s="376">
        <v>1</v>
      </c>
      <c r="G2469" s="376">
        <v>5993.361184792012</v>
      </c>
      <c r="H2469" s="376">
        <v>0</v>
      </c>
      <c r="I2469" s="376">
        <v>1</v>
      </c>
    </row>
    <row r="2470" spans="1:9" x14ac:dyDescent="0.35">
      <c r="A2470" s="376" t="s">
        <v>1606</v>
      </c>
      <c r="B2470" s="376" t="s">
        <v>1609</v>
      </c>
      <c r="C2470" s="376" t="s">
        <v>628</v>
      </c>
      <c r="D2470" s="376">
        <v>2024</v>
      </c>
      <c r="E2470" s="376">
        <v>2027</v>
      </c>
      <c r="F2470" s="376">
        <v>1</v>
      </c>
      <c r="G2470" s="376">
        <v>5993.361184792012</v>
      </c>
      <c r="H2470" s="376">
        <v>0</v>
      </c>
      <c r="I2470" s="376">
        <v>1</v>
      </c>
    </row>
    <row r="2471" spans="1:9" x14ac:dyDescent="0.35">
      <c r="A2471" s="376" t="s">
        <v>1606</v>
      </c>
      <c r="B2471" s="376" t="s">
        <v>1609</v>
      </c>
      <c r="C2471" s="376" t="s">
        <v>1051</v>
      </c>
      <c r="D2471" s="376">
        <v>2024</v>
      </c>
      <c r="E2471" s="376">
        <v>2027</v>
      </c>
      <c r="F2471" s="376">
        <v>1</v>
      </c>
      <c r="G2471" s="376">
        <v>5993.361184792012</v>
      </c>
      <c r="H2471" s="376">
        <v>0</v>
      </c>
      <c r="I2471" s="376">
        <v>1</v>
      </c>
    </row>
    <row r="2472" spans="1:9" x14ac:dyDescent="0.35">
      <c r="A2472" s="376" t="s">
        <v>1606</v>
      </c>
      <c r="B2472" s="376" t="s">
        <v>1609</v>
      </c>
      <c r="C2472" s="376" t="s">
        <v>1054</v>
      </c>
      <c r="D2472" s="376">
        <v>2024</v>
      </c>
      <c r="E2472" s="376">
        <v>2027</v>
      </c>
      <c r="F2472" s="376">
        <v>1</v>
      </c>
      <c r="G2472" s="376">
        <v>5993.361184792012</v>
      </c>
      <c r="H2472" s="376">
        <v>0</v>
      </c>
      <c r="I2472" s="376">
        <v>1</v>
      </c>
    </row>
    <row r="2473" spans="1:9" x14ac:dyDescent="0.35">
      <c r="A2473" s="376" t="s">
        <v>1606</v>
      </c>
      <c r="B2473" s="376" t="s">
        <v>1609</v>
      </c>
      <c r="C2473" s="376" t="s">
        <v>1046</v>
      </c>
      <c r="D2473" s="376">
        <v>2024</v>
      </c>
      <c r="E2473" s="376">
        <v>2028</v>
      </c>
      <c r="F2473" s="376">
        <v>1</v>
      </c>
      <c r="G2473" s="376">
        <v>5993.361184792012</v>
      </c>
      <c r="H2473" s="376">
        <v>0</v>
      </c>
      <c r="I2473" s="376">
        <v>1</v>
      </c>
    </row>
    <row r="2474" spans="1:9" x14ac:dyDescent="0.35">
      <c r="A2474" s="376" t="s">
        <v>1606</v>
      </c>
      <c r="B2474" s="376" t="s">
        <v>1609</v>
      </c>
      <c r="C2474" s="376" t="s">
        <v>644</v>
      </c>
      <c r="D2474" s="376">
        <v>2024</v>
      </c>
      <c r="E2474" s="376">
        <v>2028</v>
      </c>
      <c r="F2474" s="376">
        <v>1</v>
      </c>
      <c r="G2474" s="376">
        <v>5993.361184792012</v>
      </c>
      <c r="H2474" s="376">
        <v>0</v>
      </c>
      <c r="I2474" s="376">
        <v>1</v>
      </c>
    </row>
    <row r="2475" spans="1:9" x14ac:dyDescent="0.35">
      <c r="A2475" s="376" t="s">
        <v>1606</v>
      </c>
      <c r="B2475" s="376" t="s">
        <v>1609</v>
      </c>
      <c r="C2475" s="376" t="s">
        <v>628</v>
      </c>
      <c r="D2475" s="376">
        <v>2024</v>
      </c>
      <c r="E2475" s="376">
        <v>2028</v>
      </c>
      <c r="F2475" s="376">
        <v>1</v>
      </c>
      <c r="G2475" s="376">
        <v>5993.361184792012</v>
      </c>
      <c r="H2475" s="376">
        <v>0</v>
      </c>
      <c r="I2475" s="376">
        <v>1</v>
      </c>
    </row>
    <row r="2476" spans="1:9" x14ac:dyDescent="0.35">
      <c r="A2476" s="376" t="s">
        <v>1606</v>
      </c>
      <c r="B2476" s="376" t="s">
        <v>1609</v>
      </c>
      <c r="C2476" s="376" t="s">
        <v>1051</v>
      </c>
      <c r="D2476" s="376">
        <v>2024</v>
      </c>
      <c r="E2476" s="376">
        <v>2028</v>
      </c>
      <c r="F2476" s="376">
        <v>1</v>
      </c>
      <c r="G2476" s="376">
        <v>5993.361184792012</v>
      </c>
      <c r="H2476" s="376">
        <v>0</v>
      </c>
      <c r="I2476" s="376">
        <v>1</v>
      </c>
    </row>
    <row r="2477" spans="1:9" x14ac:dyDescent="0.35">
      <c r="A2477" s="376" t="s">
        <v>1606</v>
      </c>
      <c r="B2477" s="376" t="s">
        <v>1609</v>
      </c>
      <c r="C2477" s="376" t="s">
        <v>1054</v>
      </c>
      <c r="D2477" s="376">
        <v>2024</v>
      </c>
      <c r="E2477" s="376">
        <v>2028</v>
      </c>
      <c r="F2477" s="376">
        <v>1</v>
      </c>
      <c r="G2477" s="376">
        <v>5993.361184792012</v>
      </c>
      <c r="H2477" s="376">
        <v>0</v>
      </c>
      <c r="I2477" s="376">
        <v>1</v>
      </c>
    </row>
    <row r="2478" spans="1:9" x14ac:dyDescent="0.35">
      <c r="A2478" s="376" t="s">
        <v>1606</v>
      </c>
      <c r="B2478" s="376" t="s">
        <v>1609</v>
      </c>
      <c r="C2478" s="376" t="s">
        <v>1046</v>
      </c>
      <c r="D2478" s="376">
        <v>2024</v>
      </c>
      <c r="E2478" s="376">
        <v>2029</v>
      </c>
      <c r="F2478" s="376">
        <v>1</v>
      </c>
      <c r="G2478" s="376">
        <v>5993.361184792012</v>
      </c>
      <c r="H2478" s="376">
        <v>0</v>
      </c>
      <c r="I2478" s="376">
        <v>1</v>
      </c>
    </row>
    <row r="2479" spans="1:9" x14ac:dyDescent="0.35">
      <c r="A2479" s="376" t="s">
        <v>1606</v>
      </c>
      <c r="B2479" s="376" t="s">
        <v>1609</v>
      </c>
      <c r="C2479" s="376" t="s">
        <v>644</v>
      </c>
      <c r="D2479" s="376">
        <v>2024</v>
      </c>
      <c r="E2479" s="376">
        <v>2029</v>
      </c>
      <c r="F2479" s="376">
        <v>1</v>
      </c>
      <c r="G2479" s="376">
        <v>5993.361184792012</v>
      </c>
      <c r="H2479" s="376">
        <v>0</v>
      </c>
      <c r="I2479" s="376">
        <v>1</v>
      </c>
    </row>
    <row r="2480" spans="1:9" x14ac:dyDescent="0.35">
      <c r="A2480" s="376" t="s">
        <v>1606</v>
      </c>
      <c r="B2480" s="376" t="s">
        <v>1609</v>
      </c>
      <c r="C2480" s="376" t="s">
        <v>628</v>
      </c>
      <c r="D2480" s="376">
        <v>2024</v>
      </c>
      <c r="E2480" s="376">
        <v>2029</v>
      </c>
      <c r="F2480" s="376">
        <v>1</v>
      </c>
      <c r="G2480" s="376">
        <v>5993.361184792012</v>
      </c>
      <c r="H2480" s="376">
        <v>0</v>
      </c>
      <c r="I2480" s="376">
        <v>1</v>
      </c>
    </row>
    <row r="2481" spans="1:9" x14ac:dyDescent="0.35">
      <c r="A2481" s="376" t="s">
        <v>1606</v>
      </c>
      <c r="B2481" s="376" t="s">
        <v>1609</v>
      </c>
      <c r="C2481" s="376" t="s">
        <v>1051</v>
      </c>
      <c r="D2481" s="376">
        <v>2024</v>
      </c>
      <c r="E2481" s="376">
        <v>2029</v>
      </c>
      <c r="F2481" s="376">
        <v>1</v>
      </c>
      <c r="G2481" s="376">
        <v>5993.361184792012</v>
      </c>
      <c r="H2481" s="376">
        <v>0</v>
      </c>
      <c r="I2481" s="376">
        <v>1</v>
      </c>
    </row>
    <row r="2482" spans="1:9" x14ac:dyDescent="0.35">
      <c r="A2482" s="376" t="s">
        <v>1606</v>
      </c>
      <c r="B2482" s="376" t="s">
        <v>1609</v>
      </c>
      <c r="C2482" s="376" t="s">
        <v>1054</v>
      </c>
      <c r="D2482" s="376">
        <v>2024</v>
      </c>
      <c r="E2482" s="376">
        <v>2029</v>
      </c>
      <c r="F2482" s="376">
        <v>1</v>
      </c>
      <c r="G2482" s="376">
        <v>5993.361184792012</v>
      </c>
      <c r="H2482" s="376">
        <v>0</v>
      </c>
      <c r="I2482" s="376">
        <v>1</v>
      </c>
    </row>
    <row r="2483" spans="1:9" x14ac:dyDescent="0.35">
      <c r="A2483" s="376" t="s">
        <v>1606</v>
      </c>
      <c r="B2483" s="376" t="s">
        <v>1609</v>
      </c>
      <c r="C2483" s="376" t="s">
        <v>1046</v>
      </c>
      <c r="D2483" s="376">
        <v>2024</v>
      </c>
      <c r="E2483" s="376">
        <v>2030</v>
      </c>
      <c r="F2483" s="376">
        <v>1</v>
      </c>
      <c r="G2483" s="376">
        <v>5993.361184792012</v>
      </c>
      <c r="H2483" s="376">
        <v>0</v>
      </c>
      <c r="I2483" s="376">
        <v>1</v>
      </c>
    </row>
    <row r="2484" spans="1:9" x14ac:dyDescent="0.35">
      <c r="A2484" s="376" t="s">
        <v>1606</v>
      </c>
      <c r="B2484" s="376" t="s">
        <v>1609</v>
      </c>
      <c r="C2484" s="376" t="s">
        <v>644</v>
      </c>
      <c r="D2484" s="376">
        <v>2024</v>
      </c>
      <c r="E2484" s="376">
        <v>2030</v>
      </c>
      <c r="F2484" s="376">
        <v>1</v>
      </c>
      <c r="G2484" s="376">
        <v>5993.361184792012</v>
      </c>
      <c r="H2484" s="376">
        <v>0</v>
      </c>
      <c r="I2484" s="376">
        <v>1</v>
      </c>
    </row>
    <row r="2485" spans="1:9" x14ac:dyDescent="0.35">
      <c r="A2485" s="376" t="s">
        <v>1606</v>
      </c>
      <c r="B2485" s="376" t="s">
        <v>1609</v>
      </c>
      <c r="C2485" s="376" t="s">
        <v>628</v>
      </c>
      <c r="D2485" s="376">
        <v>2024</v>
      </c>
      <c r="E2485" s="376">
        <v>2030</v>
      </c>
      <c r="F2485" s="376">
        <v>1</v>
      </c>
      <c r="G2485" s="376">
        <v>5993.361184792012</v>
      </c>
      <c r="H2485" s="376">
        <v>0</v>
      </c>
      <c r="I2485" s="376">
        <v>1</v>
      </c>
    </row>
    <row r="2486" spans="1:9" x14ac:dyDescent="0.35">
      <c r="A2486" s="376" t="s">
        <v>1606</v>
      </c>
      <c r="B2486" s="376" t="s">
        <v>1609</v>
      </c>
      <c r="C2486" s="376" t="s">
        <v>1051</v>
      </c>
      <c r="D2486" s="376">
        <v>2024</v>
      </c>
      <c r="E2486" s="376">
        <v>2030</v>
      </c>
      <c r="F2486" s="376">
        <v>1</v>
      </c>
      <c r="G2486" s="376">
        <v>5993.361184792012</v>
      </c>
      <c r="H2486" s="376">
        <v>0</v>
      </c>
      <c r="I2486" s="376">
        <v>1</v>
      </c>
    </row>
    <row r="2487" spans="1:9" x14ac:dyDescent="0.35">
      <c r="A2487" s="376" t="s">
        <v>1606</v>
      </c>
      <c r="B2487" s="376" t="s">
        <v>1609</v>
      </c>
      <c r="C2487" s="376" t="s">
        <v>1054</v>
      </c>
      <c r="D2487" s="376">
        <v>2024</v>
      </c>
      <c r="E2487" s="376">
        <v>2030</v>
      </c>
      <c r="F2487" s="376">
        <v>1</v>
      </c>
      <c r="G2487" s="376">
        <v>5993.361184792012</v>
      </c>
      <c r="H2487" s="376">
        <v>0</v>
      </c>
      <c r="I2487" s="376">
        <v>1</v>
      </c>
    </row>
    <row r="2488" spans="1:9" x14ac:dyDescent="0.35">
      <c r="A2488" s="376" t="s">
        <v>1606</v>
      </c>
      <c r="B2488" s="376" t="s">
        <v>1609</v>
      </c>
      <c r="C2488" s="376" t="s">
        <v>1046</v>
      </c>
      <c r="D2488" s="376">
        <v>2024</v>
      </c>
      <c r="E2488" s="376">
        <v>2031</v>
      </c>
      <c r="F2488" s="376">
        <v>1</v>
      </c>
      <c r="G2488" s="376">
        <v>5993.361184792012</v>
      </c>
      <c r="H2488" s="376">
        <v>0</v>
      </c>
      <c r="I2488" s="376">
        <v>1</v>
      </c>
    </row>
    <row r="2489" spans="1:9" x14ac:dyDescent="0.35">
      <c r="A2489" s="376" t="s">
        <v>1606</v>
      </c>
      <c r="B2489" s="376" t="s">
        <v>1609</v>
      </c>
      <c r="C2489" s="376" t="s">
        <v>644</v>
      </c>
      <c r="D2489" s="376">
        <v>2024</v>
      </c>
      <c r="E2489" s="376">
        <v>2031</v>
      </c>
      <c r="F2489" s="376">
        <v>1</v>
      </c>
      <c r="G2489" s="376">
        <v>5993.361184792012</v>
      </c>
      <c r="H2489" s="376">
        <v>0</v>
      </c>
      <c r="I2489" s="376">
        <v>1</v>
      </c>
    </row>
    <row r="2490" spans="1:9" x14ac:dyDescent="0.35">
      <c r="A2490" s="376" t="s">
        <v>1606</v>
      </c>
      <c r="B2490" s="376" t="s">
        <v>1609</v>
      </c>
      <c r="C2490" s="376" t="s">
        <v>628</v>
      </c>
      <c r="D2490" s="376">
        <v>2024</v>
      </c>
      <c r="E2490" s="376">
        <v>2031</v>
      </c>
      <c r="F2490" s="376">
        <v>1</v>
      </c>
      <c r="G2490" s="376">
        <v>5993.361184792012</v>
      </c>
      <c r="H2490" s="376">
        <v>0</v>
      </c>
      <c r="I2490" s="376">
        <v>1</v>
      </c>
    </row>
    <row r="2491" spans="1:9" x14ac:dyDescent="0.35">
      <c r="A2491" s="376" t="s">
        <v>1606</v>
      </c>
      <c r="B2491" s="376" t="s">
        <v>1609</v>
      </c>
      <c r="C2491" s="376" t="s">
        <v>1051</v>
      </c>
      <c r="D2491" s="376">
        <v>2024</v>
      </c>
      <c r="E2491" s="376">
        <v>2031</v>
      </c>
      <c r="F2491" s="376">
        <v>1</v>
      </c>
      <c r="G2491" s="376">
        <v>5993.361184792012</v>
      </c>
      <c r="H2491" s="376">
        <v>0</v>
      </c>
      <c r="I2491" s="376">
        <v>1</v>
      </c>
    </row>
    <row r="2492" spans="1:9" x14ac:dyDescent="0.35">
      <c r="A2492" s="376" t="s">
        <v>1606</v>
      </c>
      <c r="B2492" s="376" t="s">
        <v>1609</v>
      </c>
      <c r="C2492" s="376" t="s">
        <v>1054</v>
      </c>
      <c r="D2492" s="376">
        <v>2024</v>
      </c>
      <c r="E2492" s="376">
        <v>2031</v>
      </c>
      <c r="F2492" s="376">
        <v>1</v>
      </c>
      <c r="G2492" s="376">
        <v>5993.361184792012</v>
      </c>
      <c r="H2492" s="376">
        <v>0</v>
      </c>
      <c r="I2492" s="376">
        <v>1</v>
      </c>
    </row>
    <row r="2493" spans="1:9" x14ac:dyDescent="0.35">
      <c r="A2493" s="376" t="s">
        <v>1612</v>
      </c>
      <c r="B2493" s="376" t="s">
        <v>1609</v>
      </c>
      <c r="C2493" s="376" t="s">
        <v>1046</v>
      </c>
      <c r="D2493" s="376">
        <v>2025</v>
      </c>
      <c r="E2493" s="376">
        <v>2025</v>
      </c>
      <c r="F2493" s="376">
        <v>0.37384575124303709</v>
      </c>
      <c r="G2493" s="376">
        <v>9928.6887826901675</v>
      </c>
      <c r="H2493" s="376">
        <v>0.2715120516915453</v>
      </c>
      <c r="I2493" s="376">
        <v>0.85</v>
      </c>
    </row>
    <row r="2494" spans="1:9" x14ac:dyDescent="0.35">
      <c r="A2494" s="376" t="s">
        <v>1612</v>
      </c>
      <c r="B2494" s="376" t="s">
        <v>1609</v>
      </c>
      <c r="C2494" s="376" t="s">
        <v>644</v>
      </c>
      <c r="D2494" s="376">
        <v>2025</v>
      </c>
      <c r="E2494" s="376">
        <v>2025</v>
      </c>
      <c r="F2494" s="376">
        <v>0.37384575124303709</v>
      </c>
      <c r="G2494" s="376">
        <v>9928.6887826901675</v>
      </c>
      <c r="H2494" s="376">
        <v>0.2715120516915453</v>
      </c>
      <c r="I2494" s="376">
        <v>0.85</v>
      </c>
    </row>
    <row r="2495" spans="1:9" x14ac:dyDescent="0.35">
      <c r="A2495" s="376" t="s">
        <v>1612</v>
      </c>
      <c r="B2495" s="376" t="s">
        <v>1609</v>
      </c>
      <c r="C2495" s="376" t="s">
        <v>628</v>
      </c>
      <c r="D2495" s="376">
        <v>2025</v>
      </c>
      <c r="E2495" s="376">
        <v>2025</v>
      </c>
      <c r="F2495" s="376">
        <v>0.37384575124303709</v>
      </c>
      <c r="G2495" s="376">
        <v>9928.6887826901675</v>
      </c>
      <c r="H2495" s="376">
        <v>0.2715120516915453</v>
      </c>
      <c r="I2495" s="376">
        <v>0.85</v>
      </c>
    </row>
    <row r="2496" spans="1:9" x14ac:dyDescent="0.35">
      <c r="A2496" s="376" t="s">
        <v>1612</v>
      </c>
      <c r="B2496" s="376" t="s">
        <v>1609</v>
      </c>
      <c r="C2496" s="376" t="s">
        <v>1051</v>
      </c>
      <c r="D2496" s="376">
        <v>2025</v>
      </c>
      <c r="E2496" s="376">
        <v>2025</v>
      </c>
      <c r="F2496" s="376">
        <v>0.37384575124303709</v>
      </c>
      <c r="G2496" s="376">
        <v>9928.6887826901675</v>
      </c>
      <c r="H2496" s="376">
        <v>0.2715120516915453</v>
      </c>
      <c r="I2496" s="376">
        <v>0.85</v>
      </c>
    </row>
    <row r="2497" spans="1:9" x14ac:dyDescent="0.35">
      <c r="A2497" s="376" t="s">
        <v>1612</v>
      </c>
      <c r="B2497" s="376" t="s">
        <v>1609</v>
      </c>
      <c r="C2497" s="376" t="s">
        <v>1054</v>
      </c>
      <c r="D2497" s="376">
        <v>2025</v>
      </c>
      <c r="E2497" s="376">
        <v>2025</v>
      </c>
      <c r="F2497" s="376">
        <v>0.37384575124303709</v>
      </c>
      <c r="G2497" s="376">
        <v>9928.6887826901675</v>
      </c>
      <c r="H2497" s="376">
        <v>0.2715120516915453</v>
      </c>
      <c r="I2497" s="376">
        <v>0.85</v>
      </c>
    </row>
    <row r="2498" spans="1:9" x14ac:dyDescent="0.35">
      <c r="A2498" s="376" t="s">
        <v>1612</v>
      </c>
      <c r="B2498" s="376" t="s">
        <v>1609</v>
      </c>
      <c r="C2498" s="376" t="s">
        <v>1046</v>
      </c>
      <c r="D2498" s="376">
        <v>2025</v>
      </c>
      <c r="E2498" s="376">
        <v>2026</v>
      </c>
      <c r="F2498" s="376">
        <v>0.37384575124303709</v>
      </c>
      <c r="G2498" s="376">
        <v>9928.6887826901675</v>
      </c>
      <c r="H2498" s="376">
        <v>0.2715120516915453</v>
      </c>
      <c r="I2498" s="376">
        <v>0.85</v>
      </c>
    </row>
    <row r="2499" spans="1:9" x14ac:dyDescent="0.35">
      <c r="A2499" s="376" t="s">
        <v>1612</v>
      </c>
      <c r="B2499" s="376" t="s">
        <v>1609</v>
      </c>
      <c r="C2499" s="376" t="s">
        <v>644</v>
      </c>
      <c r="D2499" s="376">
        <v>2025</v>
      </c>
      <c r="E2499" s="376">
        <v>2026</v>
      </c>
      <c r="F2499" s="376">
        <v>0.37384575124303709</v>
      </c>
      <c r="G2499" s="376">
        <v>9928.6887826901675</v>
      </c>
      <c r="H2499" s="376">
        <v>0.2715120516915453</v>
      </c>
      <c r="I2499" s="376">
        <v>0.85</v>
      </c>
    </row>
    <row r="2500" spans="1:9" x14ac:dyDescent="0.35">
      <c r="A2500" s="376" t="s">
        <v>1612</v>
      </c>
      <c r="B2500" s="376" t="s">
        <v>1609</v>
      </c>
      <c r="C2500" s="376" t="s">
        <v>628</v>
      </c>
      <c r="D2500" s="376">
        <v>2025</v>
      </c>
      <c r="E2500" s="376">
        <v>2026</v>
      </c>
      <c r="F2500" s="376">
        <v>0.37384575124303709</v>
      </c>
      <c r="G2500" s="376">
        <v>9928.6887826901675</v>
      </c>
      <c r="H2500" s="376">
        <v>0.2715120516915453</v>
      </c>
      <c r="I2500" s="376">
        <v>0.85</v>
      </c>
    </row>
    <row r="2501" spans="1:9" x14ac:dyDescent="0.35">
      <c r="A2501" s="376" t="s">
        <v>1612</v>
      </c>
      <c r="B2501" s="376" t="s">
        <v>1609</v>
      </c>
      <c r="C2501" s="376" t="s">
        <v>1051</v>
      </c>
      <c r="D2501" s="376">
        <v>2025</v>
      </c>
      <c r="E2501" s="376">
        <v>2026</v>
      </c>
      <c r="F2501" s="376">
        <v>0.37384575124303709</v>
      </c>
      <c r="G2501" s="376">
        <v>9928.6887826901675</v>
      </c>
      <c r="H2501" s="376">
        <v>0.2715120516915453</v>
      </c>
      <c r="I2501" s="376">
        <v>0.85</v>
      </c>
    </row>
    <row r="2502" spans="1:9" x14ac:dyDescent="0.35">
      <c r="A2502" s="376" t="s">
        <v>1612</v>
      </c>
      <c r="B2502" s="376" t="s">
        <v>1609</v>
      </c>
      <c r="C2502" s="376" t="s">
        <v>1054</v>
      </c>
      <c r="D2502" s="376">
        <v>2025</v>
      </c>
      <c r="E2502" s="376">
        <v>2026</v>
      </c>
      <c r="F2502" s="376">
        <v>0.37384575124303709</v>
      </c>
      <c r="G2502" s="376">
        <v>9928.6887826901675</v>
      </c>
      <c r="H2502" s="376">
        <v>0.2715120516915453</v>
      </c>
      <c r="I2502" s="376">
        <v>0.85</v>
      </c>
    </row>
    <row r="2503" spans="1:9" x14ac:dyDescent="0.35">
      <c r="A2503" s="376" t="s">
        <v>1612</v>
      </c>
      <c r="B2503" s="376" t="s">
        <v>1609</v>
      </c>
      <c r="C2503" s="376" t="s">
        <v>1046</v>
      </c>
      <c r="D2503" s="376">
        <v>2025</v>
      </c>
      <c r="E2503" s="376">
        <v>2027</v>
      </c>
      <c r="F2503" s="376">
        <v>0.37384575124303709</v>
      </c>
      <c r="G2503" s="376">
        <v>9928.6887826901675</v>
      </c>
      <c r="H2503" s="376">
        <v>0.2715120516915453</v>
      </c>
      <c r="I2503" s="376">
        <v>0.85</v>
      </c>
    </row>
    <row r="2504" spans="1:9" x14ac:dyDescent="0.35">
      <c r="A2504" s="376" t="s">
        <v>1612</v>
      </c>
      <c r="B2504" s="376" t="s">
        <v>1609</v>
      </c>
      <c r="C2504" s="376" t="s">
        <v>644</v>
      </c>
      <c r="D2504" s="376">
        <v>2025</v>
      </c>
      <c r="E2504" s="376">
        <v>2027</v>
      </c>
      <c r="F2504" s="376">
        <v>0.37384575124303709</v>
      </c>
      <c r="G2504" s="376">
        <v>9928.6887826901675</v>
      </c>
      <c r="H2504" s="376">
        <v>0.2715120516915453</v>
      </c>
      <c r="I2504" s="376">
        <v>0.85</v>
      </c>
    </row>
    <row r="2505" spans="1:9" x14ac:dyDescent="0.35">
      <c r="A2505" s="376" t="s">
        <v>1612</v>
      </c>
      <c r="B2505" s="376" t="s">
        <v>1609</v>
      </c>
      <c r="C2505" s="376" t="s">
        <v>628</v>
      </c>
      <c r="D2505" s="376">
        <v>2025</v>
      </c>
      <c r="E2505" s="376">
        <v>2027</v>
      </c>
      <c r="F2505" s="376">
        <v>0.37384575124303709</v>
      </c>
      <c r="G2505" s="376">
        <v>9928.6887826901675</v>
      </c>
      <c r="H2505" s="376">
        <v>0.2715120516915453</v>
      </c>
      <c r="I2505" s="376">
        <v>0.85</v>
      </c>
    </row>
    <row r="2506" spans="1:9" x14ac:dyDescent="0.35">
      <c r="A2506" s="376" t="s">
        <v>1612</v>
      </c>
      <c r="B2506" s="376" t="s">
        <v>1609</v>
      </c>
      <c r="C2506" s="376" t="s">
        <v>1051</v>
      </c>
      <c r="D2506" s="376">
        <v>2025</v>
      </c>
      <c r="E2506" s="376">
        <v>2027</v>
      </c>
      <c r="F2506" s="376">
        <v>0.37384575124303709</v>
      </c>
      <c r="G2506" s="376">
        <v>9928.6887826901675</v>
      </c>
      <c r="H2506" s="376">
        <v>0.2715120516915453</v>
      </c>
      <c r="I2506" s="376">
        <v>0.85</v>
      </c>
    </row>
    <row r="2507" spans="1:9" x14ac:dyDescent="0.35">
      <c r="A2507" s="376" t="s">
        <v>1612</v>
      </c>
      <c r="B2507" s="376" t="s">
        <v>1609</v>
      </c>
      <c r="C2507" s="376" t="s">
        <v>1054</v>
      </c>
      <c r="D2507" s="376">
        <v>2025</v>
      </c>
      <c r="E2507" s="376">
        <v>2027</v>
      </c>
      <c r="F2507" s="376">
        <v>0.37384575124303709</v>
      </c>
      <c r="G2507" s="376">
        <v>9928.6887826901675</v>
      </c>
      <c r="H2507" s="376">
        <v>0.2715120516915453</v>
      </c>
      <c r="I2507" s="376">
        <v>0.85</v>
      </c>
    </row>
    <row r="2508" spans="1:9" x14ac:dyDescent="0.35">
      <c r="A2508" s="376" t="s">
        <v>1612</v>
      </c>
      <c r="B2508" s="376" t="s">
        <v>1609</v>
      </c>
      <c r="C2508" s="376" t="s">
        <v>1046</v>
      </c>
      <c r="D2508" s="376">
        <v>2025</v>
      </c>
      <c r="E2508" s="376">
        <v>2028</v>
      </c>
      <c r="F2508" s="376">
        <v>0.37384575124303709</v>
      </c>
      <c r="G2508" s="376">
        <v>9928.6887826901675</v>
      </c>
      <c r="H2508" s="376">
        <v>0.2715120516915453</v>
      </c>
      <c r="I2508" s="376">
        <v>0.85</v>
      </c>
    </row>
    <row r="2509" spans="1:9" x14ac:dyDescent="0.35">
      <c r="A2509" s="376" t="s">
        <v>1612</v>
      </c>
      <c r="B2509" s="376" t="s">
        <v>1609</v>
      </c>
      <c r="C2509" s="376" t="s">
        <v>644</v>
      </c>
      <c r="D2509" s="376">
        <v>2025</v>
      </c>
      <c r="E2509" s="376">
        <v>2028</v>
      </c>
      <c r="F2509" s="376">
        <v>0.37384575124303709</v>
      </c>
      <c r="G2509" s="376">
        <v>9928.6887826901675</v>
      </c>
      <c r="H2509" s="376">
        <v>0.2715120516915453</v>
      </c>
      <c r="I2509" s="376">
        <v>0.85</v>
      </c>
    </row>
    <row r="2510" spans="1:9" x14ac:dyDescent="0.35">
      <c r="A2510" s="376" t="s">
        <v>1612</v>
      </c>
      <c r="B2510" s="376" t="s">
        <v>1609</v>
      </c>
      <c r="C2510" s="376" t="s">
        <v>628</v>
      </c>
      <c r="D2510" s="376">
        <v>2025</v>
      </c>
      <c r="E2510" s="376">
        <v>2028</v>
      </c>
      <c r="F2510" s="376">
        <v>0.37384575124303709</v>
      </c>
      <c r="G2510" s="376">
        <v>9928.6887826901675</v>
      </c>
      <c r="H2510" s="376">
        <v>0.2715120516915453</v>
      </c>
      <c r="I2510" s="376">
        <v>0.85</v>
      </c>
    </row>
    <row r="2511" spans="1:9" x14ac:dyDescent="0.35">
      <c r="A2511" s="376" t="s">
        <v>1612</v>
      </c>
      <c r="B2511" s="376" t="s">
        <v>1609</v>
      </c>
      <c r="C2511" s="376" t="s">
        <v>1051</v>
      </c>
      <c r="D2511" s="376">
        <v>2025</v>
      </c>
      <c r="E2511" s="376">
        <v>2028</v>
      </c>
      <c r="F2511" s="376">
        <v>0.37384575124303709</v>
      </c>
      <c r="G2511" s="376">
        <v>9928.6887826901675</v>
      </c>
      <c r="H2511" s="376">
        <v>0.2715120516915453</v>
      </c>
      <c r="I2511" s="376">
        <v>0.85</v>
      </c>
    </row>
    <row r="2512" spans="1:9" x14ac:dyDescent="0.35">
      <c r="A2512" s="376" t="s">
        <v>1612</v>
      </c>
      <c r="B2512" s="376" t="s">
        <v>1609</v>
      </c>
      <c r="C2512" s="376" t="s">
        <v>1054</v>
      </c>
      <c r="D2512" s="376">
        <v>2025</v>
      </c>
      <c r="E2512" s="376">
        <v>2028</v>
      </c>
      <c r="F2512" s="376">
        <v>0.37384575124303709</v>
      </c>
      <c r="G2512" s="376">
        <v>9928.6887826901675</v>
      </c>
      <c r="H2512" s="376">
        <v>0.2715120516915453</v>
      </c>
      <c r="I2512" s="376">
        <v>0.85</v>
      </c>
    </row>
    <row r="2513" spans="1:9" x14ac:dyDescent="0.35">
      <c r="A2513" s="376" t="s">
        <v>1612</v>
      </c>
      <c r="B2513" s="376" t="s">
        <v>1609</v>
      </c>
      <c r="C2513" s="376" t="s">
        <v>1046</v>
      </c>
      <c r="D2513" s="376">
        <v>2025</v>
      </c>
      <c r="E2513" s="376">
        <v>2029</v>
      </c>
      <c r="F2513" s="376">
        <v>0.37384575124303709</v>
      </c>
      <c r="G2513" s="376">
        <v>9928.6887826901675</v>
      </c>
      <c r="H2513" s="376">
        <v>0.2715120516915453</v>
      </c>
      <c r="I2513" s="376">
        <v>0.85</v>
      </c>
    </row>
    <row r="2514" spans="1:9" x14ac:dyDescent="0.35">
      <c r="A2514" s="376" t="s">
        <v>1612</v>
      </c>
      <c r="B2514" s="376" t="s">
        <v>1609</v>
      </c>
      <c r="C2514" s="376" t="s">
        <v>644</v>
      </c>
      <c r="D2514" s="376">
        <v>2025</v>
      </c>
      <c r="E2514" s="376">
        <v>2029</v>
      </c>
      <c r="F2514" s="376">
        <v>0.37384575124303709</v>
      </c>
      <c r="G2514" s="376">
        <v>9928.6887826901675</v>
      </c>
      <c r="H2514" s="376">
        <v>0.2715120516915453</v>
      </c>
      <c r="I2514" s="376">
        <v>0.85</v>
      </c>
    </row>
    <row r="2515" spans="1:9" x14ac:dyDescent="0.35">
      <c r="A2515" s="376" t="s">
        <v>1612</v>
      </c>
      <c r="B2515" s="376" t="s">
        <v>1609</v>
      </c>
      <c r="C2515" s="376" t="s">
        <v>628</v>
      </c>
      <c r="D2515" s="376">
        <v>2025</v>
      </c>
      <c r="E2515" s="376">
        <v>2029</v>
      </c>
      <c r="F2515" s="376">
        <v>0.37384575124303709</v>
      </c>
      <c r="G2515" s="376">
        <v>9928.6887826901675</v>
      </c>
      <c r="H2515" s="376">
        <v>0.2715120516915453</v>
      </c>
      <c r="I2515" s="376">
        <v>0.85</v>
      </c>
    </row>
    <row r="2516" spans="1:9" x14ac:dyDescent="0.35">
      <c r="A2516" s="376" t="s">
        <v>1612</v>
      </c>
      <c r="B2516" s="376" t="s">
        <v>1609</v>
      </c>
      <c r="C2516" s="376" t="s">
        <v>1051</v>
      </c>
      <c r="D2516" s="376">
        <v>2025</v>
      </c>
      <c r="E2516" s="376">
        <v>2029</v>
      </c>
      <c r="F2516" s="376">
        <v>0.37384575124303709</v>
      </c>
      <c r="G2516" s="376">
        <v>9928.6887826901675</v>
      </c>
      <c r="H2516" s="376">
        <v>0.2715120516915453</v>
      </c>
      <c r="I2516" s="376">
        <v>0.85</v>
      </c>
    </row>
    <row r="2517" spans="1:9" x14ac:dyDescent="0.35">
      <c r="A2517" s="376" t="s">
        <v>1612</v>
      </c>
      <c r="B2517" s="376" t="s">
        <v>1609</v>
      </c>
      <c r="C2517" s="376" t="s">
        <v>1054</v>
      </c>
      <c r="D2517" s="376">
        <v>2025</v>
      </c>
      <c r="E2517" s="376">
        <v>2029</v>
      </c>
      <c r="F2517" s="376">
        <v>0.37384575124303709</v>
      </c>
      <c r="G2517" s="376">
        <v>9928.6887826901675</v>
      </c>
      <c r="H2517" s="376">
        <v>0.2715120516915453</v>
      </c>
      <c r="I2517" s="376">
        <v>0.85</v>
      </c>
    </row>
    <row r="2518" spans="1:9" x14ac:dyDescent="0.35">
      <c r="A2518" s="376" t="s">
        <v>1612</v>
      </c>
      <c r="B2518" s="376" t="s">
        <v>1609</v>
      </c>
      <c r="C2518" s="376" t="s">
        <v>1046</v>
      </c>
      <c r="D2518" s="376">
        <v>2025</v>
      </c>
      <c r="E2518" s="376">
        <v>2030</v>
      </c>
      <c r="F2518" s="376">
        <v>0.37384575124303709</v>
      </c>
      <c r="G2518" s="376">
        <v>9928.6887826901675</v>
      </c>
      <c r="H2518" s="376">
        <v>0.2715120516915453</v>
      </c>
      <c r="I2518" s="376">
        <v>0.85</v>
      </c>
    </row>
    <row r="2519" spans="1:9" x14ac:dyDescent="0.35">
      <c r="A2519" s="376" t="s">
        <v>1612</v>
      </c>
      <c r="B2519" s="376" t="s">
        <v>1609</v>
      </c>
      <c r="C2519" s="376" t="s">
        <v>644</v>
      </c>
      <c r="D2519" s="376">
        <v>2025</v>
      </c>
      <c r="E2519" s="376">
        <v>2030</v>
      </c>
      <c r="F2519" s="376">
        <v>0.37384575124303709</v>
      </c>
      <c r="G2519" s="376">
        <v>9928.6887826901675</v>
      </c>
      <c r="H2519" s="376">
        <v>0.2715120516915453</v>
      </c>
      <c r="I2519" s="376">
        <v>0.85</v>
      </c>
    </row>
    <row r="2520" spans="1:9" x14ac:dyDescent="0.35">
      <c r="A2520" s="376" t="s">
        <v>1612</v>
      </c>
      <c r="B2520" s="376" t="s">
        <v>1609</v>
      </c>
      <c r="C2520" s="376" t="s">
        <v>628</v>
      </c>
      <c r="D2520" s="376">
        <v>2025</v>
      </c>
      <c r="E2520" s="376">
        <v>2030</v>
      </c>
      <c r="F2520" s="376">
        <v>0.37384575124303709</v>
      </c>
      <c r="G2520" s="376">
        <v>9928.6887826901675</v>
      </c>
      <c r="H2520" s="376">
        <v>0.2715120516915453</v>
      </c>
      <c r="I2520" s="376">
        <v>0.85</v>
      </c>
    </row>
    <row r="2521" spans="1:9" x14ac:dyDescent="0.35">
      <c r="A2521" s="376" t="s">
        <v>1612</v>
      </c>
      <c r="B2521" s="376" t="s">
        <v>1609</v>
      </c>
      <c r="C2521" s="376" t="s">
        <v>1051</v>
      </c>
      <c r="D2521" s="376">
        <v>2025</v>
      </c>
      <c r="E2521" s="376">
        <v>2030</v>
      </c>
      <c r="F2521" s="376">
        <v>0.37384575124303709</v>
      </c>
      <c r="G2521" s="376">
        <v>9928.6887826901675</v>
      </c>
      <c r="H2521" s="376">
        <v>0.2715120516915453</v>
      </c>
      <c r="I2521" s="376">
        <v>0.85</v>
      </c>
    </row>
    <row r="2522" spans="1:9" x14ac:dyDescent="0.35">
      <c r="A2522" s="376" t="s">
        <v>1612</v>
      </c>
      <c r="B2522" s="376" t="s">
        <v>1609</v>
      </c>
      <c r="C2522" s="376" t="s">
        <v>1054</v>
      </c>
      <c r="D2522" s="376">
        <v>2025</v>
      </c>
      <c r="E2522" s="376">
        <v>2030</v>
      </c>
      <c r="F2522" s="376">
        <v>0.37384575124303709</v>
      </c>
      <c r="G2522" s="376">
        <v>9928.6887826901675</v>
      </c>
      <c r="H2522" s="376">
        <v>0.2715120516915453</v>
      </c>
      <c r="I2522" s="376">
        <v>0.85</v>
      </c>
    </row>
    <row r="2523" spans="1:9" x14ac:dyDescent="0.35">
      <c r="A2523" s="376" t="s">
        <v>1612</v>
      </c>
      <c r="B2523" s="376" t="s">
        <v>1609</v>
      </c>
      <c r="C2523" s="376" t="s">
        <v>1046</v>
      </c>
      <c r="D2523" s="376">
        <v>2025</v>
      </c>
      <c r="E2523" s="376">
        <v>2031</v>
      </c>
      <c r="F2523" s="376">
        <v>0.37384575124303709</v>
      </c>
      <c r="G2523" s="376">
        <v>9928.6887826901675</v>
      </c>
      <c r="H2523" s="376">
        <v>0.2715120516915453</v>
      </c>
      <c r="I2523" s="376">
        <v>0.85</v>
      </c>
    </row>
    <row r="2524" spans="1:9" x14ac:dyDescent="0.35">
      <c r="A2524" s="376" t="s">
        <v>1612</v>
      </c>
      <c r="B2524" s="376" t="s">
        <v>1609</v>
      </c>
      <c r="C2524" s="376" t="s">
        <v>644</v>
      </c>
      <c r="D2524" s="376">
        <v>2025</v>
      </c>
      <c r="E2524" s="376">
        <v>2031</v>
      </c>
      <c r="F2524" s="376">
        <v>0.37384575124303709</v>
      </c>
      <c r="G2524" s="376">
        <v>9928.6887826901675</v>
      </c>
      <c r="H2524" s="376">
        <v>0.2715120516915453</v>
      </c>
      <c r="I2524" s="376">
        <v>0.85</v>
      </c>
    </row>
    <row r="2525" spans="1:9" x14ac:dyDescent="0.35">
      <c r="A2525" s="376" t="s">
        <v>1612</v>
      </c>
      <c r="B2525" s="376" t="s">
        <v>1609</v>
      </c>
      <c r="C2525" s="376" t="s">
        <v>628</v>
      </c>
      <c r="D2525" s="376">
        <v>2025</v>
      </c>
      <c r="E2525" s="376">
        <v>2031</v>
      </c>
      <c r="F2525" s="376">
        <v>0.37384575124303709</v>
      </c>
      <c r="G2525" s="376">
        <v>9928.6887826901675</v>
      </c>
      <c r="H2525" s="376">
        <v>0.2715120516915453</v>
      </c>
      <c r="I2525" s="376">
        <v>0.85</v>
      </c>
    </row>
    <row r="2526" spans="1:9" x14ac:dyDescent="0.35">
      <c r="A2526" s="376" t="s">
        <v>1612</v>
      </c>
      <c r="B2526" s="376" t="s">
        <v>1609</v>
      </c>
      <c r="C2526" s="376" t="s">
        <v>1051</v>
      </c>
      <c r="D2526" s="376">
        <v>2025</v>
      </c>
      <c r="E2526" s="376">
        <v>2031</v>
      </c>
      <c r="F2526" s="376">
        <v>0.37384575124303709</v>
      </c>
      <c r="G2526" s="376">
        <v>9928.6887826901675</v>
      </c>
      <c r="H2526" s="376">
        <v>0.2715120516915453</v>
      </c>
      <c r="I2526" s="376">
        <v>0.85</v>
      </c>
    </row>
    <row r="2527" spans="1:9" x14ac:dyDescent="0.35">
      <c r="A2527" s="376" t="s">
        <v>1612</v>
      </c>
      <c r="B2527" s="376" t="s">
        <v>1609</v>
      </c>
      <c r="C2527" s="376" t="s">
        <v>1054</v>
      </c>
      <c r="D2527" s="376">
        <v>2025</v>
      </c>
      <c r="E2527" s="376">
        <v>2031</v>
      </c>
      <c r="F2527" s="376">
        <v>0.37384575124303709</v>
      </c>
      <c r="G2527" s="376">
        <v>9928.6887826901675</v>
      </c>
      <c r="H2527" s="376">
        <v>0.2715120516915453</v>
      </c>
      <c r="I2527" s="376">
        <v>0.85</v>
      </c>
    </row>
    <row r="2528" spans="1:9" x14ac:dyDescent="0.35">
      <c r="A2528" s="376" t="s">
        <v>1613</v>
      </c>
      <c r="B2528" s="376" t="s">
        <v>1609</v>
      </c>
      <c r="C2528" s="376" t="s">
        <v>1046</v>
      </c>
      <c r="D2528" s="376">
        <v>2025</v>
      </c>
      <c r="E2528" s="376">
        <v>2025</v>
      </c>
      <c r="F2528" s="376">
        <v>0.40444272241720852</v>
      </c>
      <c r="G2528" s="376">
        <v>8848.5269568257354</v>
      </c>
      <c r="H2528" s="376">
        <v>0.26531649349605579</v>
      </c>
      <c r="I2528" s="376">
        <v>0.85</v>
      </c>
    </row>
    <row r="2529" spans="1:9" x14ac:dyDescent="0.35">
      <c r="A2529" s="376" t="s">
        <v>1613</v>
      </c>
      <c r="B2529" s="376" t="s">
        <v>1609</v>
      </c>
      <c r="C2529" s="376" t="s">
        <v>644</v>
      </c>
      <c r="D2529" s="376">
        <v>2025</v>
      </c>
      <c r="E2529" s="376">
        <v>2025</v>
      </c>
      <c r="F2529" s="376">
        <v>0.40444272241720852</v>
      </c>
      <c r="G2529" s="376">
        <v>8848.5269568257354</v>
      </c>
      <c r="H2529" s="376">
        <v>0.26531649349605579</v>
      </c>
      <c r="I2529" s="376">
        <v>0.85</v>
      </c>
    </row>
    <row r="2530" spans="1:9" x14ac:dyDescent="0.35">
      <c r="A2530" s="376" t="s">
        <v>1613</v>
      </c>
      <c r="B2530" s="376" t="s">
        <v>1609</v>
      </c>
      <c r="C2530" s="376" t="s">
        <v>628</v>
      </c>
      <c r="D2530" s="376">
        <v>2025</v>
      </c>
      <c r="E2530" s="376">
        <v>2025</v>
      </c>
      <c r="F2530" s="376">
        <v>0.40444272241720852</v>
      </c>
      <c r="G2530" s="376">
        <v>8848.5269568257354</v>
      </c>
      <c r="H2530" s="376">
        <v>0.26531649349605579</v>
      </c>
      <c r="I2530" s="376">
        <v>0.85</v>
      </c>
    </row>
    <row r="2531" spans="1:9" x14ac:dyDescent="0.35">
      <c r="A2531" s="376" t="s">
        <v>1613</v>
      </c>
      <c r="B2531" s="376" t="s">
        <v>1609</v>
      </c>
      <c r="C2531" s="376" t="s">
        <v>1051</v>
      </c>
      <c r="D2531" s="376">
        <v>2025</v>
      </c>
      <c r="E2531" s="376">
        <v>2025</v>
      </c>
      <c r="F2531" s="376">
        <v>0.40444272241720852</v>
      </c>
      <c r="G2531" s="376">
        <v>8848.5269568257354</v>
      </c>
      <c r="H2531" s="376">
        <v>0.26531649349605579</v>
      </c>
      <c r="I2531" s="376">
        <v>0.85</v>
      </c>
    </row>
    <row r="2532" spans="1:9" x14ac:dyDescent="0.35">
      <c r="A2532" s="376" t="s">
        <v>1613</v>
      </c>
      <c r="B2532" s="376" t="s">
        <v>1609</v>
      </c>
      <c r="C2532" s="376" t="s">
        <v>1054</v>
      </c>
      <c r="D2532" s="376">
        <v>2025</v>
      </c>
      <c r="E2532" s="376">
        <v>2025</v>
      </c>
      <c r="F2532" s="376">
        <v>0.40444272241720852</v>
      </c>
      <c r="G2532" s="376">
        <v>8848.5269568257354</v>
      </c>
      <c r="H2532" s="376">
        <v>0.26531649349605579</v>
      </c>
      <c r="I2532" s="376">
        <v>0.85</v>
      </c>
    </row>
    <row r="2533" spans="1:9" x14ac:dyDescent="0.35">
      <c r="A2533" s="376" t="s">
        <v>1613</v>
      </c>
      <c r="B2533" s="376" t="s">
        <v>1609</v>
      </c>
      <c r="C2533" s="376" t="s">
        <v>1046</v>
      </c>
      <c r="D2533" s="376">
        <v>2025</v>
      </c>
      <c r="E2533" s="376">
        <v>2026</v>
      </c>
      <c r="F2533" s="376">
        <v>0.40444272241720852</v>
      </c>
      <c r="G2533" s="376">
        <v>8848.5269568257354</v>
      </c>
      <c r="H2533" s="376">
        <v>0.26531649349605579</v>
      </c>
      <c r="I2533" s="376">
        <v>0.85</v>
      </c>
    </row>
    <row r="2534" spans="1:9" x14ac:dyDescent="0.35">
      <c r="A2534" s="376" t="s">
        <v>1613</v>
      </c>
      <c r="B2534" s="376" t="s">
        <v>1609</v>
      </c>
      <c r="C2534" s="376" t="s">
        <v>644</v>
      </c>
      <c r="D2534" s="376">
        <v>2025</v>
      </c>
      <c r="E2534" s="376">
        <v>2026</v>
      </c>
      <c r="F2534" s="376">
        <v>0.40444272241720852</v>
      </c>
      <c r="G2534" s="376">
        <v>8848.5269568257354</v>
      </c>
      <c r="H2534" s="376">
        <v>0.26531649349605579</v>
      </c>
      <c r="I2534" s="376">
        <v>0.85</v>
      </c>
    </row>
    <row r="2535" spans="1:9" x14ac:dyDescent="0.35">
      <c r="A2535" s="376" t="s">
        <v>1613</v>
      </c>
      <c r="B2535" s="376" t="s">
        <v>1609</v>
      </c>
      <c r="C2535" s="376" t="s">
        <v>628</v>
      </c>
      <c r="D2535" s="376">
        <v>2025</v>
      </c>
      <c r="E2535" s="376">
        <v>2026</v>
      </c>
      <c r="F2535" s="376">
        <v>0.40444272241720852</v>
      </c>
      <c r="G2535" s="376">
        <v>8848.5269568257354</v>
      </c>
      <c r="H2535" s="376">
        <v>0.26531649349605579</v>
      </c>
      <c r="I2535" s="376">
        <v>0.85</v>
      </c>
    </row>
    <row r="2536" spans="1:9" x14ac:dyDescent="0.35">
      <c r="A2536" s="376" t="s">
        <v>1613</v>
      </c>
      <c r="B2536" s="376" t="s">
        <v>1609</v>
      </c>
      <c r="C2536" s="376" t="s">
        <v>1051</v>
      </c>
      <c r="D2536" s="376">
        <v>2025</v>
      </c>
      <c r="E2536" s="376">
        <v>2026</v>
      </c>
      <c r="F2536" s="376">
        <v>0.40444272241720852</v>
      </c>
      <c r="G2536" s="376">
        <v>8848.5269568257354</v>
      </c>
      <c r="H2536" s="376">
        <v>0.26531649349605579</v>
      </c>
      <c r="I2536" s="376">
        <v>0.85</v>
      </c>
    </row>
    <row r="2537" spans="1:9" x14ac:dyDescent="0.35">
      <c r="A2537" s="376" t="s">
        <v>1613</v>
      </c>
      <c r="B2537" s="376" t="s">
        <v>1609</v>
      </c>
      <c r="C2537" s="376" t="s">
        <v>1054</v>
      </c>
      <c r="D2537" s="376">
        <v>2025</v>
      </c>
      <c r="E2537" s="376">
        <v>2026</v>
      </c>
      <c r="F2537" s="376">
        <v>0.40444272241720852</v>
      </c>
      <c r="G2537" s="376">
        <v>8848.5269568257354</v>
      </c>
      <c r="H2537" s="376">
        <v>0.26531649349605579</v>
      </c>
      <c r="I2537" s="376">
        <v>0.85</v>
      </c>
    </row>
    <row r="2538" spans="1:9" x14ac:dyDescent="0.35">
      <c r="A2538" s="376" t="s">
        <v>1613</v>
      </c>
      <c r="B2538" s="376" t="s">
        <v>1609</v>
      </c>
      <c r="C2538" s="376" t="s">
        <v>1046</v>
      </c>
      <c r="D2538" s="376">
        <v>2025</v>
      </c>
      <c r="E2538" s="376">
        <v>2027</v>
      </c>
      <c r="F2538" s="376">
        <v>0.40444272241720852</v>
      </c>
      <c r="G2538" s="376">
        <v>8848.5269568257354</v>
      </c>
      <c r="H2538" s="376">
        <v>0.26531649349605579</v>
      </c>
      <c r="I2538" s="376">
        <v>0.85</v>
      </c>
    </row>
    <row r="2539" spans="1:9" x14ac:dyDescent="0.35">
      <c r="A2539" s="376" t="s">
        <v>1613</v>
      </c>
      <c r="B2539" s="376" t="s">
        <v>1609</v>
      </c>
      <c r="C2539" s="376" t="s">
        <v>644</v>
      </c>
      <c r="D2539" s="376">
        <v>2025</v>
      </c>
      <c r="E2539" s="376">
        <v>2027</v>
      </c>
      <c r="F2539" s="376">
        <v>0.40444272241720852</v>
      </c>
      <c r="G2539" s="376">
        <v>8848.5269568257354</v>
      </c>
      <c r="H2539" s="376">
        <v>0.26531649349605579</v>
      </c>
      <c r="I2539" s="376">
        <v>0.85</v>
      </c>
    </row>
    <row r="2540" spans="1:9" x14ac:dyDescent="0.35">
      <c r="A2540" s="376" t="s">
        <v>1613</v>
      </c>
      <c r="B2540" s="376" t="s">
        <v>1609</v>
      </c>
      <c r="C2540" s="376" t="s">
        <v>628</v>
      </c>
      <c r="D2540" s="376">
        <v>2025</v>
      </c>
      <c r="E2540" s="376">
        <v>2027</v>
      </c>
      <c r="F2540" s="376">
        <v>0.40444272241720852</v>
      </c>
      <c r="G2540" s="376">
        <v>8848.5269568257354</v>
      </c>
      <c r="H2540" s="376">
        <v>0.26531649349605579</v>
      </c>
      <c r="I2540" s="376">
        <v>0.85</v>
      </c>
    </row>
    <row r="2541" spans="1:9" x14ac:dyDescent="0.35">
      <c r="A2541" s="376" t="s">
        <v>1613</v>
      </c>
      <c r="B2541" s="376" t="s">
        <v>1609</v>
      </c>
      <c r="C2541" s="376" t="s">
        <v>1051</v>
      </c>
      <c r="D2541" s="376">
        <v>2025</v>
      </c>
      <c r="E2541" s="376">
        <v>2027</v>
      </c>
      <c r="F2541" s="376">
        <v>0.40444272241720852</v>
      </c>
      <c r="G2541" s="376">
        <v>8848.5269568257354</v>
      </c>
      <c r="H2541" s="376">
        <v>0.26531649349605579</v>
      </c>
      <c r="I2541" s="376">
        <v>0.85</v>
      </c>
    </row>
    <row r="2542" spans="1:9" x14ac:dyDescent="0.35">
      <c r="A2542" s="376" t="s">
        <v>1613</v>
      </c>
      <c r="B2542" s="376" t="s">
        <v>1609</v>
      </c>
      <c r="C2542" s="376" t="s">
        <v>1054</v>
      </c>
      <c r="D2542" s="376">
        <v>2025</v>
      </c>
      <c r="E2542" s="376">
        <v>2027</v>
      </c>
      <c r="F2542" s="376">
        <v>0.40444272241720852</v>
      </c>
      <c r="G2542" s="376">
        <v>8848.5269568257354</v>
      </c>
      <c r="H2542" s="376">
        <v>0.26531649349605579</v>
      </c>
      <c r="I2542" s="376">
        <v>0.85</v>
      </c>
    </row>
    <row r="2543" spans="1:9" x14ac:dyDescent="0.35">
      <c r="A2543" s="376" t="s">
        <v>1613</v>
      </c>
      <c r="B2543" s="376" t="s">
        <v>1609</v>
      </c>
      <c r="C2543" s="376" t="s">
        <v>1046</v>
      </c>
      <c r="D2543" s="376">
        <v>2025</v>
      </c>
      <c r="E2543" s="376">
        <v>2028</v>
      </c>
      <c r="F2543" s="376">
        <v>0.40444272241720852</v>
      </c>
      <c r="G2543" s="376">
        <v>8848.5269568257354</v>
      </c>
      <c r="H2543" s="376">
        <v>0.26531649349605579</v>
      </c>
      <c r="I2543" s="376">
        <v>0.85</v>
      </c>
    </row>
    <row r="2544" spans="1:9" x14ac:dyDescent="0.35">
      <c r="A2544" s="376" t="s">
        <v>1613</v>
      </c>
      <c r="B2544" s="376" t="s">
        <v>1609</v>
      </c>
      <c r="C2544" s="376" t="s">
        <v>644</v>
      </c>
      <c r="D2544" s="376">
        <v>2025</v>
      </c>
      <c r="E2544" s="376">
        <v>2028</v>
      </c>
      <c r="F2544" s="376">
        <v>0.40444272241720852</v>
      </c>
      <c r="G2544" s="376">
        <v>8848.5269568257354</v>
      </c>
      <c r="H2544" s="376">
        <v>0.26531649349605579</v>
      </c>
      <c r="I2544" s="376">
        <v>0.85</v>
      </c>
    </row>
    <row r="2545" spans="1:9" x14ac:dyDescent="0.35">
      <c r="A2545" s="376" t="s">
        <v>1613</v>
      </c>
      <c r="B2545" s="376" t="s">
        <v>1609</v>
      </c>
      <c r="C2545" s="376" t="s">
        <v>628</v>
      </c>
      <c r="D2545" s="376">
        <v>2025</v>
      </c>
      <c r="E2545" s="376">
        <v>2028</v>
      </c>
      <c r="F2545" s="376">
        <v>0.40444272241720852</v>
      </c>
      <c r="G2545" s="376">
        <v>8848.5269568257354</v>
      </c>
      <c r="H2545" s="376">
        <v>0.26531649349605579</v>
      </c>
      <c r="I2545" s="376">
        <v>0.85</v>
      </c>
    </row>
    <row r="2546" spans="1:9" x14ac:dyDescent="0.35">
      <c r="A2546" s="376" t="s">
        <v>1613</v>
      </c>
      <c r="B2546" s="376" t="s">
        <v>1609</v>
      </c>
      <c r="C2546" s="376" t="s">
        <v>1051</v>
      </c>
      <c r="D2546" s="376">
        <v>2025</v>
      </c>
      <c r="E2546" s="376">
        <v>2028</v>
      </c>
      <c r="F2546" s="376">
        <v>0.40444272241720852</v>
      </c>
      <c r="G2546" s="376">
        <v>8848.5269568257354</v>
      </c>
      <c r="H2546" s="376">
        <v>0.26531649349605579</v>
      </c>
      <c r="I2546" s="376">
        <v>0.85</v>
      </c>
    </row>
    <row r="2547" spans="1:9" x14ac:dyDescent="0.35">
      <c r="A2547" s="376" t="s">
        <v>1613</v>
      </c>
      <c r="B2547" s="376" t="s">
        <v>1609</v>
      </c>
      <c r="C2547" s="376" t="s">
        <v>1054</v>
      </c>
      <c r="D2547" s="376">
        <v>2025</v>
      </c>
      <c r="E2547" s="376">
        <v>2028</v>
      </c>
      <c r="F2547" s="376">
        <v>0.40444272241720852</v>
      </c>
      <c r="G2547" s="376">
        <v>8848.5269568257354</v>
      </c>
      <c r="H2547" s="376">
        <v>0.26531649349605579</v>
      </c>
      <c r="I2547" s="376">
        <v>0.85</v>
      </c>
    </row>
    <row r="2548" spans="1:9" x14ac:dyDescent="0.35">
      <c r="A2548" s="376" t="s">
        <v>1613</v>
      </c>
      <c r="B2548" s="376" t="s">
        <v>1609</v>
      </c>
      <c r="C2548" s="376" t="s">
        <v>1046</v>
      </c>
      <c r="D2548" s="376">
        <v>2025</v>
      </c>
      <c r="E2548" s="376">
        <v>2029</v>
      </c>
      <c r="F2548" s="376">
        <v>0.40444272241720852</v>
      </c>
      <c r="G2548" s="376">
        <v>8848.5269568257354</v>
      </c>
      <c r="H2548" s="376">
        <v>0.26531649349605579</v>
      </c>
      <c r="I2548" s="376">
        <v>0.85</v>
      </c>
    </row>
    <row r="2549" spans="1:9" x14ac:dyDescent="0.35">
      <c r="A2549" s="376" t="s">
        <v>1613</v>
      </c>
      <c r="B2549" s="376" t="s">
        <v>1609</v>
      </c>
      <c r="C2549" s="376" t="s">
        <v>644</v>
      </c>
      <c r="D2549" s="376">
        <v>2025</v>
      </c>
      <c r="E2549" s="376">
        <v>2029</v>
      </c>
      <c r="F2549" s="376">
        <v>0.40444272241720852</v>
      </c>
      <c r="G2549" s="376">
        <v>8848.5269568257354</v>
      </c>
      <c r="H2549" s="376">
        <v>0.26531649349605579</v>
      </c>
      <c r="I2549" s="376">
        <v>0.85</v>
      </c>
    </row>
    <row r="2550" spans="1:9" x14ac:dyDescent="0.35">
      <c r="A2550" s="376" t="s">
        <v>1613</v>
      </c>
      <c r="B2550" s="376" t="s">
        <v>1609</v>
      </c>
      <c r="C2550" s="376" t="s">
        <v>628</v>
      </c>
      <c r="D2550" s="376">
        <v>2025</v>
      </c>
      <c r="E2550" s="376">
        <v>2029</v>
      </c>
      <c r="F2550" s="376">
        <v>0.40444272241720852</v>
      </c>
      <c r="G2550" s="376">
        <v>8848.5269568257354</v>
      </c>
      <c r="H2550" s="376">
        <v>0.26531649349605579</v>
      </c>
      <c r="I2550" s="376">
        <v>0.85</v>
      </c>
    </row>
    <row r="2551" spans="1:9" x14ac:dyDescent="0.35">
      <c r="A2551" s="376" t="s">
        <v>1613</v>
      </c>
      <c r="B2551" s="376" t="s">
        <v>1609</v>
      </c>
      <c r="C2551" s="376" t="s">
        <v>1051</v>
      </c>
      <c r="D2551" s="376">
        <v>2025</v>
      </c>
      <c r="E2551" s="376">
        <v>2029</v>
      </c>
      <c r="F2551" s="376">
        <v>0.40444272241720852</v>
      </c>
      <c r="G2551" s="376">
        <v>8848.5269568257354</v>
      </c>
      <c r="H2551" s="376">
        <v>0.26531649349605579</v>
      </c>
      <c r="I2551" s="376">
        <v>0.85</v>
      </c>
    </row>
    <row r="2552" spans="1:9" x14ac:dyDescent="0.35">
      <c r="A2552" s="376" t="s">
        <v>1613</v>
      </c>
      <c r="B2552" s="376" t="s">
        <v>1609</v>
      </c>
      <c r="C2552" s="376" t="s">
        <v>1054</v>
      </c>
      <c r="D2552" s="376">
        <v>2025</v>
      </c>
      <c r="E2552" s="376">
        <v>2029</v>
      </c>
      <c r="F2552" s="376">
        <v>0.40444272241720852</v>
      </c>
      <c r="G2552" s="376">
        <v>8848.5269568257354</v>
      </c>
      <c r="H2552" s="376">
        <v>0.26531649349605579</v>
      </c>
      <c r="I2552" s="376">
        <v>0.85</v>
      </c>
    </row>
    <row r="2553" spans="1:9" x14ac:dyDescent="0.35">
      <c r="A2553" s="376" t="s">
        <v>1613</v>
      </c>
      <c r="B2553" s="376" t="s">
        <v>1609</v>
      </c>
      <c r="C2553" s="376" t="s">
        <v>1046</v>
      </c>
      <c r="D2553" s="376">
        <v>2025</v>
      </c>
      <c r="E2553" s="376">
        <v>2030</v>
      </c>
      <c r="F2553" s="376">
        <v>0.40444272241720852</v>
      </c>
      <c r="G2553" s="376">
        <v>8848.5269568257354</v>
      </c>
      <c r="H2553" s="376">
        <v>0.26531649349605579</v>
      </c>
      <c r="I2553" s="376">
        <v>0.85</v>
      </c>
    </row>
    <row r="2554" spans="1:9" x14ac:dyDescent="0.35">
      <c r="A2554" s="376" t="s">
        <v>1613</v>
      </c>
      <c r="B2554" s="376" t="s">
        <v>1609</v>
      </c>
      <c r="C2554" s="376" t="s">
        <v>644</v>
      </c>
      <c r="D2554" s="376">
        <v>2025</v>
      </c>
      <c r="E2554" s="376">
        <v>2030</v>
      </c>
      <c r="F2554" s="376">
        <v>0.40444272241720852</v>
      </c>
      <c r="G2554" s="376">
        <v>8848.5269568257354</v>
      </c>
      <c r="H2554" s="376">
        <v>0.26531649349605579</v>
      </c>
      <c r="I2554" s="376">
        <v>0.85</v>
      </c>
    </row>
    <row r="2555" spans="1:9" x14ac:dyDescent="0.35">
      <c r="A2555" s="376" t="s">
        <v>1613</v>
      </c>
      <c r="B2555" s="376" t="s">
        <v>1609</v>
      </c>
      <c r="C2555" s="376" t="s">
        <v>628</v>
      </c>
      <c r="D2555" s="376">
        <v>2025</v>
      </c>
      <c r="E2555" s="376">
        <v>2030</v>
      </c>
      <c r="F2555" s="376">
        <v>0.40444272241720852</v>
      </c>
      <c r="G2555" s="376">
        <v>8848.5269568257354</v>
      </c>
      <c r="H2555" s="376">
        <v>0.26531649349605579</v>
      </c>
      <c r="I2555" s="376">
        <v>0.85</v>
      </c>
    </row>
    <row r="2556" spans="1:9" x14ac:dyDescent="0.35">
      <c r="A2556" s="376" t="s">
        <v>1613</v>
      </c>
      <c r="B2556" s="376" t="s">
        <v>1609</v>
      </c>
      <c r="C2556" s="376" t="s">
        <v>1051</v>
      </c>
      <c r="D2556" s="376">
        <v>2025</v>
      </c>
      <c r="E2556" s="376">
        <v>2030</v>
      </c>
      <c r="F2556" s="376">
        <v>0.40444272241720852</v>
      </c>
      <c r="G2556" s="376">
        <v>8848.5269568257354</v>
      </c>
      <c r="H2556" s="376">
        <v>0.26531649349605579</v>
      </c>
      <c r="I2556" s="376">
        <v>0.85</v>
      </c>
    </row>
    <row r="2557" spans="1:9" x14ac:dyDescent="0.35">
      <c r="A2557" s="376" t="s">
        <v>1613</v>
      </c>
      <c r="B2557" s="376" t="s">
        <v>1609</v>
      </c>
      <c r="C2557" s="376" t="s">
        <v>1054</v>
      </c>
      <c r="D2557" s="376">
        <v>2025</v>
      </c>
      <c r="E2557" s="376">
        <v>2030</v>
      </c>
      <c r="F2557" s="376">
        <v>0.40444272241720852</v>
      </c>
      <c r="G2557" s="376">
        <v>8848.5269568257354</v>
      </c>
      <c r="H2557" s="376">
        <v>0.26531649349605579</v>
      </c>
      <c r="I2557" s="376">
        <v>0.85</v>
      </c>
    </row>
    <row r="2558" spans="1:9" x14ac:dyDescent="0.35">
      <c r="A2558" s="376" t="s">
        <v>1613</v>
      </c>
      <c r="B2558" s="376" t="s">
        <v>1609</v>
      </c>
      <c r="C2558" s="376" t="s">
        <v>1046</v>
      </c>
      <c r="D2558" s="376">
        <v>2025</v>
      </c>
      <c r="E2558" s="376">
        <v>2031</v>
      </c>
      <c r="F2558" s="376">
        <v>0.40444272241720852</v>
      </c>
      <c r="G2558" s="376">
        <v>8848.5269568257354</v>
      </c>
      <c r="H2558" s="376">
        <v>0.26531649349605579</v>
      </c>
      <c r="I2558" s="376">
        <v>0.85</v>
      </c>
    </row>
    <row r="2559" spans="1:9" x14ac:dyDescent="0.35">
      <c r="A2559" s="376" t="s">
        <v>1613</v>
      </c>
      <c r="B2559" s="376" t="s">
        <v>1609</v>
      </c>
      <c r="C2559" s="376" t="s">
        <v>644</v>
      </c>
      <c r="D2559" s="376">
        <v>2025</v>
      </c>
      <c r="E2559" s="376">
        <v>2031</v>
      </c>
      <c r="F2559" s="376">
        <v>0.40444272241720852</v>
      </c>
      <c r="G2559" s="376">
        <v>8848.5269568257354</v>
      </c>
      <c r="H2559" s="376">
        <v>0.26531649349605579</v>
      </c>
      <c r="I2559" s="376">
        <v>0.85</v>
      </c>
    </row>
    <row r="2560" spans="1:9" x14ac:dyDescent="0.35">
      <c r="A2560" s="376" t="s">
        <v>1613</v>
      </c>
      <c r="B2560" s="376" t="s">
        <v>1609</v>
      </c>
      <c r="C2560" s="376" t="s">
        <v>628</v>
      </c>
      <c r="D2560" s="376">
        <v>2025</v>
      </c>
      <c r="E2560" s="376">
        <v>2031</v>
      </c>
      <c r="F2560" s="376">
        <v>0.40444272241720852</v>
      </c>
      <c r="G2560" s="376">
        <v>8848.5269568257354</v>
      </c>
      <c r="H2560" s="376">
        <v>0.26531649349605579</v>
      </c>
      <c r="I2560" s="376">
        <v>0.85</v>
      </c>
    </row>
    <row r="2561" spans="1:9" x14ac:dyDescent="0.35">
      <c r="A2561" s="376" t="s">
        <v>1613</v>
      </c>
      <c r="B2561" s="376" t="s">
        <v>1609</v>
      </c>
      <c r="C2561" s="376" t="s">
        <v>1051</v>
      </c>
      <c r="D2561" s="376">
        <v>2025</v>
      </c>
      <c r="E2561" s="376">
        <v>2031</v>
      </c>
      <c r="F2561" s="376">
        <v>0.40444272241720852</v>
      </c>
      <c r="G2561" s="376">
        <v>8848.5269568257354</v>
      </c>
      <c r="H2561" s="376">
        <v>0.26531649349605579</v>
      </c>
      <c r="I2561" s="376">
        <v>0.85</v>
      </c>
    </row>
    <row r="2562" spans="1:9" x14ac:dyDescent="0.35">
      <c r="A2562" s="376" t="s">
        <v>1613</v>
      </c>
      <c r="B2562" s="376" t="s">
        <v>1609</v>
      </c>
      <c r="C2562" s="376" t="s">
        <v>1054</v>
      </c>
      <c r="D2562" s="376">
        <v>2025</v>
      </c>
      <c r="E2562" s="376">
        <v>2031</v>
      </c>
      <c r="F2562" s="376">
        <v>0.40444272241720852</v>
      </c>
      <c r="G2562" s="376">
        <v>8848.5269568257354</v>
      </c>
      <c r="H2562" s="376">
        <v>0.26531649349605579</v>
      </c>
      <c r="I2562" s="376">
        <v>0.85</v>
      </c>
    </row>
    <row r="2563" spans="1:9" x14ac:dyDescent="0.35">
      <c r="A2563" s="376" t="s">
        <v>1614</v>
      </c>
      <c r="B2563" s="376" t="s">
        <v>1609</v>
      </c>
      <c r="C2563" s="376" t="s">
        <v>1046</v>
      </c>
      <c r="D2563" s="376">
        <v>2025</v>
      </c>
      <c r="E2563" s="376">
        <v>2025</v>
      </c>
      <c r="F2563" s="376">
        <v>0.28070162831646173</v>
      </c>
      <c r="G2563" s="376">
        <v>6454.3984013550207</v>
      </c>
      <c r="H2563" s="376">
        <v>0.26531649349605579</v>
      </c>
      <c r="I2563" s="376">
        <v>0.85</v>
      </c>
    </row>
    <row r="2564" spans="1:9" x14ac:dyDescent="0.35">
      <c r="A2564" s="376" t="s">
        <v>1614</v>
      </c>
      <c r="B2564" s="376" t="s">
        <v>1609</v>
      </c>
      <c r="C2564" s="376" t="s">
        <v>644</v>
      </c>
      <c r="D2564" s="376">
        <v>2025</v>
      </c>
      <c r="E2564" s="376">
        <v>2025</v>
      </c>
      <c r="F2564" s="376">
        <v>0.28070162831646173</v>
      </c>
      <c r="G2564" s="376">
        <v>6454.3984013550207</v>
      </c>
      <c r="H2564" s="376">
        <v>0.26531649349605579</v>
      </c>
      <c r="I2564" s="376">
        <v>0.85</v>
      </c>
    </row>
    <row r="2565" spans="1:9" x14ac:dyDescent="0.35">
      <c r="A2565" s="376" t="s">
        <v>1614</v>
      </c>
      <c r="B2565" s="376" t="s">
        <v>1609</v>
      </c>
      <c r="C2565" s="376" t="s">
        <v>628</v>
      </c>
      <c r="D2565" s="376">
        <v>2025</v>
      </c>
      <c r="E2565" s="376">
        <v>2025</v>
      </c>
      <c r="F2565" s="376">
        <v>0.28070162831646173</v>
      </c>
      <c r="G2565" s="376">
        <v>6454.3984013550207</v>
      </c>
      <c r="H2565" s="376">
        <v>0.26531649349605579</v>
      </c>
      <c r="I2565" s="376">
        <v>0.85</v>
      </c>
    </row>
    <row r="2566" spans="1:9" x14ac:dyDescent="0.35">
      <c r="A2566" s="376" t="s">
        <v>1614</v>
      </c>
      <c r="B2566" s="376" t="s">
        <v>1609</v>
      </c>
      <c r="C2566" s="376" t="s">
        <v>1051</v>
      </c>
      <c r="D2566" s="376">
        <v>2025</v>
      </c>
      <c r="E2566" s="376">
        <v>2025</v>
      </c>
      <c r="F2566" s="376">
        <v>0.28070162831646173</v>
      </c>
      <c r="G2566" s="376">
        <v>6454.3984013550207</v>
      </c>
      <c r="H2566" s="376">
        <v>0.26531649349605579</v>
      </c>
      <c r="I2566" s="376">
        <v>0.85</v>
      </c>
    </row>
    <row r="2567" spans="1:9" x14ac:dyDescent="0.35">
      <c r="A2567" s="376" t="s">
        <v>1614</v>
      </c>
      <c r="B2567" s="376" t="s">
        <v>1609</v>
      </c>
      <c r="C2567" s="376" t="s">
        <v>1054</v>
      </c>
      <c r="D2567" s="376">
        <v>2025</v>
      </c>
      <c r="E2567" s="376">
        <v>2025</v>
      </c>
      <c r="F2567" s="376">
        <v>0.28070162831646173</v>
      </c>
      <c r="G2567" s="376">
        <v>6454.3984013550207</v>
      </c>
      <c r="H2567" s="376">
        <v>0.26531649349605579</v>
      </c>
      <c r="I2567" s="376">
        <v>0.85</v>
      </c>
    </row>
    <row r="2568" spans="1:9" x14ac:dyDescent="0.35">
      <c r="A2568" s="376" t="s">
        <v>1614</v>
      </c>
      <c r="B2568" s="376" t="s">
        <v>1609</v>
      </c>
      <c r="C2568" s="376" t="s">
        <v>1046</v>
      </c>
      <c r="D2568" s="376">
        <v>2025</v>
      </c>
      <c r="E2568" s="376">
        <v>2026</v>
      </c>
      <c r="F2568" s="376">
        <v>0.28070162831646173</v>
      </c>
      <c r="G2568" s="376">
        <v>6454.3984013550207</v>
      </c>
      <c r="H2568" s="376">
        <v>0.26531649349605579</v>
      </c>
      <c r="I2568" s="376">
        <v>0.85</v>
      </c>
    </row>
    <row r="2569" spans="1:9" x14ac:dyDescent="0.35">
      <c r="A2569" s="376" t="s">
        <v>1614</v>
      </c>
      <c r="B2569" s="376" t="s">
        <v>1609</v>
      </c>
      <c r="C2569" s="376" t="s">
        <v>644</v>
      </c>
      <c r="D2569" s="376">
        <v>2025</v>
      </c>
      <c r="E2569" s="376">
        <v>2026</v>
      </c>
      <c r="F2569" s="376">
        <v>0.28070162831646173</v>
      </c>
      <c r="G2569" s="376">
        <v>6454.3984013550207</v>
      </c>
      <c r="H2569" s="376">
        <v>0.26531649349605579</v>
      </c>
      <c r="I2569" s="376">
        <v>0.85</v>
      </c>
    </row>
    <row r="2570" spans="1:9" x14ac:dyDescent="0.35">
      <c r="A2570" s="376" t="s">
        <v>1614</v>
      </c>
      <c r="B2570" s="376" t="s">
        <v>1609</v>
      </c>
      <c r="C2570" s="376" t="s">
        <v>628</v>
      </c>
      <c r="D2570" s="376">
        <v>2025</v>
      </c>
      <c r="E2570" s="376">
        <v>2026</v>
      </c>
      <c r="F2570" s="376">
        <v>0.28070162831646173</v>
      </c>
      <c r="G2570" s="376">
        <v>6454.3984013550207</v>
      </c>
      <c r="H2570" s="376">
        <v>0.26531649349605579</v>
      </c>
      <c r="I2570" s="376">
        <v>0.85</v>
      </c>
    </row>
    <row r="2571" spans="1:9" x14ac:dyDescent="0.35">
      <c r="A2571" s="376" t="s">
        <v>1614</v>
      </c>
      <c r="B2571" s="376" t="s">
        <v>1609</v>
      </c>
      <c r="C2571" s="376" t="s">
        <v>1051</v>
      </c>
      <c r="D2571" s="376">
        <v>2025</v>
      </c>
      <c r="E2571" s="376">
        <v>2026</v>
      </c>
      <c r="F2571" s="376">
        <v>0.28070162831646173</v>
      </c>
      <c r="G2571" s="376">
        <v>6454.3984013550207</v>
      </c>
      <c r="H2571" s="376">
        <v>0.26531649349605579</v>
      </c>
      <c r="I2571" s="376">
        <v>0.85</v>
      </c>
    </row>
    <row r="2572" spans="1:9" x14ac:dyDescent="0.35">
      <c r="A2572" s="376" t="s">
        <v>1614</v>
      </c>
      <c r="B2572" s="376" t="s">
        <v>1609</v>
      </c>
      <c r="C2572" s="376" t="s">
        <v>1054</v>
      </c>
      <c r="D2572" s="376">
        <v>2025</v>
      </c>
      <c r="E2572" s="376">
        <v>2026</v>
      </c>
      <c r="F2572" s="376">
        <v>0.28070162831646173</v>
      </c>
      <c r="G2572" s="376">
        <v>6454.3984013550207</v>
      </c>
      <c r="H2572" s="376">
        <v>0.26531649349605579</v>
      </c>
      <c r="I2572" s="376">
        <v>0.85</v>
      </c>
    </row>
    <row r="2573" spans="1:9" x14ac:dyDescent="0.35">
      <c r="A2573" s="376" t="s">
        <v>1614</v>
      </c>
      <c r="B2573" s="376" t="s">
        <v>1609</v>
      </c>
      <c r="C2573" s="376" t="s">
        <v>1046</v>
      </c>
      <c r="D2573" s="376">
        <v>2025</v>
      </c>
      <c r="E2573" s="376">
        <v>2027</v>
      </c>
      <c r="F2573" s="376">
        <v>0.28070162831646173</v>
      </c>
      <c r="G2573" s="376">
        <v>6454.3984013550207</v>
      </c>
      <c r="H2573" s="376">
        <v>0.26531649349605579</v>
      </c>
      <c r="I2573" s="376">
        <v>0.85</v>
      </c>
    </row>
    <row r="2574" spans="1:9" x14ac:dyDescent="0.35">
      <c r="A2574" s="376" t="s">
        <v>1614</v>
      </c>
      <c r="B2574" s="376" t="s">
        <v>1609</v>
      </c>
      <c r="C2574" s="376" t="s">
        <v>644</v>
      </c>
      <c r="D2574" s="376">
        <v>2025</v>
      </c>
      <c r="E2574" s="376">
        <v>2027</v>
      </c>
      <c r="F2574" s="376">
        <v>0.28070162831646173</v>
      </c>
      <c r="G2574" s="376">
        <v>6454.3984013550207</v>
      </c>
      <c r="H2574" s="376">
        <v>0.26531649349605579</v>
      </c>
      <c r="I2574" s="376">
        <v>0.85</v>
      </c>
    </row>
    <row r="2575" spans="1:9" x14ac:dyDescent="0.35">
      <c r="A2575" s="376" t="s">
        <v>1614</v>
      </c>
      <c r="B2575" s="376" t="s">
        <v>1609</v>
      </c>
      <c r="C2575" s="376" t="s">
        <v>628</v>
      </c>
      <c r="D2575" s="376">
        <v>2025</v>
      </c>
      <c r="E2575" s="376">
        <v>2027</v>
      </c>
      <c r="F2575" s="376">
        <v>0.28070162831646173</v>
      </c>
      <c r="G2575" s="376">
        <v>6454.3984013550207</v>
      </c>
      <c r="H2575" s="376">
        <v>0.26531649349605579</v>
      </c>
      <c r="I2575" s="376">
        <v>0.85</v>
      </c>
    </row>
    <row r="2576" spans="1:9" x14ac:dyDescent="0.35">
      <c r="A2576" s="376" t="s">
        <v>1614</v>
      </c>
      <c r="B2576" s="376" t="s">
        <v>1609</v>
      </c>
      <c r="C2576" s="376" t="s">
        <v>1051</v>
      </c>
      <c r="D2576" s="376">
        <v>2025</v>
      </c>
      <c r="E2576" s="376">
        <v>2027</v>
      </c>
      <c r="F2576" s="376">
        <v>0.28070162831646173</v>
      </c>
      <c r="G2576" s="376">
        <v>6454.3984013550207</v>
      </c>
      <c r="H2576" s="376">
        <v>0.26531649349605579</v>
      </c>
      <c r="I2576" s="376">
        <v>0.85</v>
      </c>
    </row>
    <row r="2577" spans="1:9" x14ac:dyDescent="0.35">
      <c r="A2577" s="376" t="s">
        <v>1614</v>
      </c>
      <c r="B2577" s="376" t="s">
        <v>1609</v>
      </c>
      <c r="C2577" s="376" t="s">
        <v>1054</v>
      </c>
      <c r="D2577" s="376">
        <v>2025</v>
      </c>
      <c r="E2577" s="376">
        <v>2027</v>
      </c>
      <c r="F2577" s="376">
        <v>0.28070162831646173</v>
      </c>
      <c r="G2577" s="376">
        <v>6454.3984013550207</v>
      </c>
      <c r="H2577" s="376">
        <v>0.26531649349605579</v>
      </c>
      <c r="I2577" s="376">
        <v>0.85</v>
      </c>
    </row>
    <row r="2578" spans="1:9" x14ac:dyDescent="0.35">
      <c r="A2578" s="376" t="s">
        <v>1614</v>
      </c>
      <c r="B2578" s="376" t="s">
        <v>1609</v>
      </c>
      <c r="C2578" s="376" t="s">
        <v>1046</v>
      </c>
      <c r="D2578" s="376">
        <v>2025</v>
      </c>
      <c r="E2578" s="376">
        <v>2028</v>
      </c>
      <c r="F2578" s="376">
        <v>0.28070162831646173</v>
      </c>
      <c r="G2578" s="376">
        <v>6454.3984013550207</v>
      </c>
      <c r="H2578" s="376">
        <v>0.26531649349605579</v>
      </c>
      <c r="I2578" s="376">
        <v>0.85</v>
      </c>
    </row>
    <row r="2579" spans="1:9" x14ac:dyDescent="0.35">
      <c r="A2579" s="376" t="s">
        <v>1614</v>
      </c>
      <c r="B2579" s="376" t="s">
        <v>1609</v>
      </c>
      <c r="C2579" s="376" t="s">
        <v>644</v>
      </c>
      <c r="D2579" s="376">
        <v>2025</v>
      </c>
      <c r="E2579" s="376">
        <v>2028</v>
      </c>
      <c r="F2579" s="376">
        <v>0.28070162831646173</v>
      </c>
      <c r="G2579" s="376">
        <v>6454.3984013550207</v>
      </c>
      <c r="H2579" s="376">
        <v>0.26531649349605579</v>
      </c>
      <c r="I2579" s="376">
        <v>0.85</v>
      </c>
    </row>
    <row r="2580" spans="1:9" x14ac:dyDescent="0.35">
      <c r="A2580" s="376" t="s">
        <v>1614</v>
      </c>
      <c r="B2580" s="376" t="s">
        <v>1609</v>
      </c>
      <c r="C2580" s="376" t="s">
        <v>628</v>
      </c>
      <c r="D2580" s="376">
        <v>2025</v>
      </c>
      <c r="E2580" s="376">
        <v>2028</v>
      </c>
      <c r="F2580" s="376">
        <v>0.28070162831646173</v>
      </c>
      <c r="G2580" s="376">
        <v>6454.3984013550207</v>
      </c>
      <c r="H2580" s="376">
        <v>0.26531649349605579</v>
      </c>
      <c r="I2580" s="376">
        <v>0.85</v>
      </c>
    </row>
    <row r="2581" spans="1:9" x14ac:dyDescent="0.35">
      <c r="A2581" s="376" t="s">
        <v>1614</v>
      </c>
      <c r="B2581" s="376" t="s">
        <v>1609</v>
      </c>
      <c r="C2581" s="376" t="s">
        <v>1051</v>
      </c>
      <c r="D2581" s="376">
        <v>2025</v>
      </c>
      <c r="E2581" s="376">
        <v>2028</v>
      </c>
      <c r="F2581" s="376">
        <v>0.28070162831646173</v>
      </c>
      <c r="G2581" s="376">
        <v>6454.3984013550207</v>
      </c>
      <c r="H2581" s="376">
        <v>0.26531649349605579</v>
      </c>
      <c r="I2581" s="376">
        <v>0.85</v>
      </c>
    </row>
    <row r="2582" spans="1:9" x14ac:dyDescent="0.35">
      <c r="A2582" s="376" t="s">
        <v>1614</v>
      </c>
      <c r="B2582" s="376" t="s">
        <v>1609</v>
      </c>
      <c r="C2582" s="376" t="s">
        <v>1054</v>
      </c>
      <c r="D2582" s="376">
        <v>2025</v>
      </c>
      <c r="E2582" s="376">
        <v>2028</v>
      </c>
      <c r="F2582" s="376">
        <v>0.28070162831646173</v>
      </c>
      <c r="G2582" s="376">
        <v>6454.3984013550207</v>
      </c>
      <c r="H2582" s="376">
        <v>0.26531649349605579</v>
      </c>
      <c r="I2582" s="376">
        <v>0.85</v>
      </c>
    </row>
    <row r="2583" spans="1:9" x14ac:dyDescent="0.35">
      <c r="A2583" s="376" t="s">
        <v>1614</v>
      </c>
      <c r="B2583" s="376" t="s">
        <v>1609</v>
      </c>
      <c r="C2583" s="376" t="s">
        <v>1046</v>
      </c>
      <c r="D2583" s="376">
        <v>2025</v>
      </c>
      <c r="E2583" s="376">
        <v>2029</v>
      </c>
      <c r="F2583" s="376">
        <v>0.28070162831646173</v>
      </c>
      <c r="G2583" s="376">
        <v>6454.3984013550207</v>
      </c>
      <c r="H2583" s="376">
        <v>0.26531649349605579</v>
      </c>
      <c r="I2583" s="376">
        <v>0.85</v>
      </c>
    </row>
    <row r="2584" spans="1:9" x14ac:dyDescent="0.35">
      <c r="A2584" s="376" t="s">
        <v>1614</v>
      </c>
      <c r="B2584" s="376" t="s">
        <v>1609</v>
      </c>
      <c r="C2584" s="376" t="s">
        <v>644</v>
      </c>
      <c r="D2584" s="376">
        <v>2025</v>
      </c>
      <c r="E2584" s="376">
        <v>2029</v>
      </c>
      <c r="F2584" s="376">
        <v>0.28070162831646173</v>
      </c>
      <c r="G2584" s="376">
        <v>6454.3984013550207</v>
      </c>
      <c r="H2584" s="376">
        <v>0.26531649349605579</v>
      </c>
      <c r="I2584" s="376">
        <v>0.85</v>
      </c>
    </row>
    <row r="2585" spans="1:9" x14ac:dyDescent="0.35">
      <c r="A2585" s="376" t="s">
        <v>1614</v>
      </c>
      <c r="B2585" s="376" t="s">
        <v>1609</v>
      </c>
      <c r="C2585" s="376" t="s">
        <v>628</v>
      </c>
      <c r="D2585" s="376">
        <v>2025</v>
      </c>
      <c r="E2585" s="376">
        <v>2029</v>
      </c>
      <c r="F2585" s="376">
        <v>0.28070162831646173</v>
      </c>
      <c r="G2585" s="376">
        <v>6454.3984013550207</v>
      </c>
      <c r="H2585" s="376">
        <v>0.26531649349605579</v>
      </c>
      <c r="I2585" s="376">
        <v>0.85</v>
      </c>
    </row>
    <row r="2586" spans="1:9" x14ac:dyDescent="0.35">
      <c r="A2586" s="376" t="s">
        <v>1614</v>
      </c>
      <c r="B2586" s="376" t="s">
        <v>1609</v>
      </c>
      <c r="C2586" s="376" t="s">
        <v>1051</v>
      </c>
      <c r="D2586" s="376">
        <v>2025</v>
      </c>
      <c r="E2586" s="376">
        <v>2029</v>
      </c>
      <c r="F2586" s="376">
        <v>0.28070162831646173</v>
      </c>
      <c r="G2586" s="376">
        <v>6454.3984013550207</v>
      </c>
      <c r="H2586" s="376">
        <v>0.26531649349605579</v>
      </c>
      <c r="I2586" s="376">
        <v>0.85</v>
      </c>
    </row>
    <row r="2587" spans="1:9" x14ac:dyDescent="0.35">
      <c r="A2587" s="376" t="s">
        <v>1614</v>
      </c>
      <c r="B2587" s="376" t="s">
        <v>1609</v>
      </c>
      <c r="C2587" s="376" t="s">
        <v>1054</v>
      </c>
      <c r="D2587" s="376">
        <v>2025</v>
      </c>
      <c r="E2587" s="376">
        <v>2029</v>
      </c>
      <c r="F2587" s="376">
        <v>0.28070162831646173</v>
      </c>
      <c r="G2587" s="376">
        <v>6454.3984013550207</v>
      </c>
      <c r="H2587" s="376">
        <v>0.26531649349605579</v>
      </c>
      <c r="I2587" s="376">
        <v>0.85</v>
      </c>
    </row>
    <row r="2588" spans="1:9" x14ac:dyDescent="0.35">
      <c r="A2588" s="376" t="s">
        <v>1614</v>
      </c>
      <c r="B2588" s="376" t="s">
        <v>1609</v>
      </c>
      <c r="C2588" s="376" t="s">
        <v>1046</v>
      </c>
      <c r="D2588" s="376">
        <v>2025</v>
      </c>
      <c r="E2588" s="376">
        <v>2030</v>
      </c>
      <c r="F2588" s="376">
        <v>0.28070162831646173</v>
      </c>
      <c r="G2588" s="376">
        <v>6454.3984013550207</v>
      </c>
      <c r="H2588" s="376">
        <v>0.26531649349605579</v>
      </c>
      <c r="I2588" s="376">
        <v>0.85</v>
      </c>
    </row>
    <row r="2589" spans="1:9" x14ac:dyDescent="0.35">
      <c r="A2589" s="376" t="s">
        <v>1614</v>
      </c>
      <c r="B2589" s="376" t="s">
        <v>1609</v>
      </c>
      <c r="C2589" s="376" t="s">
        <v>644</v>
      </c>
      <c r="D2589" s="376">
        <v>2025</v>
      </c>
      <c r="E2589" s="376">
        <v>2030</v>
      </c>
      <c r="F2589" s="376">
        <v>0.28070162831646173</v>
      </c>
      <c r="G2589" s="376">
        <v>6454.3984013550207</v>
      </c>
      <c r="H2589" s="376">
        <v>0.26531649349605579</v>
      </c>
      <c r="I2589" s="376">
        <v>0.85</v>
      </c>
    </row>
    <row r="2590" spans="1:9" x14ac:dyDescent="0.35">
      <c r="A2590" s="376" t="s">
        <v>1614</v>
      </c>
      <c r="B2590" s="376" t="s">
        <v>1609</v>
      </c>
      <c r="C2590" s="376" t="s">
        <v>628</v>
      </c>
      <c r="D2590" s="376">
        <v>2025</v>
      </c>
      <c r="E2590" s="376">
        <v>2030</v>
      </c>
      <c r="F2590" s="376">
        <v>0.28070162831646173</v>
      </c>
      <c r="G2590" s="376">
        <v>6454.3984013550207</v>
      </c>
      <c r="H2590" s="376">
        <v>0.26531649349605579</v>
      </c>
      <c r="I2590" s="376">
        <v>0.85</v>
      </c>
    </row>
    <row r="2591" spans="1:9" x14ac:dyDescent="0.35">
      <c r="A2591" s="376" t="s">
        <v>1614</v>
      </c>
      <c r="B2591" s="376" t="s">
        <v>1609</v>
      </c>
      <c r="C2591" s="376" t="s">
        <v>1051</v>
      </c>
      <c r="D2591" s="376">
        <v>2025</v>
      </c>
      <c r="E2591" s="376">
        <v>2030</v>
      </c>
      <c r="F2591" s="376">
        <v>0.28070162831646173</v>
      </c>
      <c r="G2591" s="376">
        <v>6454.3984013550207</v>
      </c>
      <c r="H2591" s="376">
        <v>0.26531649349605579</v>
      </c>
      <c r="I2591" s="376">
        <v>0.85</v>
      </c>
    </row>
    <row r="2592" spans="1:9" x14ac:dyDescent="0.35">
      <c r="A2592" s="376" t="s">
        <v>1614</v>
      </c>
      <c r="B2592" s="376" t="s">
        <v>1609</v>
      </c>
      <c r="C2592" s="376" t="s">
        <v>1054</v>
      </c>
      <c r="D2592" s="376">
        <v>2025</v>
      </c>
      <c r="E2592" s="376">
        <v>2030</v>
      </c>
      <c r="F2592" s="376">
        <v>0.28070162831646173</v>
      </c>
      <c r="G2592" s="376">
        <v>6454.3984013550207</v>
      </c>
      <c r="H2592" s="376">
        <v>0.26531649349605579</v>
      </c>
      <c r="I2592" s="376">
        <v>0.85</v>
      </c>
    </row>
    <row r="2593" spans="1:9" x14ac:dyDescent="0.35">
      <c r="A2593" s="376" t="s">
        <v>1614</v>
      </c>
      <c r="B2593" s="376" t="s">
        <v>1609</v>
      </c>
      <c r="C2593" s="376" t="s">
        <v>1046</v>
      </c>
      <c r="D2593" s="376">
        <v>2025</v>
      </c>
      <c r="E2593" s="376">
        <v>2031</v>
      </c>
      <c r="F2593" s="376">
        <v>0.28070162831646173</v>
      </c>
      <c r="G2593" s="376">
        <v>6454.3984013550207</v>
      </c>
      <c r="H2593" s="376">
        <v>0.26531649349605579</v>
      </c>
      <c r="I2593" s="376">
        <v>0.85</v>
      </c>
    </row>
    <row r="2594" spans="1:9" x14ac:dyDescent="0.35">
      <c r="A2594" s="376" t="s">
        <v>1614</v>
      </c>
      <c r="B2594" s="376" t="s">
        <v>1609</v>
      </c>
      <c r="C2594" s="376" t="s">
        <v>644</v>
      </c>
      <c r="D2594" s="376">
        <v>2025</v>
      </c>
      <c r="E2594" s="376">
        <v>2031</v>
      </c>
      <c r="F2594" s="376">
        <v>0.28070162831646173</v>
      </c>
      <c r="G2594" s="376">
        <v>6454.3984013550207</v>
      </c>
      <c r="H2594" s="376">
        <v>0.26531649349605579</v>
      </c>
      <c r="I2594" s="376">
        <v>0.85</v>
      </c>
    </row>
    <row r="2595" spans="1:9" x14ac:dyDescent="0.35">
      <c r="A2595" s="376" t="s">
        <v>1614</v>
      </c>
      <c r="B2595" s="376" t="s">
        <v>1609</v>
      </c>
      <c r="C2595" s="376" t="s">
        <v>628</v>
      </c>
      <c r="D2595" s="376">
        <v>2025</v>
      </c>
      <c r="E2595" s="376">
        <v>2031</v>
      </c>
      <c r="F2595" s="376">
        <v>0.28070162831646173</v>
      </c>
      <c r="G2595" s="376">
        <v>6454.3984013550207</v>
      </c>
      <c r="H2595" s="376">
        <v>0.26531649349605579</v>
      </c>
      <c r="I2595" s="376">
        <v>0.85</v>
      </c>
    </row>
    <row r="2596" spans="1:9" x14ac:dyDescent="0.35">
      <c r="A2596" s="376" t="s">
        <v>1614</v>
      </c>
      <c r="B2596" s="376" t="s">
        <v>1609</v>
      </c>
      <c r="C2596" s="376" t="s">
        <v>1051</v>
      </c>
      <c r="D2596" s="376">
        <v>2025</v>
      </c>
      <c r="E2596" s="376">
        <v>2031</v>
      </c>
      <c r="F2596" s="376">
        <v>0.28070162831646173</v>
      </c>
      <c r="G2596" s="376">
        <v>6454.3984013550207</v>
      </c>
      <c r="H2596" s="376">
        <v>0.26531649349605579</v>
      </c>
      <c r="I2596" s="376">
        <v>0.85</v>
      </c>
    </row>
    <row r="2597" spans="1:9" x14ac:dyDescent="0.35">
      <c r="A2597" s="376" t="s">
        <v>1614</v>
      </c>
      <c r="B2597" s="376" t="s">
        <v>1609</v>
      </c>
      <c r="C2597" s="376" t="s">
        <v>1054</v>
      </c>
      <c r="D2597" s="376">
        <v>2025</v>
      </c>
      <c r="E2597" s="376">
        <v>2031</v>
      </c>
      <c r="F2597" s="376">
        <v>0.28070162831646173</v>
      </c>
      <c r="G2597" s="376">
        <v>6454.3984013550207</v>
      </c>
      <c r="H2597" s="376">
        <v>0.26531649349605579</v>
      </c>
      <c r="I2597" s="376">
        <v>0.85</v>
      </c>
    </row>
    <row r="2598" spans="1:9" x14ac:dyDescent="0.35">
      <c r="A2598" s="376" t="s">
        <v>1604</v>
      </c>
      <c r="B2598" s="376" t="s">
        <v>1609</v>
      </c>
      <c r="C2598" s="376" t="s">
        <v>1046</v>
      </c>
      <c r="D2598" s="376">
        <v>2025</v>
      </c>
      <c r="E2598" s="376">
        <v>2025</v>
      </c>
      <c r="F2598" s="376">
        <v>1</v>
      </c>
      <c r="G2598" s="376">
        <v>10872.741503138899</v>
      </c>
      <c r="H2598" s="376">
        <v>0</v>
      </c>
      <c r="I2598" s="376">
        <v>1</v>
      </c>
    </row>
    <row r="2599" spans="1:9" x14ac:dyDescent="0.35">
      <c r="A2599" s="376" t="s">
        <v>1604</v>
      </c>
      <c r="B2599" s="376" t="s">
        <v>1609</v>
      </c>
      <c r="C2599" s="376" t="s">
        <v>644</v>
      </c>
      <c r="D2599" s="376">
        <v>2025</v>
      </c>
      <c r="E2599" s="376">
        <v>2025</v>
      </c>
      <c r="F2599" s="376">
        <v>1</v>
      </c>
      <c r="G2599" s="376">
        <v>10872.741503138899</v>
      </c>
      <c r="H2599" s="376">
        <v>0</v>
      </c>
      <c r="I2599" s="376">
        <v>1</v>
      </c>
    </row>
    <row r="2600" spans="1:9" x14ac:dyDescent="0.35">
      <c r="A2600" s="376" t="s">
        <v>1604</v>
      </c>
      <c r="B2600" s="376" t="s">
        <v>1609</v>
      </c>
      <c r="C2600" s="376" t="s">
        <v>628</v>
      </c>
      <c r="D2600" s="376">
        <v>2025</v>
      </c>
      <c r="E2600" s="376">
        <v>2025</v>
      </c>
      <c r="F2600" s="376">
        <v>1</v>
      </c>
      <c r="G2600" s="376">
        <v>10872.741503138899</v>
      </c>
      <c r="H2600" s="376">
        <v>0</v>
      </c>
      <c r="I2600" s="376">
        <v>1</v>
      </c>
    </row>
    <row r="2601" spans="1:9" x14ac:dyDescent="0.35">
      <c r="A2601" s="376" t="s">
        <v>1604</v>
      </c>
      <c r="B2601" s="376" t="s">
        <v>1609</v>
      </c>
      <c r="C2601" s="376" t="s">
        <v>1051</v>
      </c>
      <c r="D2601" s="376">
        <v>2025</v>
      </c>
      <c r="E2601" s="376">
        <v>2025</v>
      </c>
      <c r="F2601" s="376">
        <v>1</v>
      </c>
      <c r="G2601" s="376">
        <v>10872.741503138899</v>
      </c>
      <c r="H2601" s="376">
        <v>0</v>
      </c>
      <c r="I2601" s="376">
        <v>1</v>
      </c>
    </row>
    <row r="2602" spans="1:9" x14ac:dyDescent="0.35">
      <c r="A2602" s="376" t="s">
        <v>1604</v>
      </c>
      <c r="B2602" s="376" t="s">
        <v>1609</v>
      </c>
      <c r="C2602" s="376" t="s">
        <v>1054</v>
      </c>
      <c r="D2602" s="376">
        <v>2025</v>
      </c>
      <c r="E2602" s="376">
        <v>2025</v>
      </c>
      <c r="F2602" s="376">
        <v>1</v>
      </c>
      <c r="G2602" s="376">
        <v>10872.741503138899</v>
      </c>
      <c r="H2602" s="376">
        <v>0</v>
      </c>
      <c r="I2602" s="376">
        <v>1</v>
      </c>
    </row>
    <row r="2603" spans="1:9" x14ac:dyDescent="0.35">
      <c r="A2603" s="376" t="s">
        <v>1604</v>
      </c>
      <c r="B2603" s="376" t="s">
        <v>1609</v>
      </c>
      <c r="C2603" s="376" t="s">
        <v>1046</v>
      </c>
      <c r="D2603" s="376">
        <v>2025</v>
      </c>
      <c r="E2603" s="376">
        <v>2026</v>
      </c>
      <c r="F2603" s="376">
        <v>1</v>
      </c>
      <c r="G2603" s="376">
        <v>10872.741503138899</v>
      </c>
      <c r="H2603" s="376">
        <v>0</v>
      </c>
      <c r="I2603" s="376">
        <v>1</v>
      </c>
    </row>
    <row r="2604" spans="1:9" x14ac:dyDescent="0.35">
      <c r="A2604" s="376" t="s">
        <v>1604</v>
      </c>
      <c r="B2604" s="376" t="s">
        <v>1609</v>
      </c>
      <c r="C2604" s="376" t="s">
        <v>644</v>
      </c>
      <c r="D2604" s="376">
        <v>2025</v>
      </c>
      <c r="E2604" s="376">
        <v>2026</v>
      </c>
      <c r="F2604" s="376">
        <v>1</v>
      </c>
      <c r="G2604" s="376">
        <v>10872.741503138899</v>
      </c>
      <c r="H2604" s="376">
        <v>0</v>
      </c>
      <c r="I2604" s="376">
        <v>1</v>
      </c>
    </row>
    <row r="2605" spans="1:9" x14ac:dyDescent="0.35">
      <c r="A2605" s="376" t="s">
        <v>1604</v>
      </c>
      <c r="B2605" s="376" t="s">
        <v>1609</v>
      </c>
      <c r="C2605" s="376" t="s">
        <v>628</v>
      </c>
      <c r="D2605" s="376">
        <v>2025</v>
      </c>
      <c r="E2605" s="376">
        <v>2026</v>
      </c>
      <c r="F2605" s="376">
        <v>1</v>
      </c>
      <c r="G2605" s="376">
        <v>10872.741503138899</v>
      </c>
      <c r="H2605" s="376">
        <v>0</v>
      </c>
      <c r="I2605" s="376">
        <v>1</v>
      </c>
    </row>
    <row r="2606" spans="1:9" x14ac:dyDescent="0.35">
      <c r="A2606" s="376" t="s">
        <v>1604</v>
      </c>
      <c r="B2606" s="376" t="s">
        <v>1609</v>
      </c>
      <c r="C2606" s="376" t="s">
        <v>1051</v>
      </c>
      <c r="D2606" s="376">
        <v>2025</v>
      </c>
      <c r="E2606" s="376">
        <v>2026</v>
      </c>
      <c r="F2606" s="376">
        <v>1</v>
      </c>
      <c r="G2606" s="376">
        <v>10872.741503138899</v>
      </c>
      <c r="H2606" s="376">
        <v>0</v>
      </c>
      <c r="I2606" s="376">
        <v>1</v>
      </c>
    </row>
    <row r="2607" spans="1:9" x14ac:dyDescent="0.35">
      <c r="A2607" s="376" t="s">
        <v>1604</v>
      </c>
      <c r="B2607" s="376" t="s">
        <v>1609</v>
      </c>
      <c r="C2607" s="376" t="s">
        <v>1054</v>
      </c>
      <c r="D2607" s="376">
        <v>2025</v>
      </c>
      <c r="E2607" s="376">
        <v>2026</v>
      </c>
      <c r="F2607" s="376">
        <v>1</v>
      </c>
      <c r="G2607" s="376">
        <v>10872.741503138899</v>
      </c>
      <c r="H2607" s="376">
        <v>0</v>
      </c>
      <c r="I2607" s="376">
        <v>1</v>
      </c>
    </row>
    <row r="2608" spans="1:9" x14ac:dyDescent="0.35">
      <c r="A2608" s="376" t="s">
        <v>1604</v>
      </c>
      <c r="B2608" s="376" t="s">
        <v>1609</v>
      </c>
      <c r="C2608" s="376" t="s">
        <v>1046</v>
      </c>
      <c r="D2608" s="376">
        <v>2025</v>
      </c>
      <c r="E2608" s="376">
        <v>2027</v>
      </c>
      <c r="F2608" s="376">
        <v>1</v>
      </c>
      <c r="G2608" s="376">
        <v>10872.741503138899</v>
      </c>
      <c r="H2608" s="376">
        <v>0</v>
      </c>
      <c r="I2608" s="376">
        <v>1</v>
      </c>
    </row>
    <row r="2609" spans="1:9" x14ac:dyDescent="0.35">
      <c r="A2609" s="376" t="s">
        <v>1604</v>
      </c>
      <c r="B2609" s="376" t="s">
        <v>1609</v>
      </c>
      <c r="C2609" s="376" t="s">
        <v>644</v>
      </c>
      <c r="D2609" s="376">
        <v>2025</v>
      </c>
      <c r="E2609" s="376">
        <v>2027</v>
      </c>
      <c r="F2609" s="376">
        <v>1</v>
      </c>
      <c r="G2609" s="376">
        <v>10872.741503138899</v>
      </c>
      <c r="H2609" s="376">
        <v>0</v>
      </c>
      <c r="I2609" s="376">
        <v>1</v>
      </c>
    </row>
    <row r="2610" spans="1:9" x14ac:dyDescent="0.35">
      <c r="A2610" s="376" t="s">
        <v>1604</v>
      </c>
      <c r="B2610" s="376" t="s">
        <v>1609</v>
      </c>
      <c r="C2610" s="376" t="s">
        <v>628</v>
      </c>
      <c r="D2610" s="376">
        <v>2025</v>
      </c>
      <c r="E2610" s="376">
        <v>2027</v>
      </c>
      <c r="F2610" s="376">
        <v>1</v>
      </c>
      <c r="G2610" s="376">
        <v>10872.741503138899</v>
      </c>
      <c r="H2610" s="376">
        <v>0</v>
      </c>
      <c r="I2610" s="376">
        <v>1</v>
      </c>
    </row>
    <row r="2611" spans="1:9" x14ac:dyDescent="0.35">
      <c r="A2611" s="376" t="s">
        <v>1604</v>
      </c>
      <c r="B2611" s="376" t="s">
        <v>1609</v>
      </c>
      <c r="C2611" s="376" t="s">
        <v>1051</v>
      </c>
      <c r="D2611" s="376">
        <v>2025</v>
      </c>
      <c r="E2611" s="376">
        <v>2027</v>
      </c>
      <c r="F2611" s="376">
        <v>1</v>
      </c>
      <c r="G2611" s="376">
        <v>10872.741503138899</v>
      </c>
      <c r="H2611" s="376">
        <v>0</v>
      </c>
      <c r="I2611" s="376">
        <v>1</v>
      </c>
    </row>
    <row r="2612" spans="1:9" x14ac:dyDescent="0.35">
      <c r="A2612" s="376" t="s">
        <v>1604</v>
      </c>
      <c r="B2612" s="376" t="s">
        <v>1609</v>
      </c>
      <c r="C2612" s="376" t="s">
        <v>1054</v>
      </c>
      <c r="D2612" s="376">
        <v>2025</v>
      </c>
      <c r="E2612" s="376">
        <v>2027</v>
      </c>
      <c r="F2612" s="376">
        <v>1</v>
      </c>
      <c r="G2612" s="376">
        <v>10872.741503138899</v>
      </c>
      <c r="H2612" s="376">
        <v>0</v>
      </c>
      <c r="I2612" s="376">
        <v>1</v>
      </c>
    </row>
    <row r="2613" spans="1:9" x14ac:dyDescent="0.35">
      <c r="A2613" s="376" t="s">
        <v>1604</v>
      </c>
      <c r="B2613" s="376" t="s">
        <v>1609</v>
      </c>
      <c r="C2613" s="376" t="s">
        <v>1046</v>
      </c>
      <c r="D2613" s="376">
        <v>2025</v>
      </c>
      <c r="E2613" s="376">
        <v>2028</v>
      </c>
      <c r="F2613" s="376">
        <v>1</v>
      </c>
      <c r="G2613" s="376">
        <v>10872.741503138899</v>
      </c>
      <c r="H2613" s="376">
        <v>0</v>
      </c>
      <c r="I2613" s="376">
        <v>1</v>
      </c>
    </row>
    <row r="2614" spans="1:9" x14ac:dyDescent="0.35">
      <c r="A2614" s="376" t="s">
        <v>1604</v>
      </c>
      <c r="B2614" s="376" t="s">
        <v>1609</v>
      </c>
      <c r="C2614" s="376" t="s">
        <v>644</v>
      </c>
      <c r="D2614" s="376">
        <v>2025</v>
      </c>
      <c r="E2614" s="376">
        <v>2028</v>
      </c>
      <c r="F2614" s="376">
        <v>1</v>
      </c>
      <c r="G2614" s="376">
        <v>10872.741503138899</v>
      </c>
      <c r="H2614" s="376">
        <v>0</v>
      </c>
      <c r="I2614" s="376">
        <v>1</v>
      </c>
    </row>
    <row r="2615" spans="1:9" x14ac:dyDescent="0.35">
      <c r="A2615" s="376" t="s">
        <v>1604</v>
      </c>
      <c r="B2615" s="376" t="s">
        <v>1609</v>
      </c>
      <c r="C2615" s="376" t="s">
        <v>628</v>
      </c>
      <c r="D2615" s="376">
        <v>2025</v>
      </c>
      <c r="E2615" s="376">
        <v>2028</v>
      </c>
      <c r="F2615" s="376">
        <v>1</v>
      </c>
      <c r="G2615" s="376">
        <v>10872.741503138899</v>
      </c>
      <c r="H2615" s="376">
        <v>0</v>
      </c>
      <c r="I2615" s="376">
        <v>1</v>
      </c>
    </row>
    <row r="2616" spans="1:9" x14ac:dyDescent="0.35">
      <c r="A2616" s="376" t="s">
        <v>1604</v>
      </c>
      <c r="B2616" s="376" t="s">
        <v>1609</v>
      </c>
      <c r="C2616" s="376" t="s">
        <v>1051</v>
      </c>
      <c r="D2616" s="376">
        <v>2025</v>
      </c>
      <c r="E2616" s="376">
        <v>2028</v>
      </c>
      <c r="F2616" s="376">
        <v>1</v>
      </c>
      <c r="G2616" s="376">
        <v>10872.741503138899</v>
      </c>
      <c r="H2616" s="376">
        <v>0</v>
      </c>
      <c r="I2616" s="376">
        <v>1</v>
      </c>
    </row>
    <row r="2617" spans="1:9" x14ac:dyDescent="0.35">
      <c r="A2617" s="376" t="s">
        <v>1604</v>
      </c>
      <c r="B2617" s="376" t="s">
        <v>1609</v>
      </c>
      <c r="C2617" s="376" t="s">
        <v>1054</v>
      </c>
      <c r="D2617" s="376">
        <v>2025</v>
      </c>
      <c r="E2617" s="376">
        <v>2028</v>
      </c>
      <c r="F2617" s="376">
        <v>1</v>
      </c>
      <c r="G2617" s="376">
        <v>10872.741503138899</v>
      </c>
      <c r="H2617" s="376">
        <v>0</v>
      </c>
      <c r="I2617" s="376">
        <v>1</v>
      </c>
    </row>
    <row r="2618" spans="1:9" x14ac:dyDescent="0.35">
      <c r="A2618" s="376" t="s">
        <v>1604</v>
      </c>
      <c r="B2618" s="376" t="s">
        <v>1609</v>
      </c>
      <c r="C2618" s="376" t="s">
        <v>1046</v>
      </c>
      <c r="D2618" s="376">
        <v>2025</v>
      </c>
      <c r="E2618" s="376">
        <v>2029</v>
      </c>
      <c r="F2618" s="376">
        <v>1</v>
      </c>
      <c r="G2618" s="376">
        <v>10872.741503138899</v>
      </c>
      <c r="H2618" s="376">
        <v>0</v>
      </c>
      <c r="I2618" s="376">
        <v>1</v>
      </c>
    </row>
    <row r="2619" spans="1:9" x14ac:dyDescent="0.35">
      <c r="A2619" s="376" t="s">
        <v>1604</v>
      </c>
      <c r="B2619" s="376" t="s">
        <v>1609</v>
      </c>
      <c r="C2619" s="376" t="s">
        <v>644</v>
      </c>
      <c r="D2619" s="376">
        <v>2025</v>
      </c>
      <c r="E2619" s="376">
        <v>2029</v>
      </c>
      <c r="F2619" s="376">
        <v>1</v>
      </c>
      <c r="G2619" s="376">
        <v>10872.741503138899</v>
      </c>
      <c r="H2619" s="376">
        <v>0</v>
      </c>
      <c r="I2619" s="376">
        <v>1</v>
      </c>
    </row>
    <row r="2620" spans="1:9" x14ac:dyDescent="0.35">
      <c r="A2620" s="376" t="s">
        <v>1604</v>
      </c>
      <c r="B2620" s="376" t="s">
        <v>1609</v>
      </c>
      <c r="C2620" s="376" t="s">
        <v>628</v>
      </c>
      <c r="D2620" s="376">
        <v>2025</v>
      </c>
      <c r="E2620" s="376">
        <v>2029</v>
      </c>
      <c r="F2620" s="376">
        <v>1</v>
      </c>
      <c r="G2620" s="376">
        <v>10872.741503138899</v>
      </c>
      <c r="H2620" s="376">
        <v>0</v>
      </c>
      <c r="I2620" s="376">
        <v>1</v>
      </c>
    </row>
    <row r="2621" spans="1:9" x14ac:dyDescent="0.35">
      <c r="A2621" s="376" t="s">
        <v>1604</v>
      </c>
      <c r="B2621" s="376" t="s">
        <v>1609</v>
      </c>
      <c r="C2621" s="376" t="s">
        <v>1051</v>
      </c>
      <c r="D2621" s="376">
        <v>2025</v>
      </c>
      <c r="E2621" s="376">
        <v>2029</v>
      </c>
      <c r="F2621" s="376">
        <v>1</v>
      </c>
      <c r="G2621" s="376">
        <v>10872.741503138899</v>
      </c>
      <c r="H2621" s="376">
        <v>0</v>
      </c>
      <c r="I2621" s="376">
        <v>1</v>
      </c>
    </row>
    <row r="2622" spans="1:9" x14ac:dyDescent="0.35">
      <c r="A2622" s="376" t="s">
        <v>1604</v>
      </c>
      <c r="B2622" s="376" t="s">
        <v>1609</v>
      </c>
      <c r="C2622" s="376" t="s">
        <v>1054</v>
      </c>
      <c r="D2622" s="376">
        <v>2025</v>
      </c>
      <c r="E2622" s="376">
        <v>2029</v>
      </c>
      <c r="F2622" s="376">
        <v>1</v>
      </c>
      <c r="G2622" s="376">
        <v>10872.741503138899</v>
      </c>
      <c r="H2622" s="376">
        <v>0</v>
      </c>
      <c r="I2622" s="376">
        <v>1</v>
      </c>
    </row>
    <row r="2623" spans="1:9" x14ac:dyDescent="0.35">
      <c r="A2623" s="376" t="s">
        <v>1604</v>
      </c>
      <c r="B2623" s="376" t="s">
        <v>1609</v>
      </c>
      <c r="C2623" s="376" t="s">
        <v>1046</v>
      </c>
      <c r="D2623" s="376">
        <v>2025</v>
      </c>
      <c r="E2623" s="376">
        <v>2030</v>
      </c>
      <c r="F2623" s="376">
        <v>1</v>
      </c>
      <c r="G2623" s="376">
        <v>10872.741503138899</v>
      </c>
      <c r="H2623" s="376">
        <v>0</v>
      </c>
      <c r="I2623" s="376">
        <v>1</v>
      </c>
    </row>
    <row r="2624" spans="1:9" x14ac:dyDescent="0.35">
      <c r="A2624" s="376" t="s">
        <v>1604</v>
      </c>
      <c r="B2624" s="376" t="s">
        <v>1609</v>
      </c>
      <c r="C2624" s="376" t="s">
        <v>644</v>
      </c>
      <c r="D2624" s="376">
        <v>2025</v>
      </c>
      <c r="E2624" s="376">
        <v>2030</v>
      </c>
      <c r="F2624" s="376">
        <v>1</v>
      </c>
      <c r="G2624" s="376">
        <v>10872.741503138899</v>
      </c>
      <c r="H2624" s="376">
        <v>0</v>
      </c>
      <c r="I2624" s="376">
        <v>1</v>
      </c>
    </row>
    <row r="2625" spans="1:9" x14ac:dyDescent="0.35">
      <c r="A2625" s="376" t="s">
        <v>1604</v>
      </c>
      <c r="B2625" s="376" t="s">
        <v>1609</v>
      </c>
      <c r="C2625" s="376" t="s">
        <v>628</v>
      </c>
      <c r="D2625" s="376">
        <v>2025</v>
      </c>
      <c r="E2625" s="376">
        <v>2030</v>
      </c>
      <c r="F2625" s="376">
        <v>1</v>
      </c>
      <c r="G2625" s="376">
        <v>10872.741503138899</v>
      </c>
      <c r="H2625" s="376">
        <v>0</v>
      </c>
      <c r="I2625" s="376">
        <v>1</v>
      </c>
    </row>
    <row r="2626" spans="1:9" x14ac:dyDescent="0.35">
      <c r="A2626" s="376" t="s">
        <v>1604</v>
      </c>
      <c r="B2626" s="376" t="s">
        <v>1609</v>
      </c>
      <c r="C2626" s="376" t="s">
        <v>1051</v>
      </c>
      <c r="D2626" s="376">
        <v>2025</v>
      </c>
      <c r="E2626" s="376">
        <v>2030</v>
      </c>
      <c r="F2626" s="376">
        <v>1</v>
      </c>
      <c r="G2626" s="376">
        <v>10872.741503138899</v>
      </c>
      <c r="H2626" s="376">
        <v>0</v>
      </c>
      <c r="I2626" s="376">
        <v>1</v>
      </c>
    </row>
    <row r="2627" spans="1:9" x14ac:dyDescent="0.35">
      <c r="A2627" s="376" t="s">
        <v>1604</v>
      </c>
      <c r="B2627" s="376" t="s">
        <v>1609</v>
      </c>
      <c r="C2627" s="376" t="s">
        <v>1054</v>
      </c>
      <c r="D2627" s="376">
        <v>2025</v>
      </c>
      <c r="E2627" s="376">
        <v>2030</v>
      </c>
      <c r="F2627" s="376">
        <v>1</v>
      </c>
      <c r="G2627" s="376">
        <v>10872.741503138899</v>
      </c>
      <c r="H2627" s="376">
        <v>0</v>
      </c>
      <c r="I2627" s="376">
        <v>1</v>
      </c>
    </row>
    <row r="2628" spans="1:9" x14ac:dyDescent="0.35">
      <c r="A2628" s="376" t="s">
        <v>1604</v>
      </c>
      <c r="B2628" s="376" t="s">
        <v>1609</v>
      </c>
      <c r="C2628" s="376" t="s">
        <v>1046</v>
      </c>
      <c r="D2628" s="376">
        <v>2025</v>
      </c>
      <c r="E2628" s="376">
        <v>2031</v>
      </c>
      <c r="F2628" s="376">
        <v>1</v>
      </c>
      <c r="G2628" s="376">
        <v>10872.741503138899</v>
      </c>
      <c r="H2628" s="376">
        <v>0</v>
      </c>
      <c r="I2628" s="376">
        <v>1</v>
      </c>
    </row>
    <row r="2629" spans="1:9" x14ac:dyDescent="0.35">
      <c r="A2629" s="376" t="s">
        <v>1604</v>
      </c>
      <c r="B2629" s="376" t="s">
        <v>1609</v>
      </c>
      <c r="C2629" s="376" t="s">
        <v>644</v>
      </c>
      <c r="D2629" s="376">
        <v>2025</v>
      </c>
      <c r="E2629" s="376">
        <v>2031</v>
      </c>
      <c r="F2629" s="376">
        <v>1</v>
      </c>
      <c r="G2629" s="376">
        <v>10872.741503138899</v>
      </c>
      <c r="H2629" s="376">
        <v>0</v>
      </c>
      <c r="I2629" s="376">
        <v>1</v>
      </c>
    </row>
    <row r="2630" spans="1:9" x14ac:dyDescent="0.35">
      <c r="A2630" s="376" t="s">
        <v>1604</v>
      </c>
      <c r="B2630" s="376" t="s">
        <v>1609</v>
      </c>
      <c r="C2630" s="376" t="s">
        <v>628</v>
      </c>
      <c r="D2630" s="376">
        <v>2025</v>
      </c>
      <c r="E2630" s="376">
        <v>2031</v>
      </c>
      <c r="F2630" s="376">
        <v>1</v>
      </c>
      <c r="G2630" s="376">
        <v>10872.741503138899</v>
      </c>
      <c r="H2630" s="376">
        <v>0</v>
      </c>
      <c r="I2630" s="376">
        <v>1</v>
      </c>
    </row>
    <row r="2631" spans="1:9" x14ac:dyDescent="0.35">
      <c r="A2631" s="376" t="s">
        <v>1604</v>
      </c>
      <c r="B2631" s="376" t="s">
        <v>1609</v>
      </c>
      <c r="C2631" s="376" t="s">
        <v>1051</v>
      </c>
      <c r="D2631" s="376">
        <v>2025</v>
      </c>
      <c r="E2631" s="376">
        <v>2031</v>
      </c>
      <c r="F2631" s="376">
        <v>1</v>
      </c>
      <c r="G2631" s="376">
        <v>10872.741503138899</v>
      </c>
      <c r="H2631" s="376">
        <v>0</v>
      </c>
      <c r="I2631" s="376">
        <v>1</v>
      </c>
    </row>
    <row r="2632" spans="1:9" x14ac:dyDescent="0.35">
      <c r="A2632" s="376" t="s">
        <v>1604</v>
      </c>
      <c r="B2632" s="376" t="s">
        <v>1609</v>
      </c>
      <c r="C2632" s="376" t="s">
        <v>1054</v>
      </c>
      <c r="D2632" s="376">
        <v>2025</v>
      </c>
      <c r="E2632" s="376">
        <v>2031</v>
      </c>
      <c r="F2632" s="376">
        <v>1</v>
      </c>
      <c r="G2632" s="376">
        <v>10872.741503138899</v>
      </c>
      <c r="H2632" s="376">
        <v>0</v>
      </c>
      <c r="I2632" s="376">
        <v>1</v>
      </c>
    </row>
    <row r="2633" spans="1:9" x14ac:dyDescent="0.35">
      <c r="A2633" s="376" t="s">
        <v>1615</v>
      </c>
      <c r="B2633" s="376" t="s">
        <v>1609</v>
      </c>
      <c r="C2633" s="376" t="s">
        <v>1046</v>
      </c>
      <c r="D2633" s="376">
        <v>2025</v>
      </c>
      <c r="E2633" s="376">
        <v>2025</v>
      </c>
      <c r="F2633" s="376">
        <v>1</v>
      </c>
      <c r="G2633" s="376">
        <v>20148.813739673951</v>
      </c>
      <c r="H2633" s="376">
        <v>0</v>
      </c>
      <c r="I2633" s="376">
        <v>0.65716939790195539</v>
      </c>
    </row>
    <row r="2634" spans="1:9" x14ac:dyDescent="0.35">
      <c r="A2634" s="376" t="s">
        <v>1615</v>
      </c>
      <c r="B2634" s="376" t="s">
        <v>1609</v>
      </c>
      <c r="C2634" s="376" t="s">
        <v>644</v>
      </c>
      <c r="D2634" s="376">
        <v>2025</v>
      </c>
      <c r="E2634" s="376">
        <v>2025</v>
      </c>
      <c r="F2634" s="376">
        <v>1</v>
      </c>
      <c r="G2634" s="376">
        <v>20148.813739673951</v>
      </c>
      <c r="H2634" s="376">
        <v>0</v>
      </c>
      <c r="I2634" s="376">
        <v>0.65716939790195539</v>
      </c>
    </row>
    <row r="2635" spans="1:9" x14ac:dyDescent="0.35">
      <c r="A2635" s="376" t="s">
        <v>1615</v>
      </c>
      <c r="B2635" s="376" t="s">
        <v>1609</v>
      </c>
      <c r="C2635" s="376" t="s">
        <v>628</v>
      </c>
      <c r="D2635" s="376">
        <v>2025</v>
      </c>
      <c r="E2635" s="376">
        <v>2025</v>
      </c>
      <c r="F2635" s="376">
        <v>1</v>
      </c>
      <c r="G2635" s="376">
        <v>20148.813739673951</v>
      </c>
      <c r="H2635" s="376">
        <v>0</v>
      </c>
      <c r="I2635" s="376">
        <v>0.65716939790195539</v>
      </c>
    </row>
    <row r="2636" spans="1:9" x14ac:dyDescent="0.35">
      <c r="A2636" s="376" t="s">
        <v>1615</v>
      </c>
      <c r="B2636" s="376" t="s">
        <v>1609</v>
      </c>
      <c r="C2636" s="376" t="s">
        <v>1051</v>
      </c>
      <c r="D2636" s="376">
        <v>2025</v>
      </c>
      <c r="E2636" s="376">
        <v>2025</v>
      </c>
      <c r="F2636" s="376">
        <v>1</v>
      </c>
      <c r="G2636" s="376">
        <v>20148.813739673951</v>
      </c>
      <c r="H2636" s="376">
        <v>0</v>
      </c>
      <c r="I2636" s="376">
        <v>0.65716939790195539</v>
      </c>
    </row>
    <row r="2637" spans="1:9" x14ac:dyDescent="0.35">
      <c r="A2637" s="376" t="s">
        <v>1615</v>
      </c>
      <c r="B2637" s="376" t="s">
        <v>1609</v>
      </c>
      <c r="C2637" s="376" t="s">
        <v>1054</v>
      </c>
      <c r="D2637" s="376">
        <v>2025</v>
      </c>
      <c r="E2637" s="376">
        <v>2025</v>
      </c>
      <c r="F2637" s="376">
        <v>1</v>
      </c>
      <c r="G2637" s="376">
        <v>20148.813739673951</v>
      </c>
      <c r="H2637" s="376">
        <v>0</v>
      </c>
      <c r="I2637" s="376">
        <v>0.65716939790195539</v>
      </c>
    </row>
    <row r="2638" spans="1:9" x14ac:dyDescent="0.35">
      <c r="A2638" s="376" t="s">
        <v>1615</v>
      </c>
      <c r="B2638" s="376" t="s">
        <v>1609</v>
      </c>
      <c r="C2638" s="376" t="s">
        <v>1046</v>
      </c>
      <c r="D2638" s="376">
        <v>2025</v>
      </c>
      <c r="E2638" s="376">
        <v>2026</v>
      </c>
      <c r="F2638" s="376">
        <v>1</v>
      </c>
      <c r="G2638" s="376">
        <v>20148.813739673951</v>
      </c>
      <c r="H2638" s="376">
        <v>0</v>
      </c>
      <c r="I2638" s="376">
        <v>0.65716939790195539</v>
      </c>
    </row>
    <row r="2639" spans="1:9" x14ac:dyDescent="0.35">
      <c r="A2639" s="376" t="s">
        <v>1615</v>
      </c>
      <c r="B2639" s="376" t="s">
        <v>1609</v>
      </c>
      <c r="C2639" s="376" t="s">
        <v>644</v>
      </c>
      <c r="D2639" s="376">
        <v>2025</v>
      </c>
      <c r="E2639" s="376">
        <v>2026</v>
      </c>
      <c r="F2639" s="376">
        <v>1</v>
      </c>
      <c r="G2639" s="376">
        <v>20148.813739673951</v>
      </c>
      <c r="H2639" s="376">
        <v>0</v>
      </c>
      <c r="I2639" s="376">
        <v>0.65716939790195539</v>
      </c>
    </row>
    <row r="2640" spans="1:9" x14ac:dyDescent="0.35">
      <c r="A2640" s="376" t="s">
        <v>1615</v>
      </c>
      <c r="B2640" s="376" t="s">
        <v>1609</v>
      </c>
      <c r="C2640" s="376" t="s">
        <v>628</v>
      </c>
      <c r="D2640" s="376">
        <v>2025</v>
      </c>
      <c r="E2640" s="376">
        <v>2026</v>
      </c>
      <c r="F2640" s="376">
        <v>1</v>
      </c>
      <c r="G2640" s="376">
        <v>20148.813739673951</v>
      </c>
      <c r="H2640" s="376">
        <v>0</v>
      </c>
      <c r="I2640" s="376">
        <v>0.65716939790195539</v>
      </c>
    </row>
    <row r="2641" spans="1:9" x14ac:dyDescent="0.35">
      <c r="A2641" s="376" t="s">
        <v>1615</v>
      </c>
      <c r="B2641" s="376" t="s">
        <v>1609</v>
      </c>
      <c r="C2641" s="376" t="s">
        <v>1051</v>
      </c>
      <c r="D2641" s="376">
        <v>2025</v>
      </c>
      <c r="E2641" s="376">
        <v>2026</v>
      </c>
      <c r="F2641" s="376">
        <v>1</v>
      </c>
      <c r="G2641" s="376">
        <v>20148.813739673951</v>
      </c>
      <c r="H2641" s="376">
        <v>0</v>
      </c>
      <c r="I2641" s="376">
        <v>0.65716939790195539</v>
      </c>
    </row>
    <row r="2642" spans="1:9" x14ac:dyDescent="0.35">
      <c r="A2642" s="376" t="s">
        <v>1615</v>
      </c>
      <c r="B2642" s="376" t="s">
        <v>1609</v>
      </c>
      <c r="C2642" s="376" t="s">
        <v>1054</v>
      </c>
      <c r="D2642" s="376">
        <v>2025</v>
      </c>
      <c r="E2642" s="376">
        <v>2026</v>
      </c>
      <c r="F2642" s="376">
        <v>1</v>
      </c>
      <c r="G2642" s="376">
        <v>20148.813739673951</v>
      </c>
      <c r="H2642" s="376">
        <v>0</v>
      </c>
      <c r="I2642" s="376">
        <v>0.65716939790195539</v>
      </c>
    </row>
    <row r="2643" spans="1:9" x14ac:dyDescent="0.35">
      <c r="A2643" s="376" t="s">
        <v>1615</v>
      </c>
      <c r="B2643" s="376" t="s">
        <v>1609</v>
      </c>
      <c r="C2643" s="376" t="s">
        <v>1046</v>
      </c>
      <c r="D2643" s="376">
        <v>2025</v>
      </c>
      <c r="E2643" s="376">
        <v>2027</v>
      </c>
      <c r="F2643" s="376">
        <v>1</v>
      </c>
      <c r="G2643" s="376">
        <v>20148.813739673951</v>
      </c>
      <c r="H2643" s="376">
        <v>0</v>
      </c>
      <c r="I2643" s="376">
        <v>0.65716939790195539</v>
      </c>
    </row>
    <row r="2644" spans="1:9" x14ac:dyDescent="0.35">
      <c r="A2644" s="376" t="s">
        <v>1615</v>
      </c>
      <c r="B2644" s="376" t="s">
        <v>1609</v>
      </c>
      <c r="C2644" s="376" t="s">
        <v>644</v>
      </c>
      <c r="D2644" s="376">
        <v>2025</v>
      </c>
      <c r="E2644" s="376">
        <v>2027</v>
      </c>
      <c r="F2644" s="376">
        <v>1</v>
      </c>
      <c r="G2644" s="376">
        <v>20148.813739673951</v>
      </c>
      <c r="H2644" s="376">
        <v>0</v>
      </c>
      <c r="I2644" s="376">
        <v>0.65716939790195539</v>
      </c>
    </row>
    <row r="2645" spans="1:9" x14ac:dyDescent="0.35">
      <c r="A2645" s="376" t="s">
        <v>1615</v>
      </c>
      <c r="B2645" s="376" t="s">
        <v>1609</v>
      </c>
      <c r="C2645" s="376" t="s">
        <v>628</v>
      </c>
      <c r="D2645" s="376">
        <v>2025</v>
      </c>
      <c r="E2645" s="376">
        <v>2027</v>
      </c>
      <c r="F2645" s="376">
        <v>1</v>
      </c>
      <c r="G2645" s="376">
        <v>20148.813739673951</v>
      </c>
      <c r="H2645" s="376">
        <v>0</v>
      </c>
      <c r="I2645" s="376">
        <v>0.65716939790195539</v>
      </c>
    </row>
    <row r="2646" spans="1:9" x14ac:dyDescent="0.35">
      <c r="A2646" s="376" t="s">
        <v>1615</v>
      </c>
      <c r="B2646" s="376" t="s">
        <v>1609</v>
      </c>
      <c r="C2646" s="376" t="s">
        <v>1051</v>
      </c>
      <c r="D2646" s="376">
        <v>2025</v>
      </c>
      <c r="E2646" s="376">
        <v>2027</v>
      </c>
      <c r="F2646" s="376">
        <v>1</v>
      </c>
      <c r="G2646" s="376">
        <v>20148.813739673951</v>
      </c>
      <c r="H2646" s="376">
        <v>0</v>
      </c>
      <c r="I2646" s="376">
        <v>0.65716939790195539</v>
      </c>
    </row>
    <row r="2647" spans="1:9" x14ac:dyDescent="0.35">
      <c r="A2647" s="376" t="s">
        <v>1615</v>
      </c>
      <c r="B2647" s="376" t="s">
        <v>1609</v>
      </c>
      <c r="C2647" s="376" t="s">
        <v>1054</v>
      </c>
      <c r="D2647" s="376">
        <v>2025</v>
      </c>
      <c r="E2647" s="376">
        <v>2027</v>
      </c>
      <c r="F2647" s="376">
        <v>1</v>
      </c>
      <c r="G2647" s="376">
        <v>20148.813739673951</v>
      </c>
      <c r="H2647" s="376">
        <v>0</v>
      </c>
      <c r="I2647" s="376">
        <v>0.65716939790195539</v>
      </c>
    </row>
    <row r="2648" spans="1:9" x14ac:dyDescent="0.35">
      <c r="A2648" s="376" t="s">
        <v>1615</v>
      </c>
      <c r="B2648" s="376" t="s">
        <v>1609</v>
      </c>
      <c r="C2648" s="376" t="s">
        <v>1046</v>
      </c>
      <c r="D2648" s="376">
        <v>2025</v>
      </c>
      <c r="E2648" s="376">
        <v>2028</v>
      </c>
      <c r="F2648" s="376">
        <v>1</v>
      </c>
      <c r="G2648" s="376">
        <v>20148.813739673951</v>
      </c>
      <c r="H2648" s="376">
        <v>0</v>
      </c>
      <c r="I2648" s="376">
        <v>0.65716939790195539</v>
      </c>
    </row>
    <row r="2649" spans="1:9" x14ac:dyDescent="0.35">
      <c r="A2649" s="376" t="s">
        <v>1615</v>
      </c>
      <c r="B2649" s="376" t="s">
        <v>1609</v>
      </c>
      <c r="C2649" s="376" t="s">
        <v>644</v>
      </c>
      <c r="D2649" s="376">
        <v>2025</v>
      </c>
      <c r="E2649" s="376">
        <v>2028</v>
      </c>
      <c r="F2649" s="376">
        <v>1</v>
      </c>
      <c r="G2649" s="376">
        <v>20148.813739673951</v>
      </c>
      <c r="H2649" s="376">
        <v>0</v>
      </c>
      <c r="I2649" s="376">
        <v>0.65716939790195539</v>
      </c>
    </row>
    <row r="2650" spans="1:9" x14ac:dyDescent="0.35">
      <c r="A2650" s="376" t="s">
        <v>1615</v>
      </c>
      <c r="B2650" s="376" t="s">
        <v>1609</v>
      </c>
      <c r="C2650" s="376" t="s">
        <v>628</v>
      </c>
      <c r="D2650" s="376">
        <v>2025</v>
      </c>
      <c r="E2650" s="376">
        <v>2028</v>
      </c>
      <c r="F2650" s="376">
        <v>1</v>
      </c>
      <c r="G2650" s="376">
        <v>20148.813739673951</v>
      </c>
      <c r="H2650" s="376">
        <v>0</v>
      </c>
      <c r="I2650" s="376">
        <v>0.65716939790195539</v>
      </c>
    </row>
    <row r="2651" spans="1:9" x14ac:dyDescent="0.35">
      <c r="A2651" s="376" t="s">
        <v>1615</v>
      </c>
      <c r="B2651" s="376" t="s">
        <v>1609</v>
      </c>
      <c r="C2651" s="376" t="s">
        <v>1051</v>
      </c>
      <c r="D2651" s="376">
        <v>2025</v>
      </c>
      <c r="E2651" s="376">
        <v>2028</v>
      </c>
      <c r="F2651" s="376">
        <v>1</v>
      </c>
      <c r="G2651" s="376">
        <v>20148.813739673951</v>
      </c>
      <c r="H2651" s="376">
        <v>0</v>
      </c>
      <c r="I2651" s="376">
        <v>0.65716939790195539</v>
      </c>
    </row>
    <row r="2652" spans="1:9" x14ac:dyDescent="0.35">
      <c r="A2652" s="376" t="s">
        <v>1615</v>
      </c>
      <c r="B2652" s="376" t="s">
        <v>1609</v>
      </c>
      <c r="C2652" s="376" t="s">
        <v>1054</v>
      </c>
      <c r="D2652" s="376">
        <v>2025</v>
      </c>
      <c r="E2652" s="376">
        <v>2028</v>
      </c>
      <c r="F2652" s="376">
        <v>1</v>
      </c>
      <c r="G2652" s="376">
        <v>20148.813739673951</v>
      </c>
      <c r="H2652" s="376">
        <v>0</v>
      </c>
      <c r="I2652" s="376">
        <v>0.65716939790195539</v>
      </c>
    </row>
    <row r="2653" spans="1:9" x14ac:dyDescent="0.35">
      <c r="A2653" s="376" t="s">
        <v>1615</v>
      </c>
      <c r="B2653" s="376" t="s">
        <v>1609</v>
      </c>
      <c r="C2653" s="376" t="s">
        <v>1046</v>
      </c>
      <c r="D2653" s="376">
        <v>2025</v>
      </c>
      <c r="E2653" s="376">
        <v>2029</v>
      </c>
      <c r="F2653" s="376">
        <v>1</v>
      </c>
      <c r="G2653" s="376">
        <v>20148.813739673951</v>
      </c>
      <c r="H2653" s="376">
        <v>0</v>
      </c>
      <c r="I2653" s="376">
        <v>0.65716939790195539</v>
      </c>
    </row>
    <row r="2654" spans="1:9" x14ac:dyDescent="0.35">
      <c r="A2654" s="376" t="s">
        <v>1615</v>
      </c>
      <c r="B2654" s="376" t="s">
        <v>1609</v>
      </c>
      <c r="C2654" s="376" t="s">
        <v>644</v>
      </c>
      <c r="D2654" s="376">
        <v>2025</v>
      </c>
      <c r="E2654" s="376">
        <v>2029</v>
      </c>
      <c r="F2654" s="376">
        <v>1</v>
      </c>
      <c r="G2654" s="376">
        <v>20148.813739673951</v>
      </c>
      <c r="H2654" s="376">
        <v>0</v>
      </c>
      <c r="I2654" s="376">
        <v>0.65716939790195539</v>
      </c>
    </row>
    <row r="2655" spans="1:9" x14ac:dyDescent="0.35">
      <c r="A2655" s="376" t="s">
        <v>1615</v>
      </c>
      <c r="B2655" s="376" t="s">
        <v>1609</v>
      </c>
      <c r="C2655" s="376" t="s">
        <v>628</v>
      </c>
      <c r="D2655" s="376">
        <v>2025</v>
      </c>
      <c r="E2655" s="376">
        <v>2029</v>
      </c>
      <c r="F2655" s="376">
        <v>1</v>
      </c>
      <c r="G2655" s="376">
        <v>20148.813739673951</v>
      </c>
      <c r="H2655" s="376">
        <v>0</v>
      </c>
      <c r="I2655" s="376">
        <v>0.65716939790195539</v>
      </c>
    </row>
    <row r="2656" spans="1:9" x14ac:dyDescent="0.35">
      <c r="A2656" s="376" t="s">
        <v>1615</v>
      </c>
      <c r="B2656" s="376" t="s">
        <v>1609</v>
      </c>
      <c r="C2656" s="376" t="s">
        <v>1051</v>
      </c>
      <c r="D2656" s="376">
        <v>2025</v>
      </c>
      <c r="E2656" s="376">
        <v>2029</v>
      </c>
      <c r="F2656" s="376">
        <v>1</v>
      </c>
      <c r="G2656" s="376">
        <v>20148.813739673951</v>
      </c>
      <c r="H2656" s="376">
        <v>0</v>
      </c>
      <c r="I2656" s="376">
        <v>0.65716939790195539</v>
      </c>
    </row>
    <row r="2657" spans="1:9" x14ac:dyDescent="0.35">
      <c r="A2657" s="376" t="s">
        <v>1615</v>
      </c>
      <c r="B2657" s="376" t="s">
        <v>1609</v>
      </c>
      <c r="C2657" s="376" t="s">
        <v>1054</v>
      </c>
      <c r="D2657" s="376">
        <v>2025</v>
      </c>
      <c r="E2657" s="376">
        <v>2029</v>
      </c>
      <c r="F2657" s="376">
        <v>1</v>
      </c>
      <c r="G2657" s="376">
        <v>20148.813739673951</v>
      </c>
      <c r="H2657" s="376">
        <v>0</v>
      </c>
      <c r="I2657" s="376">
        <v>0.65716939790195539</v>
      </c>
    </row>
    <row r="2658" spans="1:9" x14ac:dyDescent="0.35">
      <c r="A2658" s="376" t="s">
        <v>1615</v>
      </c>
      <c r="B2658" s="376" t="s">
        <v>1609</v>
      </c>
      <c r="C2658" s="376" t="s">
        <v>1046</v>
      </c>
      <c r="D2658" s="376">
        <v>2025</v>
      </c>
      <c r="E2658" s="376">
        <v>2030</v>
      </c>
      <c r="F2658" s="376">
        <v>1</v>
      </c>
      <c r="G2658" s="376">
        <v>20148.813739673951</v>
      </c>
      <c r="H2658" s="376">
        <v>0</v>
      </c>
      <c r="I2658" s="376">
        <v>0.65716939790195539</v>
      </c>
    </row>
    <row r="2659" spans="1:9" x14ac:dyDescent="0.35">
      <c r="A2659" s="376" t="s">
        <v>1615</v>
      </c>
      <c r="B2659" s="376" t="s">
        <v>1609</v>
      </c>
      <c r="C2659" s="376" t="s">
        <v>644</v>
      </c>
      <c r="D2659" s="376">
        <v>2025</v>
      </c>
      <c r="E2659" s="376">
        <v>2030</v>
      </c>
      <c r="F2659" s="376">
        <v>1</v>
      </c>
      <c r="G2659" s="376">
        <v>20148.813739673951</v>
      </c>
      <c r="H2659" s="376">
        <v>0</v>
      </c>
      <c r="I2659" s="376">
        <v>0.65716939790195539</v>
      </c>
    </row>
    <row r="2660" spans="1:9" x14ac:dyDescent="0.35">
      <c r="A2660" s="376" t="s">
        <v>1615</v>
      </c>
      <c r="B2660" s="376" t="s">
        <v>1609</v>
      </c>
      <c r="C2660" s="376" t="s">
        <v>628</v>
      </c>
      <c r="D2660" s="376">
        <v>2025</v>
      </c>
      <c r="E2660" s="376">
        <v>2030</v>
      </c>
      <c r="F2660" s="376">
        <v>1</v>
      </c>
      <c r="G2660" s="376">
        <v>20148.813739673951</v>
      </c>
      <c r="H2660" s="376">
        <v>0</v>
      </c>
      <c r="I2660" s="376">
        <v>0.65716939790195539</v>
      </c>
    </row>
    <row r="2661" spans="1:9" x14ac:dyDescent="0.35">
      <c r="A2661" s="376" t="s">
        <v>1615</v>
      </c>
      <c r="B2661" s="376" t="s">
        <v>1609</v>
      </c>
      <c r="C2661" s="376" t="s">
        <v>1051</v>
      </c>
      <c r="D2661" s="376">
        <v>2025</v>
      </c>
      <c r="E2661" s="376">
        <v>2030</v>
      </c>
      <c r="F2661" s="376">
        <v>1</v>
      </c>
      <c r="G2661" s="376">
        <v>20148.813739673951</v>
      </c>
      <c r="H2661" s="376">
        <v>0</v>
      </c>
      <c r="I2661" s="376">
        <v>0.65716939790195539</v>
      </c>
    </row>
    <row r="2662" spans="1:9" x14ac:dyDescent="0.35">
      <c r="A2662" s="376" t="s">
        <v>1615</v>
      </c>
      <c r="B2662" s="376" t="s">
        <v>1609</v>
      </c>
      <c r="C2662" s="376" t="s">
        <v>1054</v>
      </c>
      <c r="D2662" s="376">
        <v>2025</v>
      </c>
      <c r="E2662" s="376">
        <v>2030</v>
      </c>
      <c r="F2662" s="376">
        <v>1</v>
      </c>
      <c r="G2662" s="376">
        <v>20148.813739673951</v>
      </c>
      <c r="H2662" s="376">
        <v>0</v>
      </c>
      <c r="I2662" s="376">
        <v>0.65716939790195539</v>
      </c>
    </row>
    <row r="2663" spans="1:9" x14ac:dyDescent="0.35">
      <c r="A2663" s="376" t="s">
        <v>1615</v>
      </c>
      <c r="B2663" s="376" t="s">
        <v>1609</v>
      </c>
      <c r="C2663" s="376" t="s">
        <v>1046</v>
      </c>
      <c r="D2663" s="376">
        <v>2025</v>
      </c>
      <c r="E2663" s="376">
        <v>2031</v>
      </c>
      <c r="F2663" s="376">
        <v>1</v>
      </c>
      <c r="G2663" s="376">
        <v>20148.813739673951</v>
      </c>
      <c r="H2663" s="376">
        <v>0</v>
      </c>
      <c r="I2663" s="376">
        <v>0.65716939790195539</v>
      </c>
    </row>
    <row r="2664" spans="1:9" x14ac:dyDescent="0.35">
      <c r="A2664" s="376" t="s">
        <v>1615</v>
      </c>
      <c r="B2664" s="376" t="s">
        <v>1609</v>
      </c>
      <c r="C2664" s="376" t="s">
        <v>644</v>
      </c>
      <c r="D2664" s="376">
        <v>2025</v>
      </c>
      <c r="E2664" s="376">
        <v>2031</v>
      </c>
      <c r="F2664" s="376">
        <v>1</v>
      </c>
      <c r="G2664" s="376">
        <v>20148.813739673951</v>
      </c>
      <c r="H2664" s="376">
        <v>0</v>
      </c>
      <c r="I2664" s="376">
        <v>0.65716939790195539</v>
      </c>
    </row>
    <row r="2665" spans="1:9" x14ac:dyDescent="0.35">
      <c r="A2665" s="376" t="s">
        <v>1615</v>
      </c>
      <c r="B2665" s="376" t="s">
        <v>1609</v>
      </c>
      <c r="C2665" s="376" t="s">
        <v>628</v>
      </c>
      <c r="D2665" s="376">
        <v>2025</v>
      </c>
      <c r="E2665" s="376">
        <v>2031</v>
      </c>
      <c r="F2665" s="376">
        <v>1</v>
      </c>
      <c r="G2665" s="376">
        <v>20148.813739673951</v>
      </c>
      <c r="H2665" s="376">
        <v>0</v>
      </c>
      <c r="I2665" s="376">
        <v>0.65716939790195539</v>
      </c>
    </row>
    <row r="2666" spans="1:9" x14ac:dyDescent="0.35">
      <c r="A2666" s="376" t="s">
        <v>1615</v>
      </c>
      <c r="B2666" s="376" t="s">
        <v>1609</v>
      </c>
      <c r="C2666" s="376" t="s">
        <v>1051</v>
      </c>
      <c r="D2666" s="376">
        <v>2025</v>
      </c>
      <c r="E2666" s="376">
        <v>2031</v>
      </c>
      <c r="F2666" s="376">
        <v>1</v>
      </c>
      <c r="G2666" s="376">
        <v>20148.813739673951</v>
      </c>
      <c r="H2666" s="376">
        <v>0</v>
      </c>
      <c r="I2666" s="376">
        <v>0.65716939790195539</v>
      </c>
    </row>
    <row r="2667" spans="1:9" x14ac:dyDescent="0.35">
      <c r="A2667" s="376" t="s">
        <v>1615</v>
      </c>
      <c r="B2667" s="376" t="s">
        <v>1609</v>
      </c>
      <c r="C2667" s="376" t="s">
        <v>1054</v>
      </c>
      <c r="D2667" s="376">
        <v>2025</v>
      </c>
      <c r="E2667" s="376">
        <v>2031</v>
      </c>
      <c r="F2667" s="376">
        <v>1</v>
      </c>
      <c r="G2667" s="376">
        <v>20148.813739673951</v>
      </c>
      <c r="H2667" s="376">
        <v>0</v>
      </c>
      <c r="I2667" s="376">
        <v>0.65716939790195539</v>
      </c>
    </row>
    <row r="2668" spans="1:9" x14ac:dyDescent="0.35">
      <c r="A2668" s="376" t="s">
        <v>1603</v>
      </c>
      <c r="B2668" s="376" t="s">
        <v>1609</v>
      </c>
      <c r="C2668" s="376" t="s">
        <v>1046</v>
      </c>
      <c r="D2668" s="376">
        <v>2025</v>
      </c>
      <c r="E2668" s="376">
        <v>2025</v>
      </c>
      <c r="F2668" s="376">
        <v>1</v>
      </c>
      <c r="G2668" s="376">
        <v>6101.463203368502</v>
      </c>
      <c r="H2668" s="376">
        <v>0</v>
      </c>
      <c r="I2668" s="376">
        <v>1</v>
      </c>
    </row>
    <row r="2669" spans="1:9" x14ac:dyDescent="0.35">
      <c r="A2669" s="376" t="s">
        <v>1603</v>
      </c>
      <c r="B2669" s="376" t="s">
        <v>1609</v>
      </c>
      <c r="C2669" s="376" t="s">
        <v>644</v>
      </c>
      <c r="D2669" s="376">
        <v>2025</v>
      </c>
      <c r="E2669" s="376">
        <v>2025</v>
      </c>
      <c r="F2669" s="376">
        <v>1</v>
      </c>
      <c r="G2669" s="376">
        <v>6101.463203368502</v>
      </c>
      <c r="H2669" s="376">
        <v>0</v>
      </c>
      <c r="I2669" s="376">
        <v>1</v>
      </c>
    </row>
    <row r="2670" spans="1:9" x14ac:dyDescent="0.35">
      <c r="A2670" s="376" t="s">
        <v>1603</v>
      </c>
      <c r="B2670" s="376" t="s">
        <v>1609</v>
      </c>
      <c r="C2670" s="376" t="s">
        <v>628</v>
      </c>
      <c r="D2670" s="376">
        <v>2025</v>
      </c>
      <c r="E2670" s="376">
        <v>2025</v>
      </c>
      <c r="F2670" s="376">
        <v>1</v>
      </c>
      <c r="G2670" s="376">
        <v>6101.463203368502</v>
      </c>
      <c r="H2670" s="376">
        <v>0</v>
      </c>
      <c r="I2670" s="376">
        <v>1</v>
      </c>
    </row>
    <row r="2671" spans="1:9" x14ac:dyDescent="0.35">
      <c r="A2671" s="376" t="s">
        <v>1603</v>
      </c>
      <c r="B2671" s="376" t="s">
        <v>1609</v>
      </c>
      <c r="C2671" s="376" t="s">
        <v>1051</v>
      </c>
      <c r="D2671" s="376">
        <v>2025</v>
      </c>
      <c r="E2671" s="376">
        <v>2025</v>
      </c>
      <c r="F2671" s="376">
        <v>1</v>
      </c>
      <c r="G2671" s="376">
        <v>6101.463203368502</v>
      </c>
      <c r="H2671" s="376">
        <v>0</v>
      </c>
      <c r="I2671" s="376">
        <v>1</v>
      </c>
    </row>
    <row r="2672" spans="1:9" x14ac:dyDescent="0.35">
      <c r="A2672" s="376" t="s">
        <v>1603</v>
      </c>
      <c r="B2672" s="376" t="s">
        <v>1609</v>
      </c>
      <c r="C2672" s="376" t="s">
        <v>1054</v>
      </c>
      <c r="D2672" s="376">
        <v>2025</v>
      </c>
      <c r="E2672" s="376">
        <v>2025</v>
      </c>
      <c r="F2672" s="376">
        <v>1</v>
      </c>
      <c r="G2672" s="376">
        <v>6101.463203368502</v>
      </c>
      <c r="H2672" s="376">
        <v>0</v>
      </c>
      <c r="I2672" s="376">
        <v>1</v>
      </c>
    </row>
    <row r="2673" spans="1:9" x14ac:dyDescent="0.35">
      <c r="A2673" s="376" t="s">
        <v>1603</v>
      </c>
      <c r="B2673" s="376" t="s">
        <v>1609</v>
      </c>
      <c r="C2673" s="376" t="s">
        <v>1046</v>
      </c>
      <c r="D2673" s="376">
        <v>2025</v>
      </c>
      <c r="E2673" s="376">
        <v>2026</v>
      </c>
      <c r="F2673" s="376">
        <v>1</v>
      </c>
      <c r="G2673" s="376">
        <v>6101.463203368502</v>
      </c>
      <c r="H2673" s="376">
        <v>0</v>
      </c>
      <c r="I2673" s="376">
        <v>1</v>
      </c>
    </row>
    <row r="2674" spans="1:9" x14ac:dyDescent="0.35">
      <c r="A2674" s="376" t="s">
        <v>1603</v>
      </c>
      <c r="B2674" s="376" t="s">
        <v>1609</v>
      </c>
      <c r="C2674" s="376" t="s">
        <v>644</v>
      </c>
      <c r="D2674" s="376">
        <v>2025</v>
      </c>
      <c r="E2674" s="376">
        <v>2026</v>
      </c>
      <c r="F2674" s="376">
        <v>1</v>
      </c>
      <c r="G2674" s="376">
        <v>6101.463203368502</v>
      </c>
      <c r="H2674" s="376">
        <v>0</v>
      </c>
      <c r="I2674" s="376">
        <v>1</v>
      </c>
    </row>
    <row r="2675" spans="1:9" x14ac:dyDescent="0.35">
      <c r="A2675" s="376" t="s">
        <v>1603</v>
      </c>
      <c r="B2675" s="376" t="s">
        <v>1609</v>
      </c>
      <c r="C2675" s="376" t="s">
        <v>628</v>
      </c>
      <c r="D2675" s="376">
        <v>2025</v>
      </c>
      <c r="E2675" s="376">
        <v>2026</v>
      </c>
      <c r="F2675" s="376">
        <v>1</v>
      </c>
      <c r="G2675" s="376">
        <v>6101.463203368502</v>
      </c>
      <c r="H2675" s="376">
        <v>0</v>
      </c>
      <c r="I2675" s="376">
        <v>1</v>
      </c>
    </row>
    <row r="2676" spans="1:9" x14ac:dyDescent="0.35">
      <c r="A2676" s="376" t="s">
        <v>1603</v>
      </c>
      <c r="B2676" s="376" t="s">
        <v>1609</v>
      </c>
      <c r="C2676" s="376" t="s">
        <v>1051</v>
      </c>
      <c r="D2676" s="376">
        <v>2025</v>
      </c>
      <c r="E2676" s="376">
        <v>2026</v>
      </c>
      <c r="F2676" s="376">
        <v>1</v>
      </c>
      <c r="G2676" s="376">
        <v>6101.463203368502</v>
      </c>
      <c r="H2676" s="376">
        <v>0</v>
      </c>
      <c r="I2676" s="376">
        <v>1</v>
      </c>
    </row>
    <row r="2677" spans="1:9" x14ac:dyDescent="0.35">
      <c r="A2677" s="376" t="s">
        <v>1603</v>
      </c>
      <c r="B2677" s="376" t="s">
        <v>1609</v>
      </c>
      <c r="C2677" s="376" t="s">
        <v>1054</v>
      </c>
      <c r="D2677" s="376">
        <v>2025</v>
      </c>
      <c r="E2677" s="376">
        <v>2026</v>
      </c>
      <c r="F2677" s="376">
        <v>1</v>
      </c>
      <c r="G2677" s="376">
        <v>6101.463203368502</v>
      </c>
      <c r="H2677" s="376">
        <v>0</v>
      </c>
      <c r="I2677" s="376">
        <v>1</v>
      </c>
    </row>
    <row r="2678" spans="1:9" x14ac:dyDescent="0.35">
      <c r="A2678" s="376" t="s">
        <v>1603</v>
      </c>
      <c r="B2678" s="376" t="s">
        <v>1609</v>
      </c>
      <c r="C2678" s="376" t="s">
        <v>1046</v>
      </c>
      <c r="D2678" s="376">
        <v>2025</v>
      </c>
      <c r="E2678" s="376">
        <v>2027</v>
      </c>
      <c r="F2678" s="376">
        <v>1</v>
      </c>
      <c r="G2678" s="376">
        <v>6101.463203368502</v>
      </c>
      <c r="H2678" s="376">
        <v>0</v>
      </c>
      <c r="I2678" s="376">
        <v>1</v>
      </c>
    </row>
    <row r="2679" spans="1:9" x14ac:dyDescent="0.35">
      <c r="A2679" s="376" t="s">
        <v>1603</v>
      </c>
      <c r="B2679" s="376" t="s">
        <v>1609</v>
      </c>
      <c r="C2679" s="376" t="s">
        <v>644</v>
      </c>
      <c r="D2679" s="376">
        <v>2025</v>
      </c>
      <c r="E2679" s="376">
        <v>2027</v>
      </c>
      <c r="F2679" s="376">
        <v>1</v>
      </c>
      <c r="G2679" s="376">
        <v>6101.463203368502</v>
      </c>
      <c r="H2679" s="376">
        <v>0</v>
      </c>
      <c r="I2679" s="376">
        <v>1</v>
      </c>
    </row>
    <row r="2680" spans="1:9" x14ac:dyDescent="0.35">
      <c r="A2680" s="376" t="s">
        <v>1603</v>
      </c>
      <c r="B2680" s="376" t="s">
        <v>1609</v>
      </c>
      <c r="C2680" s="376" t="s">
        <v>628</v>
      </c>
      <c r="D2680" s="376">
        <v>2025</v>
      </c>
      <c r="E2680" s="376">
        <v>2027</v>
      </c>
      <c r="F2680" s="376">
        <v>1</v>
      </c>
      <c r="G2680" s="376">
        <v>6101.463203368502</v>
      </c>
      <c r="H2680" s="376">
        <v>0</v>
      </c>
      <c r="I2680" s="376">
        <v>1</v>
      </c>
    </row>
    <row r="2681" spans="1:9" x14ac:dyDescent="0.35">
      <c r="A2681" s="376" t="s">
        <v>1603</v>
      </c>
      <c r="B2681" s="376" t="s">
        <v>1609</v>
      </c>
      <c r="C2681" s="376" t="s">
        <v>1051</v>
      </c>
      <c r="D2681" s="376">
        <v>2025</v>
      </c>
      <c r="E2681" s="376">
        <v>2027</v>
      </c>
      <c r="F2681" s="376">
        <v>1</v>
      </c>
      <c r="G2681" s="376">
        <v>6101.463203368502</v>
      </c>
      <c r="H2681" s="376">
        <v>0</v>
      </c>
      <c r="I2681" s="376">
        <v>1</v>
      </c>
    </row>
    <row r="2682" spans="1:9" x14ac:dyDescent="0.35">
      <c r="A2682" s="376" t="s">
        <v>1603</v>
      </c>
      <c r="B2682" s="376" t="s">
        <v>1609</v>
      </c>
      <c r="C2682" s="376" t="s">
        <v>1054</v>
      </c>
      <c r="D2682" s="376">
        <v>2025</v>
      </c>
      <c r="E2682" s="376">
        <v>2027</v>
      </c>
      <c r="F2682" s="376">
        <v>1</v>
      </c>
      <c r="G2682" s="376">
        <v>6101.463203368502</v>
      </c>
      <c r="H2682" s="376">
        <v>0</v>
      </c>
      <c r="I2682" s="376">
        <v>1</v>
      </c>
    </row>
    <row r="2683" spans="1:9" x14ac:dyDescent="0.35">
      <c r="A2683" s="376" t="s">
        <v>1603</v>
      </c>
      <c r="B2683" s="376" t="s">
        <v>1609</v>
      </c>
      <c r="C2683" s="376" t="s">
        <v>1046</v>
      </c>
      <c r="D2683" s="376">
        <v>2025</v>
      </c>
      <c r="E2683" s="376">
        <v>2028</v>
      </c>
      <c r="F2683" s="376">
        <v>1</v>
      </c>
      <c r="G2683" s="376">
        <v>6101.463203368502</v>
      </c>
      <c r="H2683" s="376">
        <v>0</v>
      </c>
      <c r="I2683" s="376">
        <v>1</v>
      </c>
    </row>
    <row r="2684" spans="1:9" x14ac:dyDescent="0.35">
      <c r="A2684" s="376" t="s">
        <v>1603</v>
      </c>
      <c r="B2684" s="376" t="s">
        <v>1609</v>
      </c>
      <c r="C2684" s="376" t="s">
        <v>644</v>
      </c>
      <c r="D2684" s="376">
        <v>2025</v>
      </c>
      <c r="E2684" s="376">
        <v>2028</v>
      </c>
      <c r="F2684" s="376">
        <v>1</v>
      </c>
      <c r="G2684" s="376">
        <v>6101.463203368502</v>
      </c>
      <c r="H2684" s="376">
        <v>0</v>
      </c>
      <c r="I2684" s="376">
        <v>1</v>
      </c>
    </row>
    <row r="2685" spans="1:9" x14ac:dyDescent="0.35">
      <c r="A2685" s="376" t="s">
        <v>1603</v>
      </c>
      <c r="B2685" s="376" t="s">
        <v>1609</v>
      </c>
      <c r="C2685" s="376" t="s">
        <v>628</v>
      </c>
      <c r="D2685" s="376">
        <v>2025</v>
      </c>
      <c r="E2685" s="376">
        <v>2028</v>
      </c>
      <c r="F2685" s="376">
        <v>1</v>
      </c>
      <c r="G2685" s="376">
        <v>6101.463203368502</v>
      </c>
      <c r="H2685" s="376">
        <v>0</v>
      </c>
      <c r="I2685" s="376">
        <v>1</v>
      </c>
    </row>
    <row r="2686" spans="1:9" x14ac:dyDescent="0.35">
      <c r="A2686" s="376" t="s">
        <v>1603</v>
      </c>
      <c r="B2686" s="376" t="s">
        <v>1609</v>
      </c>
      <c r="C2686" s="376" t="s">
        <v>1051</v>
      </c>
      <c r="D2686" s="376">
        <v>2025</v>
      </c>
      <c r="E2686" s="376">
        <v>2028</v>
      </c>
      <c r="F2686" s="376">
        <v>1</v>
      </c>
      <c r="G2686" s="376">
        <v>6101.463203368502</v>
      </c>
      <c r="H2686" s="376">
        <v>0</v>
      </c>
      <c r="I2686" s="376">
        <v>1</v>
      </c>
    </row>
    <row r="2687" spans="1:9" x14ac:dyDescent="0.35">
      <c r="A2687" s="376" t="s">
        <v>1603</v>
      </c>
      <c r="B2687" s="376" t="s">
        <v>1609</v>
      </c>
      <c r="C2687" s="376" t="s">
        <v>1054</v>
      </c>
      <c r="D2687" s="376">
        <v>2025</v>
      </c>
      <c r="E2687" s="376">
        <v>2028</v>
      </c>
      <c r="F2687" s="376">
        <v>1</v>
      </c>
      <c r="G2687" s="376">
        <v>6101.463203368502</v>
      </c>
      <c r="H2687" s="376">
        <v>0</v>
      </c>
      <c r="I2687" s="376">
        <v>1</v>
      </c>
    </row>
    <row r="2688" spans="1:9" x14ac:dyDescent="0.35">
      <c r="A2688" s="376" t="s">
        <v>1603</v>
      </c>
      <c r="B2688" s="376" t="s">
        <v>1609</v>
      </c>
      <c r="C2688" s="376" t="s">
        <v>1046</v>
      </c>
      <c r="D2688" s="376">
        <v>2025</v>
      </c>
      <c r="E2688" s="376">
        <v>2029</v>
      </c>
      <c r="F2688" s="376">
        <v>1</v>
      </c>
      <c r="G2688" s="376">
        <v>6101.463203368502</v>
      </c>
      <c r="H2688" s="376">
        <v>0</v>
      </c>
      <c r="I2688" s="376">
        <v>1</v>
      </c>
    </row>
    <row r="2689" spans="1:9" x14ac:dyDescent="0.35">
      <c r="A2689" s="376" t="s">
        <v>1603</v>
      </c>
      <c r="B2689" s="376" t="s">
        <v>1609</v>
      </c>
      <c r="C2689" s="376" t="s">
        <v>644</v>
      </c>
      <c r="D2689" s="376">
        <v>2025</v>
      </c>
      <c r="E2689" s="376">
        <v>2029</v>
      </c>
      <c r="F2689" s="376">
        <v>1</v>
      </c>
      <c r="G2689" s="376">
        <v>6101.463203368502</v>
      </c>
      <c r="H2689" s="376">
        <v>0</v>
      </c>
      <c r="I2689" s="376">
        <v>1</v>
      </c>
    </row>
    <row r="2690" spans="1:9" x14ac:dyDescent="0.35">
      <c r="A2690" s="376" t="s">
        <v>1603</v>
      </c>
      <c r="B2690" s="376" t="s">
        <v>1609</v>
      </c>
      <c r="C2690" s="376" t="s">
        <v>628</v>
      </c>
      <c r="D2690" s="376">
        <v>2025</v>
      </c>
      <c r="E2690" s="376">
        <v>2029</v>
      </c>
      <c r="F2690" s="376">
        <v>1</v>
      </c>
      <c r="G2690" s="376">
        <v>6101.463203368502</v>
      </c>
      <c r="H2690" s="376">
        <v>0</v>
      </c>
      <c r="I2690" s="376">
        <v>1</v>
      </c>
    </row>
    <row r="2691" spans="1:9" x14ac:dyDescent="0.35">
      <c r="A2691" s="376" t="s">
        <v>1603</v>
      </c>
      <c r="B2691" s="376" t="s">
        <v>1609</v>
      </c>
      <c r="C2691" s="376" t="s">
        <v>1051</v>
      </c>
      <c r="D2691" s="376">
        <v>2025</v>
      </c>
      <c r="E2691" s="376">
        <v>2029</v>
      </c>
      <c r="F2691" s="376">
        <v>1</v>
      </c>
      <c r="G2691" s="376">
        <v>6101.463203368502</v>
      </c>
      <c r="H2691" s="376">
        <v>0</v>
      </c>
      <c r="I2691" s="376">
        <v>1</v>
      </c>
    </row>
    <row r="2692" spans="1:9" x14ac:dyDescent="0.35">
      <c r="A2692" s="376" t="s">
        <v>1603</v>
      </c>
      <c r="B2692" s="376" t="s">
        <v>1609</v>
      </c>
      <c r="C2692" s="376" t="s">
        <v>1054</v>
      </c>
      <c r="D2692" s="376">
        <v>2025</v>
      </c>
      <c r="E2692" s="376">
        <v>2029</v>
      </c>
      <c r="F2692" s="376">
        <v>1</v>
      </c>
      <c r="G2692" s="376">
        <v>6101.463203368502</v>
      </c>
      <c r="H2692" s="376">
        <v>0</v>
      </c>
      <c r="I2692" s="376">
        <v>1</v>
      </c>
    </row>
    <row r="2693" spans="1:9" x14ac:dyDescent="0.35">
      <c r="A2693" s="376" t="s">
        <v>1603</v>
      </c>
      <c r="B2693" s="376" t="s">
        <v>1609</v>
      </c>
      <c r="C2693" s="376" t="s">
        <v>1046</v>
      </c>
      <c r="D2693" s="376">
        <v>2025</v>
      </c>
      <c r="E2693" s="376">
        <v>2030</v>
      </c>
      <c r="F2693" s="376">
        <v>1</v>
      </c>
      <c r="G2693" s="376">
        <v>6101.463203368502</v>
      </c>
      <c r="H2693" s="376">
        <v>0</v>
      </c>
      <c r="I2693" s="376">
        <v>1</v>
      </c>
    </row>
    <row r="2694" spans="1:9" x14ac:dyDescent="0.35">
      <c r="A2694" s="376" t="s">
        <v>1603</v>
      </c>
      <c r="B2694" s="376" t="s">
        <v>1609</v>
      </c>
      <c r="C2694" s="376" t="s">
        <v>644</v>
      </c>
      <c r="D2694" s="376">
        <v>2025</v>
      </c>
      <c r="E2694" s="376">
        <v>2030</v>
      </c>
      <c r="F2694" s="376">
        <v>1</v>
      </c>
      <c r="G2694" s="376">
        <v>6101.463203368502</v>
      </c>
      <c r="H2694" s="376">
        <v>0</v>
      </c>
      <c r="I2694" s="376">
        <v>1</v>
      </c>
    </row>
    <row r="2695" spans="1:9" x14ac:dyDescent="0.35">
      <c r="A2695" s="376" t="s">
        <v>1603</v>
      </c>
      <c r="B2695" s="376" t="s">
        <v>1609</v>
      </c>
      <c r="C2695" s="376" t="s">
        <v>628</v>
      </c>
      <c r="D2695" s="376">
        <v>2025</v>
      </c>
      <c r="E2695" s="376">
        <v>2030</v>
      </c>
      <c r="F2695" s="376">
        <v>1</v>
      </c>
      <c r="G2695" s="376">
        <v>6101.463203368502</v>
      </c>
      <c r="H2695" s="376">
        <v>0</v>
      </c>
      <c r="I2695" s="376">
        <v>1</v>
      </c>
    </row>
    <row r="2696" spans="1:9" x14ac:dyDescent="0.35">
      <c r="A2696" s="376" t="s">
        <v>1603</v>
      </c>
      <c r="B2696" s="376" t="s">
        <v>1609</v>
      </c>
      <c r="C2696" s="376" t="s">
        <v>1051</v>
      </c>
      <c r="D2696" s="376">
        <v>2025</v>
      </c>
      <c r="E2696" s="376">
        <v>2030</v>
      </c>
      <c r="F2696" s="376">
        <v>1</v>
      </c>
      <c r="G2696" s="376">
        <v>6101.463203368502</v>
      </c>
      <c r="H2696" s="376">
        <v>0</v>
      </c>
      <c r="I2696" s="376">
        <v>1</v>
      </c>
    </row>
    <row r="2697" spans="1:9" x14ac:dyDescent="0.35">
      <c r="A2697" s="376" t="s">
        <v>1603</v>
      </c>
      <c r="B2697" s="376" t="s">
        <v>1609</v>
      </c>
      <c r="C2697" s="376" t="s">
        <v>1054</v>
      </c>
      <c r="D2697" s="376">
        <v>2025</v>
      </c>
      <c r="E2697" s="376">
        <v>2030</v>
      </c>
      <c r="F2697" s="376">
        <v>1</v>
      </c>
      <c r="G2697" s="376">
        <v>6101.463203368502</v>
      </c>
      <c r="H2697" s="376">
        <v>0</v>
      </c>
      <c r="I2697" s="376">
        <v>1</v>
      </c>
    </row>
    <row r="2698" spans="1:9" x14ac:dyDescent="0.35">
      <c r="A2698" s="376" t="s">
        <v>1603</v>
      </c>
      <c r="B2698" s="376" t="s">
        <v>1609</v>
      </c>
      <c r="C2698" s="376" t="s">
        <v>1046</v>
      </c>
      <c r="D2698" s="376">
        <v>2025</v>
      </c>
      <c r="E2698" s="376">
        <v>2031</v>
      </c>
      <c r="F2698" s="376">
        <v>1</v>
      </c>
      <c r="G2698" s="376">
        <v>6101.463203368502</v>
      </c>
      <c r="H2698" s="376">
        <v>0</v>
      </c>
      <c r="I2698" s="376">
        <v>1</v>
      </c>
    </row>
    <row r="2699" spans="1:9" x14ac:dyDescent="0.35">
      <c r="A2699" s="376" t="s">
        <v>1603</v>
      </c>
      <c r="B2699" s="376" t="s">
        <v>1609</v>
      </c>
      <c r="C2699" s="376" t="s">
        <v>644</v>
      </c>
      <c r="D2699" s="376">
        <v>2025</v>
      </c>
      <c r="E2699" s="376">
        <v>2031</v>
      </c>
      <c r="F2699" s="376">
        <v>1</v>
      </c>
      <c r="G2699" s="376">
        <v>6101.463203368502</v>
      </c>
      <c r="H2699" s="376">
        <v>0</v>
      </c>
      <c r="I2699" s="376">
        <v>1</v>
      </c>
    </row>
    <row r="2700" spans="1:9" x14ac:dyDescent="0.35">
      <c r="A2700" s="376" t="s">
        <v>1603</v>
      </c>
      <c r="B2700" s="376" t="s">
        <v>1609</v>
      </c>
      <c r="C2700" s="376" t="s">
        <v>628</v>
      </c>
      <c r="D2700" s="376">
        <v>2025</v>
      </c>
      <c r="E2700" s="376">
        <v>2031</v>
      </c>
      <c r="F2700" s="376">
        <v>1</v>
      </c>
      <c r="G2700" s="376">
        <v>6101.463203368502</v>
      </c>
      <c r="H2700" s="376">
        <v>0</v>
      </c>
      <c r="I2700" s="376">
        <v>1</v>
      </c>
    </row>
    <row r="2701" spans="1:9" x14ac:dyDescent="0.35">
      <c r="A2701" s="376" t="s">
        <v>1603</v>
      </c>
      <c r="B2701" s="376" t="s">
        <v>1609</v>
      </c>
      <c r="C2701" s="376" t="s">
        <v>1051</v>
      </c>
      <c r="D2701" s="376">
        <v>2025</v>
      </c>
      <c r="E2701" s="376">
        <v>2031</v>
      </c>
      <c r="F2701" s="376">
        <v>1</v>
      </c>
      <c r="G2701" s="376">
        <v>6101.463203368502</v>
      </c>
      <c r="H2701" s="376">
        <v>0</v>
      </c>
      <c r="I2701" s="376">
        <v>1</v>
      </c>
    </row>
    <row r="2702" spans="1:9" x14ac:dyDescent="0.35">
      <c r="A2702" s="376" t="s">
        <v>1603</v>
      </c>
      <c r="B2702" s="376" t="s">
        <v>1609</v>
      </c>
      <c r="C2702" s="376" t="s">
        <v>1054</v>
      </c>
      <c r="D2702" s="376">
        <v>2025</v>
      </c>
      <c r="E2702" s="376">
        <v>2031</v>
      </c>
      <c r="F2702" s="376">
        <v>1</v>
      </c>
      <c r="G2702" s="376">
        <v>6101.463203368502</v>
      </c>
      <c r="H2702" s="376">
        <v>0</v>
      </c>
      <c r="I2702" s="376">
        <v>1</v>
      </c>
    </row>
    <row r="2703" spans="1:9" x14ac:dyDescent="0.35">
      <c r="A2703" s="376" t="s">
        <v>1605</v>
      </c>
      <c r="B2703" s="376" t="s">
        <v>1609</v>
      </c>
      <c r="C2703" s="376" t="s">
        <v>1046</v>
      </c>
      <c r="D2703" s="376">
        <v>2025</v>
      </c>
      <c r="E2703" s="376">
        <v>2025</v>
      </c>
      <c r="F2703" s="376">
        <v>0.23884589662749595</v>
      </c>
      <c r="G2703" s="376">
        <v>10426.102375692073</v>
      </c>
      <c r="H2703" s="376">
        <v>0</v>
      </c>
      <c r="I2703" s="376">
        <v>1</v>
      </c>
    </row>
    <row r="2704" spans="1:9" x14ac:dyDescent="0.35">
      <c r="A2704" s="376" t="s">
        <v>1605</v>
      </c>
      <c r="B2704" s="376" t="s">
        <v>1609</v>
      </c>
      <c r="C2704" s="376" t="s">
        <v>644</v>
      </c>
      <c r="D2704" s="376">
        <v>2025</v>
      </c>
      <c r="E2704" s="376">
        <v>2025</v>
      </c>
      <c r="F2704" s="376">
        <v>0.23884589662749595</v>
      </c>
      <c r="G2704" s="376">
        <v>10426.102375692073</v>
      </c>
      <c r="H2704" s="376">
        <v>0</v>
      </c>
      <c r="I2704" s="376">
        <v>1</v>
      </c>
    </row>
    <row r="2705" spans="1:9" x14ac:dyDescent="0.35">
      <c r="A2705" s="376" t="s">
        <v>1605</v>
      </c>
      <c r="B2705" s="376" t="s">
        <v>1609</v>
      </c>
      <c r="C2705" s="376" t="s">
        <v>628</v>
      </c>
      <c r="D2705" s="376">
        <v>2025</v>
      </c>
      <c r="E2705" s="376">
        <v>2025</v>
      </c>
      <c r="F2705" s="376">
        <v>0.23884589662749595</v>
      </c>
      <c r="G2705" s="376">
        <v>10426.102375692073</v>
      </c>
      <c r="H2705" s="376">
        <v>0</v>
      </c>
      <c r="I2705" s="376">
        <v>1</v>
      </c>
    </row>
    <row r="2706" spans="1:9" x14ac:dyDescent="0.35">
      <c r="A2706" s="376" t="s">
        <v>1605</v>
      </c>
      <c r="B2706" s="376" t="s">
        <v>1609</v>
      </c>
      <c r="C2706" s="376" t="s">
        <v>1051</v>
      </c>
      <c r="D2706" s="376">
        <v>2025</v>
      </c>
      <c r="E2706" s="376">
        <v>2025</v>
      </c>
      <c r="F2706" s="376">
        <v>0.23884589662749595</v>
      </c>
      <c r="G2706" s="376">
        <v>10426.102375692073</v>
      </c>
      <c r="H2706" s="376">
        <v>0</v>
      </c>
      <c r="I2706" s="376">
        <v>1</v>
      </c>
    </row>
    <row r="2707" spans="1:9" x14ac:dyDescent="0.35">
      <c r="A2707" s="376" t="s">
        <v>1605</v>
      </c>
      <c r="B2707" s="376" t="s">
        <v>1609</v>
      </c>
      <c r="C2707" s="376" t="s">
        <v>1054</v>
      </c>
      <c r="D2707" s="376">
        <v>2025</v>
      </c>
      <c r="E2707" s="376">
        <v>2025</v>
      </c>
      <c r="F2707" s="376">
        <v>0.23884589662749595</v>
      </c>
      <c r="G2707" s="376">
        <v>10426.102375692073</v>
      </c>
      <c r="H2707" s="376">
        <v>0</v>
      </c>
      <c r="I2707" s="376">
        <v>1</v>
      </c>
    </row>
    <row r="2708" spans="1:9" x14ac:dyDescent="0.35">
      <c r="A2708" s="376" t="s">
        <v>1605</v>
      </c>
      <c r="B2708" s="376" t="s">
        <v>1609</v>
      </c>
      <c r="C2708" s="376" t="s">
        <v>1046</v>
      </c>
      <c r="D2708" s="376">
        <v>2025</v>
      </c>
      <c r="E2708" s="376">
        <v>2026</v>
      </c>
      <c r="F2708" s="376">
        <v>0.23884589662749595</v>
      </c>
      <c r="G2708" s="376">
        <v>10426.102375692073</v>
      </c>
      <c r="H2708" s="376">
        <v>0</v>
      </c>
      <c r="I2708" s="376">
        <v>1</v>
      </c>
    </row>
    <row r="2709" spans="1:9" x14ac:dyDescent="0.35">
      <c r="A2709" s="376" t="s">
        <v>1605</v>
      </c>
      <c r="B2709" s="376" t="s">
        <v>1609</v>
      </c>
      <c r="C2709" s="376" t="s">
        <v>644</v>
      </c>
      <c r="D2709" s="376">
        <v>2025</v>
      </c>
      <c r="E2709" s="376">
        <v>2026</v>
      </c>
      <c r="F2709" s="376">
        <v>0.23884589662749595</v>
      </c>
      <c r="G2709" s="376">
        <v>10426.102375692073</v>
      </c>
      <c r="H2709" s="376">
        <v>0</v>
      </c>
      <c r="I2709" s="376">
        <v>1</v>
      </c>
    </row>
    <row r="2710" spans="1:9" x14ac:dyDescent="0.35">
      <c r="A2710" s="376" t="s">
        <v>1605</v>
      </c>
      <c r="B2710" s="376" t="s">
        <v>1609</v>
      </c>
      <c r="C2710" s="376" t="s">
        <v>628</v>
      </c>
      <c r="D2710" s="376">
        <v>2025</v>
      </c>
      <c r="E2710" s="376">
        <v>2026</v>
      </c>
      <c r="F2710" s="376">
        <v>0.23884589662749595</v>
      </c>
      <c r="G2710" s="376">
        <v>10426.102375692073</v>
      </c>
      <c r="H2710" s="376">
        <v>0</v>
      </c>
      <c r="I2710" s="376">
        <v>1</v>
      </c>
    </row>
    <row r="2711" spans="1:9" x14ac:dyDescent="0.35">
      <c r="A2711" s="376" t="s">
        <v>1605</v>
      </c>
      <c r="B2711" s="376" t="s">
        <v>1609</v>
      </c>
      <c r="C2711" s="376" t="s">
        <v>1051</v>
      </c>
      <c r="D2711" s="376">
        <v>2025</v>
      </c>
      <c r="E2711" s="376">
        <v>2026</v>
      </c>
      <c r="F2711" s="376">
        <v>0.23884589662749595</v>
      </c>
      <c r="G2711" s="376">
        <v>10426.102375692073</v>
      </c>
      <c r="H2711" s="376">
        <v>0</v>
      </c>
      <c r="I2711" s="376">
        <v>1</v>
      </c>
    </row>
    <row r="2712" spans="1:9" x14ac:dyDescent="0.35">
      <c r="A2712" s="376" t="s">
        <v>1605</v>
      </c>
      <c r="B2712" s="376" t="s">
        <v>1609</v>
      </c>
      <c r="C2712" s="376" t="s">
        <v>1054</v>
      </c>
      <c r="D2712" s="376">
        <v>2025</v>
      </c>
      <c r="E2712" s="376">
        <v>2026</v>
      </c>
      <c r="F2712" s="376">
        <v>0.23884589662749595</v>
      </c>
      <c r="G2712" s="376">
        <v>10426.102375692073</v>
      </c>
      <c r="H2712" s="376">
        <v>0</v>
      </c>
      <c r="I2712" s="376">
        <v>1</v>
      </c>
    </row>
    <row r="2713" spans="1:9" x14ac:dyDescent="0.35">
      <c r="A2713" s="376" t="s">
        <v>1605</v>
      </c>
      <c r="B2713" s="376" t="s">
        <v>1609</v>
      </c>
      <c r="C2713" s="376" t="s">
        <v>1046</v>
      </c>
      <c r="D2713" s="376">
        <v>2025</v>
      </c>
      <c r="E2713" s="376">
        <v>2027</v>
      </c>
      <c r="F2713" s="376">
        <v>0.23884589662749595</v>
      </c>
      <c r="G2713" s="376">
        <v>10426.102375692073</v>
      </c>
      <c r="H2713" s="376">
        <v>0</v>
      </c>
      <c r="I2713" s="376">
        <v>1</v>
      </c>
    </row>
    <row r="2714" spans="1:9" x14ac:dyDescent="0.35">
      <c r="A2714" s="376" t="s">
        <v>1605</v>
      </c>
      <c r="B2714" s="376" t="s">
        <v>1609</v>
      </c>
      <c r="C2714" s="376" t="s">
        <v>644</v>
      </c>
      <c r="D2714" s="376">
        <v>2025</v>
      </c>
      <c r="E2714" s="376">
        <v>2027</v>
      </c>
      <c r="F2714" s="376">
        <v>0.23884589662749595</v>
      </c>
      <c r="G2714" s="376">
        <v>10426.102375692073</v>
      </c>
      <c r="H2714" s="376">
        <v>0</v>
      </c>
      <c r="I2714" s="376">
        <v>1</v>
      </c>
    </row>
    <row r="2715" spans="1:9" x14ac:dyDescent="0.35">
      <c r="A2715" s="376" t="s">
        <v>1605</v>
      </c>
      <c r="B2715" s="376" t="s">
        <v>1609</v>
      </c>
      <c r="C2715" s="376" t="s">
        <v>628</v>
      </c>
      <c r="D2715" s="376">
        <v>2025</v>
      </c>
      <c r="E2715" s="376">
        <v>2027</v>
      </c>
      <c r="F2715" s="376">
        <v>0.23884589662749595</v>
      </c>
      <c r="G2715" s="376">
        <v>10426.102375692073</v>
      </c>
      <c r="H2715" s="376">
        <v>0</v>
      </c>
      <c r="I2715" s="376">
        <v>1</v>
      </c>
    </row>
    <row r="2716" spans="1:9" x14ac:dyDescent="0.35">
      <c r="A2716" s="376" t="s">
        <v>1605</v>
      </c>
      <c r="B2716" s="376" t="s">
        <v>1609</v>
      </c>
      <c r="C2716" s="376" t="s">
        <v>1051</v>
      </c>
      <c r="D2716" s="376">
        <v>2025</v>
      </c>
      <c r="E2716" s="376">
        <v>2027</v>
      </c>
      <c r="F2716" s="376">
        <v>0.23884589662749595</v>
      </c>
      <c r="G2716" s="376">
        <v>10426.102375692073</v>
      </c>
      <c r="H2716" s="376">
        <v>0</v>
      </c>
      <c r="I2716" s="376">
        <v>1</v>
      </c>
    </row>
    <row r="2717" spans="1:9" x14ac:dyDescent="0.35">
      <c r="A2717" s="376" t="s">
        <v>1605</v>
      </c>
      <c r="B2717" s="376" t="s">
        <v>1609</v>
      </c>
      <c r="C2717" s="376" t="s">
        <v>1054</v>
      </c>
      <c r="D2717" s="376">
        <v>2025</v>
      </c>
      <c r="E2717" s="376">
        <v>2027</v>
      </c>
      <c r="F2717" s="376">
        <v>0.23884589662749595</v>
      </c>
      <c r="G2717" s="376">
        <v>10426.102375692073</v>
      </c>
      <c r="H2717" s="376">
        <v>0</v>
      </c>
      <c r="I2717" s="376">
        <v>1</v>
      </c>
    </row>
    <row r="2718" spans="1:9" x14ac:dyDescent="0.35">
      <c r="A2718" s="376" t="s">
        <v>1605</v>
      </c>
      <c r="B2718" s="376" t="s">
        <v>1609</v>
      </c>
      <c r="C2718" s="376" t="s">
        <v>1046</v>
      </c>
      <c r="D2718" s="376">
        <v>2025</v>
      </c>
      <c r="E2718" s="376">
        <v>2028</v>
      </c>
      <c r="F2718" s="376">
        <v>0.23884589662749595</v>
      </c>
      <c r="G2718" s="376">
        <v>10426.102375692073</v>
      </c>
      <c r="H2718" s="376">
        <v>0</v>
      </c>
      <c r="I2718" s="376">
        <v>1</v>
      </c>
    </row>
    <row r="2719" spans="1:9" x14ac:dyDescent="0.35">
      <c r="A2719" s="376" t="s">
        <v>1605</v>
      </c>
      <c r="B2719" s="376" t="s">
        <v>1609</v>
      </c>
      <c r="C2719" s="376" t="s">
        <v>644</v>
      </c>
      <c r="D2719" s="376">
        <v>2025</v>
      </c>
      <c r="E2719" s="376">
        <v>2028</v>
      </c>
      <c r="F2719" s="376">
        <v>0.23884589662749595</v>
      </c>
      <c r="G2719" s="376">
        <v>10426.102375692073</v>
      </c>
      <c r="H2719" s="376">
        <v>0</v>
      </c>
      <c r="I2719" s="376">
        <v>1</v>
      </c>
    </row>
    <row r="2720" spans="1:9" x14ac:dyDescent="0.35">
      <c r="A2720" s="376" t="s">
        <v>1605</v>
      </c>
      <c r="B2720" s="376" t="s">
        <v>1609</v>
      </c>
      <c r="C2720" s="376" t="s">
        <v>628</v>
      </c>
      <c r="D2720" s="376">
        <v>2025</v>
      </c>
      <c r="E2720" s="376">
        <v>2028</v>
      </c>
      <c r="F2720" s="376">
        <v>0.23884589662749595</v>
      </c>
      <c r="G2720" s="376">
        <v>10426.102375692073</v>
      </c>
      <c r="H2720" s="376">
        <v>0</v>
      </c>
      <c r="I2720" s="376">
        <v>1</v>
      </c>
    </row>
    <row r="2721" spans="1:9" x14ac:dyDescent="0.35">
      <c r="A2721" s="376" t="s">
        <v>1605</v>
      </c>
      <c r="B2721" s="376" t="s">
        <v>1609</v>
      </c>
      <c r="C2721" s="376" t="s">
        <v>1051</v>
      </c>
      <c r="D2721" s="376">
        <v>2025</v>
      </c>
      <c r="E2721" s="376">
        <v>2028</v>
      </c>
      <c r="F2721" s="376">
        <v>0.23884589662749595</v>
      </c>
      <c r="G2721" s="376">
        <v>10426.102375692073</v>
      </c>
      <c r="H2721" s="376">
        <v>0</v>
      </c>
      <c r="I2721" s="376">
        <v>1</v>
      </c>
    </row>
    <row r="2722" spans="1:9" x14ac:dyDescent="0.35">
      <c r="A2722" s="376" t="s">
        <v>1605</v>
      </c>
      <c r="B2722" s="376" t="s">
        <v>1609</v>
      </c>
      <c r="C2722" s="376" t="s">
        <v>1054</v>
      </c>
      <c r="D2722" s="376">
        <v>2025</v>
      </c>
      <c r="E2722" s="376">
        <v>2028</v>
      </c>
      <c r="F2722" s="376">
        <v>0.23884589662749595</v>
      </c>
      <c r="G2722" s="376">
        <v>10426.102375692073</v>
      </c>
      <c r="H2722" s="376">
        <v>0</v>
      </c>
      <c r="I2722" s="376">
        <v>1</v>
      </c>
    </row>
    <row r="2723" spans="1:9" x14ac:dyDescent="0.35">
      <c r="A2723" s="376" t="s">
        <v>1605</v>
      </c>
      <c r="B2723" s="376" t="s">
        <v>1609</v>
      </c>
      <c r="C2723" s="376" t="s">
        <v>1046</v>
      </c>
      <c r="D2723" s="376">
        <v>2025</v>
      </c>
      <c r="E2723" s="376">
        <v>2029</v>
      </c>
      <c r="F2723" s="376">
        <v>0.23884589662749595</v>
      </c>
      <c r="G2723" s="376">
        <v>10426.102375692073</v>
      </c>
      <c r="H2723" s="376">
        <v>0</v>
      </c>
      <c r="I2723" s="376">
        <v>1</v>
      </c>
    </row>
    <row r="2724" spans="1:9" x14ac:dyDescent="0.35">
      <c r="A2724" s="376" t="s">
        <v>1605</v>
      </c>
      <c r="B2724" s="376" t="s">
        <v>1609</v>
      </c>
      <c r="C2724" s="376" t="s">
        <v>644</v>
      </c>
      <c r="D2724" s="376">
        <v>2025</v>
      </c>
      <c r="E2724" s="376">
        <v>2029</v>
      </c>
      <c r="F2724" s="376">
        <v>0.23884589662749595</v>
      </c>
      <c r="G2724" s="376">
        <v>10426.102375692073</v>
      </c>
      <c r="H2724" s="376">
        <v>0</v>
      </c>
      <c r="I2724" s="376">
        <v>1</v>
      </c>
    </row>
    <row r="2725" spans="1:9" x14ac:dyDescent="0.35">
      <c r="A2725" s="376" t="s">
        <v>1605</v>
      </c>
      <c r="B2725" s="376" t="s">
        <v>1609</v>
      </c>
      <c r="C2725" s="376" t="s">
        <v>628</v>
      </c>
      <c r="D2725" s="376">
        <v>2025</v>
      </c>
      <c r="E2725" s="376">
        <v>2029</v>
      </c>
      <c r="F2725" s="376">
        <v>0.23884589662749595</v>
      </c>
      <c r="G2725" s="376">
        <v>10426.102375692073</v>
      </c>
      <c r="H2725" s="376">
        <v>0</v>
      </c>
      <c r="I2725" s="376">
        <v>1</v>
      </c>
    </row>
    <row r="2726" spans="1:9" x14ac:dyDescent="0.35">
      <c r="A2726" s="376" t="s">
        <v>1605</v>
      </c>
      <c r="B2726" s="376" t="s">
        <v>1609</v>
      </c>
      <c r="C2726" s="376" t="s">
        <v>1051</v>
      </c>
      <c r="D2726" s="376">
        <v>2025</v>
      </c>
      <c r="E2726" s="376">
        <v>2029</v>
      </c>
      <c r="F2726" s="376">
        <v>0.23884589662749595</v>
      </c>
      <c r="G2726" s="376">
        <v>10426.102375692073</v>
      </c>
      <c r="H2726" s="376">
        <v>0</v>
      </c>
      <c r="I2726" s="376">
        <v>1</v>
      </c>
    </row>
    <row r="2727" spans="1:9" x14ac:dyDescent="0.35">
      <c r="A2727" s="376" t="s">
        <v>1605</v>
      </c>
      <c r="B2727" s="376" t="s">
        <v>1609</v>
      </c>
      <c r="C2727" s="376" t="s">
        <v>1054</v>
      </c>
      <c r="D2727" s="376">
        <v>2025</v>
      </c>
      <c r="E2727" s="376">
        <v>2029</v>
      </c>
      <c r="F2727" s="376">
        <v>0.23884589662749595</v>
      </c>
      <c r="G2727" s="376">
        <v>10426.102375692073</v>
      </c>
      <c r="H2727" s="376">
        <v>0</v>
      </c>
      <c r="I2727" s="376">
        <v>1</v>
      </c>
    </row>
    <row r="2728" spans="1:9" x14ac:dyDescent="0.35">
      <c r="A2728" s="376" t="s">
        <v>1605</v>
      </c>
      <c r="B2728" s="376" t="s">
        <v>1609</v>
      </c>
      <c r="C2728" s="376" t="s">
        <v>1046</v>
      </c>
      <c r="D2728" s="376">
        <v>2025</v>
      </c>
      <c r="E2728" s="376">
        <v>2030</v>
      </c>
      <c r="F2728" s="376">
        <v>0.23884589662749595</v>
      </c>
      <c r="G2728" s="376">
        <v>10426.102375692073</v>
      </c>
      <c r="H2728" s="376">
        <v>0</v>
      </c>
      <c r="I2728" s="376">
        <v>1</v>
      </c>
    </row>
    <row r="2729" spans="1:9" x14ac:dyDescent="0.35">
      <c r="A2729" s="376" t="s">
        <v>1605</v>
      </c>
      <c r="B2729" s="376" t="s">
        <v>1609</v>
      </c>
      <c r="C2729" s="376" t="s">
        <v>644</v>
      </c>
      <c r="D2729" s="376">
        <v>2025</v>
      </c>
      <c r="E2729" s="376">
        <v>2030</v>
      </c>
      <c r="F2729" s="376">
        <v>0.23884589662749595</v>
      </c>
      <c r="G2729" s="376">
        <v>10426.102375692073</v>
      </c>
      <c r="H2729" s="376">
        <v>0</v>
      </c>
      <c r="I2729" s="376">
        <v>1</v>
      </c>
    </row>
    <row r="2730" spans="1:9" x14ac:dyDescent="0.35">
      <c r="A2730" s="376" t="s">
        <v>1605</v>
      </c>
      <c r="B2730" s="376" t="s">
        <v>1609</v>
      </c>
      <c r="C2730" s="376" t="s">
        <v>628</v>
      </c>
      <c r="D2730" s="376">
        <v>2025</v>
      </c>
      <c r="E2730" s="376">
        <v>2030</v>
      </c>
      <c r="F2730" s="376">
        <v>0.23884589662749595</v>
      </c>
      <c r="G2730" s="376">
        <v>10426.102375692073</v>
      </c>
      <c r="H2730" s="376">
        <v>0</v>
      </c>
      <c r="I2730" s="376">
        <v>1</v>
      </c>
    </row>
    <row r="2731" spans="1:9" x14ac:dyDescent="0.35">
      <c r="A2731" s="376" t="s">
        <v>1605</v>
      </c>
      <c r="B2731" s="376" t="s">
        <v>1609</v>
      </c>
      <c r="C2731" s="376" t="s">
        <v>1051</v>
      </c>
      <c r="D2731" s="376">
        <v>2025</v>
      </c>
      <c r="E2731" s="376">
        <v>2030</v>
      </c>
      <c r="F2731" s="376">
        <v>0.23884589662749595</v>
      </c>
      <c r="G2731" s="376">
        <v>10426.102375692073</v>
      </c>
      <c r="H2731" s="376">
        <v>0</v>
      </c>
      <c r="I2731" s="376">
        <v>1</v>
      </c>
    </row>
    <row r="2732" spans="1:9" x14ac:dyDescent="0.35">
      <c r="A2732" s="376" t="s">
        <v>1605</v>
      </c>
      <c r="B2732" s="376" t="s">
        <v>1609</v>
      </c>
      <c r="C2732" s="376" t="s">
        <v>1054</v>
      </c>
      <c r="D2732" s="376">
        <v>2025</v>
      </c>
      <c r="E2732" s="376">
        <v>2030</v>
      </c>
      <c r="F2732" s="376">
        <v>0.23884589662749595</v>
      </c>
      <c r="G2732" s="376">
        <v>10426.102375692073</v>
      </c>
      <c r="H2732" s="376">
        <v>0</v>
      </c>
      <c r="I2732" s="376">
        <v>1</v>
      </c>
    </row>
    <row r="2733" spans="1:9" x14ac:dyDescent="0.35">
      <c r="A2733" s="376" t="s">
        <v>1605</v>
      </c>
      <c r="B2733" s="376" t="s">
        <v>1609</v>
      </c>
      <c r="C2733" s="376" t="s">
        <v>1046</v>
      </c>
      <c r="D2733" s="376">
        <v>2025</v>
      </c>
      <c r="E2733" s="376">
        <v>2031</v>
      </c>
      <c r="F2733" s="376">
        <v>0.23884589662749595</v>
      </c>
      <c r="G2733" s="376">
        <v>10426.102375692073</v>
      </c>
      <c r="H2733" s="376">
        <v>0</v>
      </c>
      <c r="I2733" s="376">
        <v>1</v>
      </c>
    </row>
    <row r="2734" spans="1:9" x14ac:dyDescent="0.35">
      <c r="A2734" s="376" t="s">
        <v>1605</v>
      </c>
      <c r="B2734" s="376" t="s">
        <v>1609</v>
      </c>
      <c r="C2734" s="376" t="s">
        <v>644</v>
      </c>
      <c r="D2734" s="376">
        <v>2025</v>
      </c>
      <c r="E2734" s="376">
        <v>2031</v>
      </c>
      <c r="F2734" s="376">
        <v>0.23884589662749595</v>
      </c>
      <c r="G2734" s="376">
        <v>10426.102375692073</v>
      </c>
      <c r="H2734" s="376">
        <v>0</v>
      </c>
      <c r="I2734" s="376">
        <v>1</v>
      </c>
    </row>
    <row r="2735" spans="1:9" x14ac:dyDescent="0.35">
      <c r="A2735" s="376" t="s">
        <v>1605</v>
      </c>
      <c r="B2735" s="376" t="s">
        <v>1609</v>
      </c>
      <c r="C2735" s="376" t="s">
        <v>628</v>
      </c>
      <c r="D2735" s="376">
        <v>2025</v>
      </c>
      <c r="E2735" s="376">
        <v>2031</v>
      </c>
      <c r="F2735" s="376">
        <v>0.23884589662749595</v>
      </c>
      <c r="G2735" s="376">
        <v>10426.102375692073</v>
      </c>
      <c r="H2735" s="376">
        <v>0</v>
      </c>
      <c r="I2735" s="376">
        <v>1</v>
      </c>
    </row>
    <row r="2736" spans="1:9" x14ac:dyDescent="0.35">
      <c r="A2736" s="376" t="s">
        <v>1605</v>
      </c>
      <c r="B2736" s="376" t="s">
        <v>1609</v>
      </c>
      <c r="C2736" s="376" t="s">
        <v>1051</v>
      </c>
      <c r="D2736" s="376">
        <v>2025</v>
      </c>
      <c r="E2736" s="376">
        <v>2031</v>
      </c>
      <c r="F2736" s="376">
        <v>0.23884589662749595</v>
      </c>
      <c r="G2736" s="376">
        <v>10426.102375692073</v>
      </c>
      <c r="H2736" s="376">
        <v>0</v>
      </c>
      <c r="I2736" s="376">
        <v>1</v>
      </c>
    </row>
    <row r="2737" spans="1:9" x14ac:dyDescent="0.35">
      <c r="A2737" s="376" t="s">
        <v>1605</v>
      </c>
      <c r="B2737" s="376" t="s">
        <v>1609</v>
      </c>
      <c r="C2737" s="376" t="s">
        <v>1054</v>
      </c>
      <c r="D2737" s="376">
        <v>2025</v>
      </c>
      <c r="E2737" s="376">
        <v>2031</v>
      </c>
      <c r="F2737" s="376">
        <v>0.23884589662749595</v>
      </c>
      <c r="G2737" s="376">
        <v>10426.102375692073</v>
      </c>
      <c r="H2737" s="376">
        <v>0</v>
      </c>
      <c r="I2737" s="376">
        <v>1</v>
      </c>
    </row>
    <row r="2738" spans="1:9" x14ac:dyDescent="0.35">
      <c r="A2738" s="376" t="s">
        <v>1636</v>
      </c>
      <c r="B2738" s="376" t="s">
        <v>1609</v>
      </c>
      <c r="C2738" s="376" t="s">
        <v>1046</v>
      </c>
      <c r="D2738" s="376">
        <v>2025</v>
      </c>
      <c r="E2738" s="376">
        <v>2025</v>
      </c>
      <c r="F2738" s="376">
        <v>1</v>
      </c>
      <c r="G2738" s="376">
        <v>3520.7232155929828</v>
      </c>
      <c r="H2738" s="376">
        <v>0</v>
      </c>
      <c r="I2738" s="376">
        <v>1</v>
      </c>
    </row>
    <row r="2739" spans="1:9" x14ac:dyDescent="0.35">
      <c r="A2739" s="376" t="s">
        <v>1636</v>
      </c>
      <c r="B2739" s="376" t="s">
        <v>1609</v>
      </c>
      <c r="C2739" s="376" t="s">
        <v>644</v>
      </c>
      <c r="D2739" s="376">
        <v>2025</v>
      </c>
      <c r="E2739" s="376">
        <v>2025</v>
      </c>
      <c r="F2739" s="376">
        <v>1</v>
      </c>
      <c r="G2739" s="376">
        <v>3520.7232155929828</v>
      </c>
      <c r="H2739" s="376">
        <v>0</v>
      </c>
      <c r="I2739" s="376">
        <v>1</v>
      </c>
    </row>
    <row r="2740" spans="1:9" x14ac:dyDescent="0.35">
      <c r="A2740" s="376" t="s">
        <v>1636</v>
      </c>
      <c r="B2740" s="376" t="s">
        <v>1609</v>
      </c>
      <c r="C2740" s="376" t="s">
        <v>628</v>
      </c>
      <c r="D2740" s="376">
        <v>2025</v>
      </c>
      <c r="E2740" s="376">
        <v>2025</v>
      </c>
      <c r="F2740" s="376">
        <v>1</v>
      </c>
      <c r="G2740" s="376">
        <v>3520.7232155929828</v>
      </c>
      <c r="H2740" s="376">
        <v>0</v>
      </c>
      <c r="I2740" s="376">
        <v>1</v>
      </c>
    </row>
    <row r="2741" spans="1:9" x14ac:dyDescent="0.35">
      <c r="A2741" s="376" t="s">
        <v>1636</v>
      </c>
      <c r="B2741" s="376" t="s">
        <v>1609</v>
      </c>
      <c r="C2741" s="376" t="s">
        <v>1051</v>
      </c>
      <c r="D2741" s="376">
        <v>2025</v>
      </c>
      <c r="E2741" s="376">
        <v>2025</v>
      </c>
      <c r="F2741" s="376">
        <v>1</v>
      </c>
      <c r="G2741" s="376">
        <v>3520.7232155929828</v>
      </c>
      <c r="H2741" s="376">
        <v>0</v>
      </c>
      <c r="I2741" s="376">
        <v>1</v>
      </c>
    </row>
    <row r="2742" spans="1:9" x14ac:dyDescent="0.35">
      <c r="A2742" s="376" t="s">
        <v>1636</v>
      </c>
      <c r="B2742" s="376" t="s">
        <v>1609</v>
      </c>
      <c r="C2742" s="376" t="s">
        <v>1054</v>
      </c>
      <c r="D2742" s="376">
        <v>2025</v>
      </c>
      <c r="E2742" s="376">
        <v>2025</v>
      </c>
      <c r="F2742" s="376">
        <v>1</v>
      </c>
      <c r="G2742" s="376">
        <v>3520.7232155929828</v>
      </c>
      <c r="H2742" s="376">
        <v>0</v>
      </c>
      <c r="I2742" s="376">
        <v>1</v>
      </c>
    </row>
    <row r="2743" spans="1:9" x14ac:dyDescent="0.35">
      <c r="A2743" s="376" t="s">
        <v>1636</v>
      </c>
      <c r="B2743" s="376" t="s">
        <v>1609</v>
      </c>
      <c r="C2743" s="376" t="s">
        <v>1046</v>
      </c>
      <c r="D2743" s="376">
        <v>2025</v>
      </c>
      <c r="E2743" s="376">
        <v>2026</v>
      </c>
      <c r="F2743" s="376">
        <v>1</v>
      </c>
      <c r="G2743" s="376">
        <v>3520.7232155929828</v>
      </c>
      <c r="H2743" s="376">
        <v>0</v>
      </c>
      <c r="I2743" s="376">
        <v>1</v>
      </c>
    </row>
    <row r="2744" spans="1:9" x14ac:dyDescent="0.35">
      <c r="A2744" s="376" t="s">
        <v>1636</v>
      </c>
      <c r="B2744" s="376" t="s">
        <v>1609</v>
      </c>
      <c r="C2744" s="376" t="s">
        <v>644</v>
      </c>
      <c r="D2744" s="376">
        <v>2025</v>
      </c>
      <c r="E2744" s="376">
        <v>2026</v>
      </c>
      <c r="F2744" s="376">
        <v>1</v>
      </c>
      <c r="G2744" s="376">
        <v>3520.7232155929828</v>
      </c>
      <c r="H2744" s="376">
        <v>0</v>
      </c>
      <c r="I2744" s="376">
        <v>1</v>
      </c>
    </row>
    <row r="2745" spans="1:9" x14ac:dyDescent="0.35">
      <c r="A2745" s="376" t="s">
        <v>1636</v>
      </c>
      <c r="B2745" s="376" t="s">
        <v>1609</v>
      </c>
      <c r="C2745" s="376" t="s">
        <v>628</v>
      </c>
      <c r="D2745" s="376">
        <v>2025</v>
      </c>
      <c r="E2745" s="376">
        <v>2026</v>
      </c>
      <c r="F2745" s="376">
        <v>1</v>
      </c>
      <c r="G2745" s="376">
        <v>3520.7232155929828</v>
      </c>
      <c r="H2745" s="376">
        <v>0</v>
      </c>
      <c r="I2745" s="376">
        <v>1</v>
      </c>
    </row>
    <row r="2746" spans="1:9" x14ac:dyDescent="0.35">
      <c r="A2746" s="376" t="s">
        <v>1636</v>
      </c>
      <c r="B2746" s="376" t="s">
        <v>1609</v>
      </c>
      <c r="C2746" s="376" t="s">
        <v>1051</v>
      </c>
      <c r="D2746" s="376">
        <v>2025</v>
      </c>
      <c r="E2746" s="376">
        <v>2026</v>
      </c>
      <c r="F2746" s="376">
        <v>1</v>
      </c>
      <c r="G2746" s="376">
        <v>3520.7232155929828</v>
      </c>
      <c r="H2746" s="376">
        <v>0</v>
      </c>
      <c r="I2746" s="376">
        <v>1</v>
      </c>
    </row>
    <row r="2747" spans="1:9" x14ac:dyDescent="0.35">
      <c r="A2747" s="376" t="s">
        <v>1636</v>
      </c>
      <c r="B2747" s="376" t="s">
        <v>1609</v>
      </c>
      <c r="C2747" s="376" t="s">
        <v>1054</v>
      </c>
      <c r="D2747" s="376">
        <v>2025</v>
      </c>
      <c r="E2747" s="376">
        <v>2026</v>
      </c>
      <c r="F2747" s="376">
        <v>1</v>
      </c>
      <c r="G2747" s="376">
        <v>3520.7232155929828</v>
      </c>
      <c r="H2747" s="376">
        <v>0</v>
      </c>
      <c r="I2747" s="376">
        <v>1</v>
      </c>
    </row>
    <row r="2748" spans="1:9" x14ac:dyDescent="0.35">
      <c r="A2748" s="376" t="s">
        <v>1636</v>
      </c>
      <c r="B2748" s="376" t="s">
        <v>1609</v>
      </c>
      <c r="C2748" s="376" t="s">
        <v>1046</v>
      </c>
      <c r="D2748" s="376">
        <v>2025</v>
      </c>
      <c r="E2748" s="376">
        <v>2027</v>
      </c>
      <c r="F2748" s="376">
        <v>1</v>
      </c>
      <c r="G2748" s="376">
        <v>3520.7232155929828</v>
      </c>
      <c r="H2748" s="376">
        <v>0</v>
      </c>
      <c r="I2748" s="376">
        <v>1</v>
      </c>
    </row>
    <row r="2749" spans="1:9" x14ac:dyDescent="0.35">
      <c r="A2749" s="376" t="s">
        <v>1636</v>
      </c>
      <c r="B2749" s="376" t="s">
        <v>1609</v>
      </c>
      <c r="C2749" s="376" t="s">
        <v>644</v>
      </c>
      <c r="D2749" s="376">
        <v>2025</v>
      </c>
      <c r="E2749" s="376">
        <v>2027</v>
      </c>
      <c r="F2749" s="376">
        <v>1</v>
      </c>
      <c r="G2749" s="376">
        <v>3520.7232155929828</v>
      </c>
      <c r="H2749" s="376">
        <v>0</v>
      </c>
      <c r="I2749" s="376">
        <v>1</v>
      </c>
    </row>
    <row r="2750" spans="1:9" x14ac:dyDescent="0.35">
      <c r="A2750" s="376" t="s">
        <v>1636</v>
      </c>
      <c r="B2750" s="376" t="s">
        <v>1609</v>
      </c>
      <c r="C2750" s="376" t="s">
        <v>628</v>
      </c>
      <c r="D2750" s="376">
        <v>2025</v>
      </c>
      <c r="E2750" s="376">
        <v>2027</v>
      </c>
      <c r="F2750" s="376">
        <v>1</v>
      </c>
      <c r="G2750" s="376">
        <v>3520.7232155929828</v>
      </c>
      <c r="H2750" s="376">
        <v>0</v>
      </c>
      <c r="I2750" s="376">
        <v>1</v>
      </c>
    </row>
    <row r="2751" spans="1:9" x14ac:dyDescent="0.35">
      <c r="A2751" s="376" t="s">
        <v>1636</v>
      </c>
      <c r="B2751" s="376" t="s">
        <v>1609</v>
      </c>
      <c r="C2751" s="376" t="s">
        <v>1051</v>
      </c>
      <c r="D2751" s="376">
        <v>2025</v>
      </c>
      <c r="E2751" s="376">
        <v>2027</v>
      </c>
      <c r="F2751" s="376">
        <v>1</v>
      </c>
      <c r="G2751" s="376">
        <v>3520.7232155929828</v>
      </c>
      <c r="H2751" s="376">
        <v>0</v>
      </c>
      <c r="I2751" s="376">
        <v>1</v>
      </c>
    </row>
    <row r="2752" spans="1:9" x14ac:dyDescent="0.35">
      <c r="A2752" s="376" t="s">
        <v>1636</v>
      </c>
      <c r="B2752" s="376" t="s">
        <v>1609</v>
      </c>
      <c r="C2752" s="376" t="s">
        <v>1054</v>
      </c>
      <c r="D2752" s="376">
        <v>2025</v>
      </c>
      <c r="E2752" s="376">
        <v>2027</v>
      </c>
      <c r="F2752" s="376">
        <v>1</v>
      </c>
      <c r="G2752" s="376">
        <v>3520.7232155929828</v>
      </c>
      <c r="H2752" s="376">
        <v>0</v>
      </c>
      <c r="I2752" s="376">
        <v>1</v>
      </c>
    </row>
    <row r="2753" spans="1:9" x14ac:dyDescent="0.35">
      <c r="A2753" s="376" t="s">
        <v>1636</v>
      </c>
      <c r="B2753" s="376" t="s">
        <v>1609</v>
      </c>
      <c r="C2753" s="376" t="s">
        <v>1046</v>
      </c>
      <c r="D2753" s="376">
        <v>2025</v>
      </c>
      <c r="E2753" s="376">
        <v>2028</v>
      </c>
      <c r="F2753" s="376">
        <v>1</v>
      </c>
      <c r="G2753" s="376">
        <v>3520.7232155929828</v>
      </c>
      <c r="H2753" s="376">
        <v>0</v>
      </c>
      <c r="I2753" s="376">
        <v>1</v>
      </c>
    </row>
    <row r="2754" spans="1:9" x14ac:dyDescent="0.35">
      <c r="A2754" s="376" t="s">
        <v>1636</v>
      </c>
      <c r="B2754" s="376" t="s">
        <v>1609</v>
      </c>
      <c r="C2754" s="376" t="s">
        <v>644</v>
      </c>
      <c r="D2754" s="376">
        <v>2025</v>
      </c>
      <c r="E2754" s="376">
        <v>2028</v>
      </c>
      <c r="F2754" s="376">
        <v>1</v>
      </c>
      <c r="G2754" s="376">
        <v>3520.7232155929828</v>
      </c>
      <c r="H2754" s="376">
        <v>0</v>
      </c>
      <c r="I2754" s="376">
        <v>1</v>
      </c>
    </row>
    <row r="2755" spans="1:9" x14ac:dyDescent="0.35">
      <c r="A2755" s="376" t="s">
        <v>1636</v>
      </c>
      <c r="B2755" s="376" t="s">
        <v>1609</v>
      </c>
      <c r="C2755" s="376" t="s">
        <v>628</v>
      </c>
      <c r="D2755" s="376">
        <v>2025</v>
      </c>
      <c r="E2755" s="376">
        <v>2028</v>
      </c>
      <c r="F2755" s="376">
        <v>1</v>
      </c>
      <c r="G2755" s="376">
        <v>3520.7232155929828</v>
      </c>
      <c r="H2755" s="376">
        <v>0</v>
      </c>
      <c r="I2755" s="376">
        <v>1</v>
      </c>
    </row>
    <row r="2756" spans="1:9" x14ac:dyDescent="0.35">
      <c r="A2756" s="376" t="s">
        <v>1636</v>
      </c>
      <c r="B2756" s="376" t="s">
        <v>1609</v>
      </c>
      <c r="C2756" s="376" t="s">
        <v>1051</v>
      </c>
      <c r="D2756" s="376">
        <v>2025</v>
      </c>
      <c r="E2756" s="376">
        <v>2028</v>
      </c>
      <c r="F2756" s="376">
        <v>1</v>
      </c>
      <c r="G2756" s="376">
        <v>3520.7232155929828</v>
      </c>
      <c r="H2756" s="376">
        <v>0</v>
      </c>
      <c r="I2756" s="376">
        <v>1</v>
      </c>
    </row>
    <row r="2757" spans="1:9" x14ac:dyDescent="0.35">
      <c r="A2757" s="376" t="s">
        <v>1636</v>
      </c>
      <c r="B2757" s="376" t="s">
        <v>1609</v>
      </c>
      <c r="C2757" s="376" t="s">
        <v>1054</v>
      </c>
      <c r="D2757" s="376">
        <v>2025</v>
      </c>
      <c r="E2757" s="376">
        <v>2028</v>
      </c>
      <c r="F2757" s="376">
        <v>1</v>
      </c>
      <c r="G2757" s="376">
        <v>3520.7232155929828</v>
      </c>
      <c r="H2757" s="376">
        <v>0</v>
      </c>
      <c r="I2757" s="376">
        <v>1</v>
      </c>
    </row>
    <row r="2758" spans="1:9" x14ac:dyDescent="0.35">
      <c r="A2758" s="376" t="s">
        <v>1636</v>
      </c>
      <c r="B2758" s="376" t="s">
        <v>1609</v>
      </c>
      <c r="C2758" s="376" t="s">
        <v>1046</v>
      </c>
      <c r="D2758" s="376">
        <v>2025</v>
      </c>
      <c r="E2758" s="376">
        <v>2029</v>
      </c>
      <c r="F2758" s="376">
        <v>1</v>
      </c>
      <c r="G2758" s="376">
        <v>3520.7232155929828</v>
      </c>
      <c r="H2758" s="376">
        <v>0</v>
      </c>
      <c r="I2758" s="376">
        <v>1</v>
      </c>
    </row>
    <row r="2759" spans="1:9" x14ac:dyDescent="0.35">
      <c r="A2759" s="376" t="s">
        <v>1636</v>
      </c>
      <c r="B2759" s="376" t="s">
        <v>1609</v>
      </c>
      <c r="C2759" s="376" t="s">
        <v>644</v>
      </c>
      <c r="D2759" s="376">
        <v>2025</v>
      </c>
      <c r="E2759" s="376">
        <v>2029</v>
      </c>
      <c r="F2759" s="376">
        <v>1</v>
      </c>
      <c r="G2759" s="376">
        <v>3520.7232155929828</v>
      </c>
      <c r="H2759" s="376">
        <v>0</v>
      </c>
      <c r="I2759" s="376">
        <v>1</v>
      </c>
    </row>
    <row r="2760" spans="1:9" x14ac:dyDescent="0.35">
      <c r="A2760" s="376" t="s">
        <v>1636</v>
      </c>
      <c r="B2760" s="376" t="s">
        <v>1609</v>
      </c>
      <c r="C2760" s="376" t="s">
        <v>628</v>
      </c>
      <c r="D2760" s="376">
        <v>2025</v>
      </c>
      <c r="E2760" s="376">
        <v>2029</v>
      </c>
      <c r="F2760" s="376">
        <v>1</v>
      </c>
      <c r="G2760" s="376">
        <v>3520.7232155929828</v>
      </c>
      <c r="H2760" s="376">
        <v>0</v>
      </c>
      <c r="I2760" s="376">
        <v>1</v>
      </c>
    </row>
    <row r="2761" spans="1:9" x14ac:dyDescent="0.35">
      <c r="A2761" s="376" t="s">
        <v>1636</v>
      </c>
      <c r="B2761" s="376" t="s">
        <v>1609</v>
      </c>
      <c r="C2761" s="376" t="s">
        <v>1051</v>
      </c>
      <c r="D2761" s="376">
        <v>2025</v>
      </c>
      <c r="E2761" s="376">
        <v>2029</v>
      </c>
      <c r="F2761" s="376">
        <v>1</v>
      </c>
      <c r="G2761" s="376">
        <v>3520.7232155929828</v>
      </c>
      <c r="H2761" s="376">
        <v>0</v>
      </c>
      <c r="I2761" s="376">
        <v>1</v>
      </c>
    </row>
    <row r="2762" spans="1:9" x14ac:dyDescent="0.35">
      <c r="A2762" s="376" t="s">
        <v>1636</v>
      </c>
      <c r="B2762" s="376" t="s">
        <v>1609</v>
      </c>
      <c r="C2762" s="376" t="s">
        <v>1054</v>
      </c>
      <c r="D2762" s="376">
        <v>2025</v>
      </c>
      <c r="E2762" s="376">
        <v>2029</v>
      </c>
      <c r="F2762" s="376">
        <v>1</v>
      </c>
      <c r="G2762" s="376">
        <v>3520.7232155929828</v>
      </c>
      <c r="H2762" s="376">
        <v>0</v>
      </c>
      <c r="I2762" s="376">
        <v>1</v>
      </c>
    </row>
    <row r="2763" spans="1:9" x14ac:dyDescent="0.35">
      <c r="A2763" s="376" t="s">
        <v>1636</v>
      </c>
      <c r="B2763" s="376" t="s">
        <v>1609</v>
      </c>
      <c r="C2763" s="376" t="s">
        <v>1046</v>
      </c>
      <c r="D2763" s="376">
        <v>2025</v>
      </c>
      <c r="E2763" s="376">
        <v>2030</v>
      </c>
      <c r="F2763" s="376">
        <v>1</v>
      </c>
      <c r="G2763" s="376">
        <v>3520.7232155929828</v>
      </c>
      <c r="H2763" s="376">
        <v>0</v>
      </c>
      <c r="I2763" s="376">
        <v>1</v>
      </c>
    </row>
    <row r="2764" spans="1:9" x14ac:dyDescent="0.35">
      <c r="A2764" s="376" t="s">
        <v>1636</v>
      </c>
      <c r="B2764" s="376" t="s">
        <v>1609</v>
      </c>
      <c r="C2764" s="376" t="s">
        <v>644</v>
      </c>
      <c r="D2764" s="376">
        <v>2025</v>
      </c>
      <c r="E2764" s="376">
        <v>2030</v>
      </c>
      <c r="F2764" s="376">
        <v>1</v>
      </c>
      <c r="G2764" s="376">
        <v>3520.7232155929828</v>
      </c>
      <c r="H2764" s="376">
        <v>0</v>
      </c>
      <c r="I2764" s="376">
        <v>1</v>
      </c>
    </row>
    <row r="2765" spans="1:9" x14ac:dyDescent="0.35">
      <c r="A2765" s="376" t="s">
        <v>1636</v>
      </c>
      <c r="B2765" s="376" t="s">
        <v>1609</v>
      </c>
      <c r="C2765" s="376" t="s">
        <v>628</v>
      </c>
      <c r="D2765" s="376">
        <v>2025</v>
      </c>
      <c r="E2765" s="376">
        <v>2030</v>
      </c>
      <c r="F2765" s="376">
        <v>1</v>
      </c>
      <c r="G2765" s="376">
        <v>3520.7232155929828</v>
      </c>
      <c r="H2765" s="376">
        <v>0</v>
      </c>
      <c r="I2765" s="376">
        <v>1</v>
      </c>
    </row>
    <row r="2766" spans="1:9" x14ac:dyDescent="0.35">
      <c r="A2766" s="376" t="s">
        <v>1636</v>
      </c>
      <c r="B2766" s="376" t="s">
        <v>1609</v>
      </c>
      <c r="C2766" s="376" t="s">
        <v>1051</v>
      </c>
      <c r="D2766" s="376">
        <v>2025</v>
      </c>
      <c r="E2766" s="376">
        <v>2030</v>
      </c>
      <c r="F2766" s="376">
        <v>1</v>
      </c>
      <c r="G2766" s="376">
        <v>3520.7232155929828</v>
      </c>
      <c r="H2766" s="376">
        <v>0</v>
      </c>
      <c r="I2766" s="376">
        <v>1</v>
      </c>
    </row>
    <row r="2767" spans="1:9" x14ac:dyDescent="0.35">
      <c r="A2767" s="376" t="s">
        <v>1636</v>
      </c>
      <c r="B2767" s="376" t="s">
        <v>1609</v>
      </c>
      <c r="C2767" s="376" t="s">
        <v>1054</v>
      </c>
      <c r="D2767" s="376">
        <v>2025</v>
      </c>
      <c r="E2767" s="376">
        <v>2030</v>
      </c>
      <c r="F2767" s="376">
        <v>1</v>
      </c>
      <c r="G2767" s="376">
        <v>3520.7232155929828</v>
      </c>
      <c r="H2767" s="376">
        <v>0</v>
      </c>
      <c r="I2767" s="376">
        <v>1</v>
      </c>
    </row>
    <row r="2768" spans="1:9" x14ac:dyDescent="0.35">
      <c r="A2768" s="376" t="s">
        <v>1636</v>
      </c>
      <c r="B2768" s="376" t="s">
        <v>1609</v>
      </c>
      <c r="C2768" s="376" t="s">
        <v>1046</v>
      </c>
      <c r="D2768" s="376">
        <v>2025</v>
      </c>
      <c r="E2768" s="376">
        <v>2031</v>
      </c>
      <c r="F2768" s="376">
        <v>1</v>
      </c>
      <c r="G2768" s="376">
        <v>3520.7232155929828</v>
      </c>
      <c r="H2768" s="376">
        <v>0</v>
      </c>
      <c r="I2768" s="376">
        <v>1</v>
      </c>
    </row>
    <row r="2769" spans="1:9" x14ac:dyDescent="0.35">
      <c r="A2769" s="376" t="s">
        <v>1636</v>
      </c>
      <c r="B2769" s="376" t="s">
        <v>1609</v>
      </c>
      <c r="C2769" s="376" t="s">
        <v>644</v>
      </c>
      <c r="D2769" s="376">
        <v>2025</v>
      </c>
      <c r="E2769" s="376">
        <v>2031</v>
      </c>
      <c r="F2769" s="376">
        <v>1</v>
      </c>
      <c r="G2769" s="376">
        <v>3520.7232155929828</v>
      </c>
      <c r="H2769" s="376">
        <v>0</v>
      </c>
      <c r="I2769" s="376">
        <v>1</v>
      </c>
    </row>
    <row r="2770" spans="1:9" x14ac:dyDescent="0.35">
      <c r="A2770" s="376" t="s">
        <v>1636</v>
      </c>
      <c r="B2770" s="376" t="s">
        <v>1609</v>
      </c>
      <c r="C2770" s="376" t="s">
        <v>628</v>
      </c>
      <c r="D2770" s="376">
        <v>2025</v>
      </c>
      <c r="E2770" s="376">
        <v>2031</v>
      </c>
      <c r="F2770" s="376">
        <v>1</v>
      </c>
      <c r="G2770" s="376">
        <v>3520.7232155929828</v>
      </c>
      <c r="H2770" s="376">
        <v>0</v>
      </c>
      <c r="I2770" s="376">
        <v>1</v>
      </c>
    </row>
    <row r="2771" spans="1:9" x14ac:dyDescent="0.35">
      <c r="A2771" s="376" t="s">
        <v>1636</v>
      </c>
      <c r="B2771" s="376" t="s">
        <v>1609</v>
      </c>
      <c r="C2771" s="376" t="s">
        <v>1051</v>
      </c>
      <c r="D2771" s="376">
        <v>2025</v>
      </c>
      <c r="E2771" s="376">
        <v>2031</v>
      </c>
      <c r="F2771" s="376">
        <v>1</v>
      </c>
      <c r="G2771" s="376">
        <v>3520.7232155929828</v>
      </c>
      <c r="H2771" s="376">
        <v>0</v>
      </c>
      <c r="I2771" s="376">
        <v>1</v>
      </c>
    </row>
    <row r="2772" spans="1:9" x14ac:dyDescent="0.35">
      <c r="A2772" s="376" t="s">
        <v>1636</v>
      </c>
      <c r="B2772" s="376" t="s">
        <v>1609</v>
      </c>
      <c r="C2772" s="376" t="s">
        <v>1054</v>
      </c>
      <c r="D2772" s="376">
        <v>2025</v>
      </c>
      <c r="E2772" s="376">
        <v>2031</v>
      </c>
      <c r="F2772" s="376">
        <v>1</v>
      </c>
      <c r="G2772" s="376">
        <v>3520.7232155929828</v>
      </c>
      <c r="H2772" s="376">
        <v>0</v>
      </c>
      <c r="I2772" s="376">
        <v>1</v>
      </c>
    </row>
    <row r="2773" spans="1:9" x14ac:dyDescent="0.35">
      <c r="A2773" s="376" t="s">
        <v>1606</v>
      </c>
      <c r="B2773" s="376" t="s">
        <v>1609</v>
      </c>
      <c r="C2773" s="376" t="s">
        <v>1046</v>
      </c>
      <c r="D2773" s="376">
        <v>2025</v>
      </c>
      <c r="E2773" s="376">
        <v>2025</v>
      </c>
      <c r="F2773" s="376">
        <v>1</v>
      </c>
      <c r="G2773" s="376">
        <v>5933.4275729440915</v>
      </c>
      <c r="H2773" s="376">
        <v>0</v>
      </c>
      <c r="I2773" s="376">
        <v>1</v>
      </c>
    </row>
    <row r="2774" spans="1:9" x14ac:dyDescent="0.35">
      <c r="A2774" s="376" t="s">
        <v>1606</v>
      </c>
      <c r="B2774" s="376" t="s">
        <v>1609</v>
      </c>
      <c r="C2774" s="376" t="s">
        <v>644</v>
      </c>
      <c r="D2774" s="376">
        <v>2025</v>
      </c>
      <c r="E2774" s="376">
        <v>2025</v>
      </c>
      <c r="F2774" s="376">
        <v>1</v>
      </c>
      <c r="G2774" s="376">
        <v>5933.4275729440915</v>
      </c>
      <c r="H2774" s="376">
        <v>0</v>
      </c>
      <c r="I2774" s="376">
        <v>1</v>
      </c>
    </row>
    <row r="2775" spans="1:9" x14ac:dyDescent="0.35">
      <c r="A2775" s="376" t="s">
        <v>1606</v>
      </c>
      <c r="B2775" s="376" t="s">
        <v>1609</v>
      </c>
      <c r="C2775" s="376" t="s">
        <v>628</v>
      </c>
      <c r="D2775" s="376">
        <v>2025</v>
      </c>
      <c r="E2775" s="376">
        <v>2025</v>
      </c>
      <c r="F2775" s="376">
        <v>1</v>
      </c>
      <c r="G2775" s="376">
        <v>5933.4275729440915</v>
      </c>
      <c r="H2775" s="376">
        <v>0</v>
      </c>
      <c r="I2775" s="376">
        <v>1</v>
      </c>
    </row>
    <row r="2776" spans="1:9" x14ac:dyDescent="0.35">
      <c r="A2776" s="376" t="s">
        <v>1606</v>
      </c>
      <c r="B2776" s="376" t="s">
        <v>1609</v>
      </c>
      <c r="C2776" s="376" t="s">
        <v>1051</v>
      </c>
      <c r="D2776" s="376">
        <v>2025</v>
      </c>
      <c r="E2776" s="376">
        <v>2025</v>
      </c>
      <c r="F2776" s="376">
        <v>1</v>
      </c>
      <c r="G2776" s="376">
        <v>5933.4275729440915</v>
      </c>
      <c r="H2776" s="376">
        <v>0</v>
      </c>
      <c r="I2776" s="376">
        <v>1</v>
      </c>
    </row>
    <row r="2777" spans="1:9" x14ac:dyDescent="0.35">
      <c r="A2777" s="376" t="s">
        <v>1606</v>
      </c>
      <c r="B2777" s="376" t="s">
        <v>1609</v>
      </c>
      <c r="C2777" s="376" t="s">
        <v>1054</v>
      </c>
      <c r="D2777" s="376">
        <v>2025</v>
      </c>
      <c r="E2777" s="376">
        <v>2025</v>
      </c>
      <c r="F2777" s="376">
        <v>1</v>
      </c>
      <c r="G2777" s="376">
        <v>5933.4275729440915</v>
      </c>
      <c r="H2777" s="376">
        <v>0</v>
      </c>
      <c r="I2777" s="376">
        <v>1</v>
      </c>
    </row>
    <row r="2778" spans="1:9" x14ac:dyDescent="0.35">
      <c r="A2778" s="376" t="s">
        <v>1606</v>
      </c>
      <c r="B2778" s="376" t="s">
        <v>1609</v>
      </c>
      <c r="C2778" s="376" t="s">
        <v>1046</v>
      </c>
      <c r="D2778" s="376">
        <v>2025</v>
      </c>
      <c r="E2778" s="376">
        <v>2026</v>
      </c>
      <c r="F2778" s="376">
        <v>1</v>
      </c>
      <c r="G2778" s="376">
        <v>5933.4275729440915</v>
      </c>
      <c r="H2778" s="376">
        <v>0</v>
      </c>
      <c r="I2778" s="376">
        <v>1</v>
      </c>
    </row>
    <row r="2779" spans="1:9" x14ac:dyDescent="0.35">
      <c r="A2779" s="376" t="s">
        <v>1606</v>
      </c>
      <c r="B2779" s="376" t="s">
        <v>1609</v>
      </c>
      <c r="C2779" s="376" t="s">
        <v>644</v>
      </c>
      <c r="D2779" s="376">
        <v>2025</v>
      </c>
      <c r="E2779" s="376">
        <v>2026</v>
      </c>
      <c r="F2779" s="376">
        <v>1</v>
      </c>
      <c r="G2779" s="376">
        <v>5933.4275729440915</v>
      </c>
      <c r="H2779" s="376">
        <v>0</v>
      </c>
      <c r="I2779" s="376">
        <v>1</v>
      </c>
    </row>
    <row r="2780" spans="1:9" x14ac:dyDescent="0.35">
      <c r="A2780" s="376" t="s">
        <v>1606</v>
      </c>
      <c r="B2780" s="376" t="s">
        <v>1609</v>
      </c>
      <c r="C2780" s="376" t="s">
        <v>628</v>
      </c>
      <c r="D2780" s="376">
        <v>2025</v>
      </c>
      <c r="E2780" s="376">
        <v>2026</v>
      </c>
      <c r="F2780" s="376">
        <v>1</v>
      </c>
      <c r="G2780" s="376">
        <v>5933.4275729440915</v>
      </c>
      <c r="H2780" s="376">
        <v>0</v>
      </c>
      <c r="I2780" s="376">
        <v>1</v>
      </c>
    </row>
    <row r="2781" spans="1:9" x14ac:dyDescent="0.35">
      <c r="A2781" s="376" t="s">
        <v>1606</v>
      </c>
      <c r="B2781" s="376" t="s">
        <v>1609</v>
      </c>
      <c r="C2781" s="376" t="s">
        <v>1051</v>
      </c>
      <c r="D2781" s="376">
        <v>2025</v>
      </c>
      <c r="E2781" s="376">
        <v>2026</v>
      </c>
      <c r="F2781" s="376">
        <v>1</v>
      </c>
      <c r="G2781" s="376">
        <v>5933.4275729440915</v>
      </c>
      <c r="H2781" s="376">
        <v>0</v>
      </c>
      <c r="I2781" s="376">
        <v>1</v>
      </c>
    </row>
    <row r="2782" spans="1:9" x14ac:dyDescent="0.35">
      <c r="A2782" s="376" t="s">
        <v>1606</v>
      </c>
      <c r="B2782" s="376" t="s">
        <v>1609</v>
      </c>
      <c r="C2782" s="376" t="s">
        <v>1054</v>
      </c>
      <c r="D2782" s="376">
        <v>2025</v>
      </c>
      <c r="E2782" s="376">
        <v>2026</v>
      </c>
      <c r="F2782" s="376">
        <v>1</v>
      </c>
      <c r="G2782" s="376">
        <v>5933.4275729440915</v>
      </c>
      <c r="H2782" s="376">
        <v>0</v>
      </c>
      <c r="I2782" s="376">
        <v>1</v>
      </c>
    </row>
    <row r="2783" spans="1:9" x14ac:dyDescent="0.35">
      <c r="A2783" s="376" t="s">
        <v>1606</v>
      </c>
      <c r="B2783" s="376" t="s">
        <v>1609</v>
      </c>
      <c r="C2783" s="376" t="s">
        <v>1046</v>
      </c>
      <c r="D2783" s="376">
        <v>2025</v>
      </c>
      <c r="E2783" s="376">
        <v>2027</v>
      </c>
      <c r="F2783" s="376">
        <v>1</v>
      </c>
      <c r="G2783" s="376">
        <v>5933.4275729440915</v>
      </c>
      <c r="H2783" s="376">
        <v>0</v>
      </c>
      <c r="I2783" s="376">
        <v>1</v>
      </c>
    </row>
    <row r="2784" spans="1:9" x14ac:dyDescent="0.35">
      <c r="A2784" s="376" t="s">
        <v>1606</v>
      </c>
      <c r="B2784" s="376" t="s">
        <v>1609</v>
      </c>
      <c r="C2784" s="376" t="s">
        <v>644</v>
      </c>
      <c r="D2784" s="376">
        <v>2025</v>
      </c>
      <c r="E2784" s="376">
        <v>2027</v>
      </c>
      <c r="F2784" s="376">
        <v>1</v>
      </c>
      <c r="G2784" s="376">
        <v>5933.4275729440915</v>
      </c>
      <c r="H2784" s="376">
        <v>0</v>
      </c>
      <c r="I2784" s="376">
        <v>1</v>
      </c>
    </row>
    <row r="2785" spans="1:9" x14ac:dyDescent="0.35">
      <c r="A2785" s="376" t="s">
        <v>1606</v>
      </c>
      <c r="B2785" s="376" t="s">
        <v>1609</v>
      </c>
      <c r="C2785" s="376" t="s">
        <v>628</v>
      </c>
      <c r="D2785" s="376">
        <v>2025</v>
      </c>
      <c r="E2785" s="376">
        <v>2027</v>
      </c>
      <c r="F2785" s="376">
        <v>1</v>
      </c>
      <c r="G2785" s="376">
        <v>5933.4275729440915</v>
      </c>
      <c r="H2785" s="376">
        <v>0</v>
      </c>
      <c r="I2785" s="376">
        <v>1</v>
      </c>
    </row>
    <row r="2786" spans="1:9" x14ac:dyDescent="0.35">
      <c r="A2786" s="376" t="s">
        <v>1606</v>
      </c>
      <c r="B2786" s="376" t="s">
        <v>1609</v>
      </c>
      <c r="C2786" s="376" t="s">
        <v>1051</v>
      </c>
      <c r="D2786" s="376">
        <v>2025</v>
      </c>
      <c r="E2786" s="376">
        <v>2027</v>
      </c>
      <c r="F2786" s="376">
        <v>1</v>
      </c>
      <c r="G2786" s="376">
        <v>5933.4275729440915</v>
      </c>
      <c r="H2786" s="376">
        <v>0</v>
      </c>
      <c r="I2786" s="376">
        <v>1</v>
      </c>
    </row>
    <row r="2787" spans="1:9" x14ac:dyDescent="0.35">
      <c r="A2787" s="376" t="s">
        <v>1606</v>
      </c>
      <c r="B2787" s="376" t="s">
        <v>1609</v>
      </c>
      <c r="C2787" s="376" t="s">
        <v>1054</v>
      </c>
      <c r="D2787" s="376">
        <v>2025</v>
      </c>
      <c r="E2787" s="376">
        <v>2027</v>
      </c>
      <c r="F2787" s="376">
        <v>1</v>
      </c>
      <c r="G2787" s="376">
        <v>5933.4275729440915</v>
      </c>
      <c r="H2787" s="376">
        <v>0</v>
      </c>
      <c r="I2787" s="376">
        <v>1</v>
      </c>
    </row>
    <row r="2788" spans="1:9" x14ac:dyDescent="0.35">
      <c r="A2788" s="376" t="s">
        <v>1606</v>
      </c>
      <c r="B2788" s="376" t="s">
        <v>1609</v>
      </c>
      <c r="C2788" s="376" t="s">
        <v>1046</v>
      </c>
      <c r="D2788" s="376">
        <v>2025</v>
      </c>
      <c r="E2788" s="376">
        <v>2028</v>
      </c>
      <c r="F2788" s="376">
        <v>1</v>
      </c>
      <c r="G2788" s="376">
        <v>5933.4275729440915</v>
      </c>
      <c r="H2788" s="376">
        <v>0</v>
      </c>
      <c r="I2788" s="376">
        <v>1</v>
      </c>
    </row>
    <row r="2789" spans="1:9" x14ac:dyDescent="0.35">
      <c r="A2789" s="376" t="s">
        <v>1606</v>
      </c>
      <c r="B2789" s="376" t="s">
        <v>1609</v>
      </c>
      <c r="C2789" s="376" t="s">
        <v>644</v>
      </c>
      <c r="D2789" s="376">
        <v>2025</v>
      </c>
      <c r="E2789" s="376">
        <v>2028</v>
      </c>
      <c r="F2789" s="376">
        <v>1</v>
      </c>
      <c r="G2789" s="376">
        <v>5933.4275729440915</v>
      </c>
      <c r="H2789" s="376">
        <v>0</v>
      </c>
      <c r="I2789" s="376">
        <v>1</v>
      </c>
    </row>
    <row r="2790" spans="1:9" x14ac:dyDescent="0.35">
      <c r="A2790" s="376" t="s">
        <v>1606</v>
      </c>
      <c r="B2790" s="376" t="s">
        <v>1609</v>
      </c>
      <c r="C2790" s="376" t="s">
        <v>628</v>
      </c>
      <c r="D2790" s="376">
        <v>2025</v>
      </c>
      <c r="E2790" s="376">
        <v>2028</v>
      </c>
      <c r="F2790" s="376">
        <v>1</v>
      </c>
      <c r="G2790" s="376">
        <v>5933.4275729440915</v>
      </c>
      <c r="H2790" s="376">
        <v>0</v>
      </c>
      <c r="I2790" s="376">
        <v>1</v>
      </c>
    </row>
    <row r="2791" spans="1:9" x14ac:dyDescent="0.35">
      <c r="A2791" s="376" t="s">
        <v>1606</v>
      </c>
      <c r="B2791" s="376" t="s">
        <v>1609</v>
      </c>
      <c r="C2791" s="376" t="s">
        <v>1051</v>
      </c>
      <c r="D2791" s="376">
        <v>2025</v>
      </c>
      <c r="E2791" s="376">
        <v>2028</v>
      </c>
      <c r="F2791" s="376">
        <v>1</v>
      </c>
      <c r="G2791" s="376">
        <v>5933.4275729440915</v>
      </c>
      <c r="H2791" s="376">
        <v>0</v>
      </c>
      <c r="I2791" s="376">
        <v>1</v>
      </c>
    </row>
    <row r="2792" spans="1:9" x14ac:dyDescent="0.35">
      <c r="A2792" s="376" t="s">
        <v>1606</v>
      </c>
      <c r="B2792" s="376" t="s">
        <v>1609</v>
      </c>
      <c r="C2792" s="376" t="s">
        <v>1054</v>
      </c>
      <c r="D2792" s="376">
        <v>2025</v>
      </c>
      <c r="E2792" s="376">
        <v>2028</v>
      </c>
      <c r="F2792" s="376">
        <v>1</v>
      </c>
      <c r="G2792" s="376">
        <v>5933.4275729440915</v>
      </c>
      <c r="H2792" s="376">
        <v>0</v>
      </c>
      <c r="I2792" s="376">
        <v>1</v>
      </c>
    </row>
    <row r="2793" spans="1:9" x14ac:dyDescent="0.35">
      <c r="A2793" s="376" t="s">
        <v>1606</v>
      </c>
      <c r="B2793" s="376" t="s">
        <v>1609</v>
      </c>
      <c r="C2793" s="376" t="s">
        <v>1046</v>
      </c>
      <c r="D2793" s="376">
        <v>2025</v>
      </c>
      <c r="E2793" s="376">
        <v>2029</v>
      </c>
      <c r="F2793" s="376">
        <v>1</v>
      </c>
      <c r="G2793" s="376">
        <v>5933.4275729440915</v>
      </c>
      <c r="H2793" s="376">
        <v>0</v>
      </c>
      <c r="I2793" s="376">
        <v>1</v>
      </c>
    </row>
    <row r="2794" spans="1:9" x14ac:dyDescent="0.35">
      <c r="A2794" s="376" t="s">
        <v>1606</v>
      </c>
      <c r="B2794" s="376" t="s">
        <v>1609</v>
      </c>
      <c r="C2794" s="376" t="s">
        <v>644</v>
      </c>
      <c r="D2794" s="376">
        <v>2025</v>
      </c>
      <c r="E2794" s="376">
        <v>2029</v>
      </c>
      <c r="F2794" s="376">
        <v>1</v>
      </c>
      <c r="G2794" s="376">
        <v>5933.4275729440915</v>
      </c>
      <c r="H2794" s="376">
        <v>0</v>
      </c>
      <c r="I2794" s="376">
        <v>1</v>
      </c>
    </row>
    <row r="2795" spans="1:9" x14ac:dyDescent="0.35">
      <c r="A2795" s="376" t="s">
        <v>1606</v>
      </c>
      <c r="B2795" s="376" t="s">
        <v>1609</v>
      </c>
      <c r="C2795" s="376" t="s">
        <v>628</v>
      </c>
      <c r="D2795" s="376">
        <v>2025</v>
      </c>
      <c r="E2795" s="376">
        <v>2029</v>
      </c>
      <c r="F2795" s="376">
        <v>1</v>
      </c>
      <c r="G2795" s="376">
        <v>5933.4275729440915</v>
      </c>
      <c r="H2795" s="376">
        <v>0</v>
      </c>
      <c r="I2795" s="376">
        <v>1</v>
      </c>
    </row>
    <row r="2796" spans="1:9" x14ac:dyDescent="0.35">
      <c r="A2796" s="376" t="s">
        <v>1606</v>
      </c>
      <c r="B2796" s="376" t="s">
        <v>1609</v>
      </c>
      <c r="C2796" s="376" t="s">
        <v>1051</v>
      </c>
      <c r="D2796" s="376">
        <v>2025</v>
      </c>
      <c r="E2796" s="376">
        <v>2029</v>
      </c>
      <c r="F2796" s="376">
        <v>1</v>
      </c>
      <c r="G2796" s="376">
        <v>5933.4275729440915</v>
      </c>
      <c r="H2796" s="376">
        <v>0</v>
      </c>
      <c r="I2796" s="376">
        <v>1</v>
      </c>
    </row>
    <row r="2797" spans="1:9" x14ac:dyDescent="0.35">
      <c r="A2797" s="376" t="s">
        <v>1606</v>
      </c>
      <c r="B2797" s="376" t="s">
        <v>1609</v>
      </c>
      <c r="C2797" s="376" t="s">
        <v>1054</v>
      </c>
      <c r="D2797" s="376">
        <v>2025</v>
      </c>
      <c r="E2797" s="376">
        <v>2029</v>
      </c>
      <c r="F2797" s="376">
        <v>1</v>
      </c>
      <c r="G2797" s="376">
        <v>5933.4275729440915</v>
      </c>
      <c r="H2797" s="376">
        <v>0</v>
      </c>
      <c r="I2797" s="376">
        <v>1</v>
      </c>
    </row>
    <row r="2798" spans="1:9" x14ac:dyDescent="0.35">
      <c r="A2798" s="376" t="s">
        <v>1606</v>
      </c>
      <c r="B2798" s="376" t="s">
        <v>1609</v>
      </c>
      <c r="C2798" s="376" t="s">
        <v>1046</v>
      </c>
      <c r="D2798" s="376">
        <v>2025</v>
      </c>
      <c r="E2798" s="376">
        <v>2030</v>
      </c>
      <c r="F2798" s="376">
        <v>1</v>
      </c>
      <c r="G2798" s="376">
        <v>5933.4275729440915</v>
      </c>
      <c r="H2798" s="376">
        <v>0</v>
      </c>
      <c r="I2798" s="376">
        <v>1</v>
      </c>
    </row>
    <row r="2799" spans="1:9" x14ac:dyDescent="0.35">
      <c r="A2799" s="376" t="s">
        <v>1606</v>
      </c>
      <c r="B2799" s="376" t="s">
        <v>1609</v>
      </c>
      <c r="C2799" s="376" t="s">
        <v>644</v>
      </c>
      <c r="D2799" s="376">
        <v>2025</v>
      </c>
      <c r="E2799" s="376">
        <v>2030</v>
      </c>
      <c r="F2799" s="376">
        <v>1</v>
      </c>
      <c r="G2799" s="376">
        <v>5933.4275729440915</v>
      </c>
      <c r="H2799" s="376">
        <v>0</v>
      </c>
      <c r="I2799" s="376">
        <v>1</v>
      </c>
    </row>
    <row r="2800" spans="1:9" x14ac:dyDescent="0.35">
      <c r="A2800" s="376" t="s">
        <v>1606</v>
      </c>
      <c r="B2800" s="376" t="s">
        <v>1609</v>
      </c>
      <c r="C2800" s="376" t="s">
        <v>628</v>
      </c>
      <c r="D2800" s="376">
        <v>2025</v>
      </c>
      <c r="E2800" s="376">
        <v>2030</v>
      </c>
      <c r="F2800" s="376">
        <v>1</v>
      </c>
      <c r="G2800" s="376">
        <v>5933.4275729440915</v>
      </c>
      <c r="H2800" s="376">
        <v>0</v>
      </c>
      <c r="I2800" s="376">
        <v>1</v>
      </c>
    </row>
    <row r="2801" spans="1:9" x14ac:dyDescent="0.35">
      <c r="A2801" s="376" t="s">
        <v>1606</v>
      </c>
      <c r="B2801" s="376" t="s">
        <v>1609</v>
      </c>
      <c r="C2801" s="376" t="s">
        <v>1051</v>
      </c>
      <c r="D2801" s="376">
        <v>2025</v>
      </c>
      <c r="E2801" s="376">
        <v>2030</v>
      </c>
      <c r="F2801" s="376">
        <v>1</v>
      </c>
      <c r="G2801" s="376">
        <v>5933.4275729440915</v>
      </c>
      <c r="H2801" s="376">
        <v>0</v>
      </c>
      <c r="I2801" s="376">
        <v>1</v>
      </c>
    </row>
    <row r="2802" spans="1:9" x14ac:dyDescent="0.35">
      <c r="A2802" s="376" t="s">
        <v>1606</v>
      </c>
      <c r="B2802" s="376" t="s">
        <v>1609</v>
      </c>
      <c r="C2802" s="376" t="s">
        <v>1054</v>
      </c>
      <c r="D2802" s="376">
        <v>2025</v>
      </c>
      <c r="E2802" s="376">
        <v>2030</v>
      </c>
      <c r="F2802" s="376">
        <v>1</v>
      </c>
      <c r="G2802" s="376">
        <v>5933.4275729440915</v>
      </c>
      <c r="H2802" s="376">
        <v>0</v>
      </c>
      <c r="I2802" s="376">
        <v>1</v>
      </c>
    </row>
    <row r="2803" spans="1:9" x14ac:dyDescent="0.35">
      <c r="A2803" s="376" t="s">
        <v>1606</v>
      </c>
      <c r="B2803" s="376" t="s">
        <v>1609</v>
      </c>
      <c r="C2803" s="376" t="s">
        <v>1046</v>
      </c>
      <c r="D2803" s="376">
        <v>2025</v>
      </c>
      <c r="E2803" s="376">
        <v>2031</v>
      </c>
      <c r="F2803" s="376">
        <v>1</v>
      </c>
      <c r="G2803" s="376">
        <v>5933.4275729440915</v>
      </c>
      <c r="H2803" s="376">
        <v>0</v>
      </c>
      <c r="I2803" s="376">
        <v>1</v>
      </c>
    </row>
    <row r="2804" spans="1:9" x14ac:dyDescent="0.35">
      <c r="A2804" s="376" t="s">
        <v>1606</v>
      </c>
      <c r="B2804" s="376" t="s">
        <v>1609</v>
      </c>
      <c r="C2804" s="376" t="s">
        <v>644</v>
      </c>
      <c r="D2804" s="376">
        <v>2025</v>
      </c>
      <c r="E2804" s="376">
        <v>2031</v>
      </c>
      <c r="F2804" s="376">
        <v>1</v>
      </c>
      <c r="G2804" s="376">
        <v>5933.4275729440915</v>
      </c>
      <c r="H2804" s="376">
        <v>0</v>
      </c>
      <c r="I2804" s="376">
        <v>1</v>
      </c>
    </row>
    <row r="2805" spans="1:9" x14ac:dyDescent="0.35">
      <c r="A2805" s="376" t="s">
        <v>1606</v>
      </c>
      <c r="B2805" s="376" t="s">
        <v>1609</v>
      </c>
      <c r="C2805" s="376" t="s">
        <v>628</v>
      </c>
      <c r="D2805" s="376">
        <v>2025</v>
      </c>
      <c r="E2805" s="376">
        <v>2031</v>
      </c>
      <c r="F2805" s="376">
        <v>1</v>
      </c>
      <c r="G2805" s="376">
        <v>5933.4275729440915</v>
      </c>
      <c r="H2805" s="376">
        <v>0</v>
      </c>
      <c r="I2805" s="376">
        <v>1</v>
      </c>
    </row>
    <row r="2806" spans="1:9" x14ac:dyDescent="0.35">
      <c r="A2806" s="376" t="s">
        <v>1606</v>
      </c>
      <c r="B2806" s="376" t="s">
        <v>1609</v>
      </c>
      <c r="C2806" s="376" t="s">
        <v>1051</v>
      </c>
      <c r="D2806" s="376">
        <v>2025</v>
      </c>
      <c r="E2806" s="376">
        <v>2031</v>
      </c>
      <c r="F2806" s="376">
        <v>1</v>
      </c>
      <c r="G2806" s="376">
        <v>5933.4275729440915</v>
      </c>
      <c r="H2806" s="376">
        <v>0</v>
      </c>
      <c r="I2806" s="376">
        <v>1</v>
      </c>
    </row>
    <row r="2807" spans="1:9" x14ac:dyDescent="0.35">
      <c r="A2807" s="376" t="s">
        <v>1606</v>
      </c>
      <c r="B2807" s="376" t="s">
        <v>1609</v>
      </c>
      <c r="C2807" s="376" t="s">
        <v>1054</v>
      </c>
      <c r="D2807" s="376">
        <v>2025</v>
      </c>
      <c r="E2807" s="376">
        <v>2031</v>
      </c>
      <c r="F2807" s="376">
        <v>1</v>
      </c>
      <c r="G2807" s="376">
        <v>5933.4275729440915</v>
      </c>
      <c r="H2807" s="376">
        <v>0</v>
      </c>
      <c r="I2807" s="376">
        <v>1</v>
      </c>
    </row>
    <row r="2808" spans="1:9" x14ac:dyDescent="0.35">
      <c r="A2808" s="376" t="s">
        <v>1612</v>
      </c>
      <c r="B2808" s="376" t="s">
        <v>1609</v>
      </c>
      <c r="C2808" s="376" t="s">
        <v>1046</v>
      </c>
      <c r="D2808" s="376">
        <v>2026</v>
      </c>
      <c r="E2808" s="376">
        <v>2026</v>
      </c>
      <c r="F2808" s="376">
        <v>0.37384575124303709</v>
      </c>
      <c r="G2808" s="376">
        <v>9928.6887826901675</v>
      </c>
      <c r="H2808" s="376">
        <v>0.27603168218072044</v>
      </c>
      <c r="I2808" s="376">
        <v>0.85</v>
      </c>
    </row>
    <row r="2809" spans="1:9" x14ac:dyDescent="0.35">
      <c r="A2809" s="376" t="s">
        <v>1612</v>
      </c>
      <c r="B2809" s="376" t="s">
        <v>1609</v>
      </c>
      <c r="C2809" s="376" t="s">
        <v>644</v>
      </c>
      <c r="D2809" s="376">
        <v>2026</v>
      </c>
      <c r="E2809" s="376">
        <v>2026</v>
      </c>
      <c r="F2809" s="376">
        <v>0.37384575124303709</v>
      </c>
      <c r="G2809" s="376">
        <v>9928.6887826901675</v>
      </c>
      <c r="H2809" s="376">
        <v>0.27603168218072044</v>
      </c>
      <c r="I2809" s="376">
        <v>0.85</v>
      </c>
    </row>
    <row r="2810" spans="1:9" x14ac:dyDescent="0.35">
      <c r="A2810" s="376" t="s">
        <v>1612</v>
      </c>
      <c r="B2810" s="376" t="s">
        <v>1609</v>
      </c>
      <c r="C2810" s="376" t="s">
        <v>628</v>
      </c>
      <c r="D2810" s="376">
        <v>2026</v>
      </c>
      <c r="E2810" s="376">
        <v>2026</v>
      </c>
      <c r="F2810" s="376">
        <v>0.37384575124303709</v>
      </c>
      <c r="G2810" s="376">
        <v>9928.6887826901675</v>
      </c>
      <c r="H2810" s="376">
        <v>0.27603168218072044</v>
      </c>
      <c r="I2810" s="376">
        <v>0.85</v>
      </c>
    </row>
    <row r="2811" spans="1:9" x14ac:dyDescent="0.35">
      <c r="A2811" s="376" t="s">
        <v>1612</v>
      </c>
      <c r="B2811" s="376" t="s">
        <v>1609</v>
      </c>
      <c r="C2811" s="376" t="s">
        <v>1051</v>
      </c>
      <c r="D2811" s="376">
        <v>2026</v>
      </c>
      <c r="E2811" s="376">
        <v>2026</v>
      </c>
      <c r="F2811" s="376">
        <v>0.37384575124303709</v>
      </c>
      <c r="G2811" s="376">
        <v>9928.6887826901675</v>
      </c>
      <c r="H2811" s="376">
        <v>0.27603168218072044</v>
      </c>
      <c r="I2811" s="376">
        <v>0.85</v>
      </c>
    </row>
    <row r="2812" spans="1:9" x14ac:dyDescent="0.35">
      <c r="A2812" s="376" t="s">
        <v>1612</v>
      </c>
      <c r="B2812" s="376" t="s">
        <v>1609</v>
      </c>
      <c r="C2812" s="376" t="s">
        <v>1054</v>
      </c>
      <c r="D2812" s="376">
        <v>2026</v>
      </c>
      <c r="E2812" s="376">
        <v>2026</v>
      </c>
      <c r="F2812" s="376">
        <v>0.37384575124303709</v>
      </c>
      <c r="G2812" s="376">
        <v>9928.6887826901675</v>
      </c>
      <c r="H2812" s="376">
        <v>0.27603168218072044</v>
      </c>
      <c r="I2812" s="376">
        <v>0.85</v>
      </c>
    </row>
    <row r="2813" spans="1:9" x14ac:dyDescent="0.35">
      <c r="A2813" s="376" t="s">
        <v>1612</v>
      </c>
      <c r="B2813" s="376" t="s">
        <v>1609</v>
      </c>
      <c r="C2813" s="376" t="s">
        <v>1046</v>
      </c>
      <c r="D2813" s="376">
        <v>2026</v>
      </c>
      <c r="E2813" s="376">
        <v>2027</v>
      </c>
      <c r="F2813" s="376">
        <v>0.37384575124303709</v>
      </c>
      <c r="G2813" s="376">
        <v>9928.6887826901675</v>
      </c>
      <c r="H2813" s="376">
        <v>0.27603168218072044</v>
      </c>
      <c r="I2813" s="376">
        <v>0.85</v>
      </c>
    </row>
    <row r="2814" spans="1:9" x14ac:dyDescent="0.35">
      <c r="A2814" s="376" t="s">
        <v>1612</v>
      </c>
      <c r="B2814" s="376" t="s">
        <v>1609</v>
      </c>
      <c r="C2814" s="376" t="s">
        <v>644</v>
      </c>
      <c r="D2814" s="376">
        <v>2026</v>
      </c>
      <c r="E2814" s="376">
        <v>2027</v>
      </c>
      <c r="F2814" s="376">
        <v>0.37384575124303709</v>
      </c>
      <c r="G2814" s="376">
        <v>9928.6887826901675</v>
      </c>
      <c r="H2814" s="376">
        <v>0.27603168218072044</v>
      </c>
      <c r="I2814" s="376">
        <v>0.85</v>
      </c>
    </row>
    <row r="2815" spans="1:9" x14ac:dyDescent="0.35">
      <c r="A2815" s="376" t="s">
        <v>1612</v>
      </c>
      <c r="B2815" s="376" t="s">
        <v>1609</v>
      </c>
      <c r="C2815" s="376" t="s">
        <v>628</v>
      </c>
      <c r="D2815" s="376">
        <v>2026</v>
      </c>
      <c r="E2815" s="376">
        <v>2027</v>
      </c>
      <c r="F2815" s="376">
        <v>0.37384575124303709</v>
      </c>
      <c r="G2815" s="376">
        <v>9928.6887826901675</v>
      </c>
      <c r="H2815" s="376">
        <v>0.27603168218072044</v>
      </c>
      <c r="I2815" s="376">
        <v>0.85</v>
      </c>
    </row>
    <row r="2816" spans="1:9" x14ac:dyDescent="0.35">
      <c r="A2816" s="376" t="s">
        <v>1612</v>
      </c>
      <c r="B2816" s="376" t="s">
        <v>1609</v>
      </c>
      <c r="C2816" s="376" t="s">
        <v>1051</v>
      </c>
      <c r="D2816" s="376">
        <v>2026</v>
      </c>
      <c r="E2816" s="376">
        <v>2027</v>
      </c>
      <c r="F2816" s="376">
        <v>0.37384575124303709</v>
      </c>
      <c r="G2816" s="376">
        <v>9928.6887826901675</v>
      </c>
      <c r="H2816" s="376">
        <v>0.27603168218072044</v>
      </c>
      <c r="I2816" s="376">
        <v>0.85</v>
      </c>
    </row>
    <row r="2817" spans="1:9" x14ac:dyDescent="0.35">
      <c r="A2817" s="376" t="s">
        <v>1612</v>
      </c>
      <c r="B2817" s="376" t="s">
        <v>1609</v>
      </c>
      <c r="C2817" s="376" t="s">
        <v>1054</v>
      </c>
      <c r="D2817" s="376">
        <v>2026</v>
      </c>
      <c r="E2817" s="376">
        <v>2027</v>
      </c>
      <c r="F2817" s="376">
        <v>0.37384575124303709</v>
      </c>
      <c r="G2817" s="376">
        <v>9928.6887826901675</v>
      </c>
      <c r="H2817" s="376">
        <v>0.27603168218072044</v>
      </c>
      <c r="I2817" s="376">
        <v>0.85</v>
      </c>
    </row>
    <row r="2818" spans="1:9" x14ac:dyDescent="0.35">
      <c r="A2818" s="376" t="s">
        <v>1612</v>
      </c>
      <c r="B2818" s="376" t="s">
        <v>1609</v>
      </c>
      <c r="C2818" s="376" t="s">
        <v>1046</v>
      </c>
      <c r="D2818" s="376">
        <v>2026</v>
      </c>
      <c r="E2818" s="376">
        <v>2028</v>
      </c>
      <c r="F2818" s="376">
        <v>0.37384575124303709</v>
      </c>
      <c r="G2818" s="376">
        <v>9928.6887826901675</v>
      </c>
      <c r="H2818" s="376">
        <v>0.27603168218072044</v>
      </c>
      <c r="I2818" s="376">
        <v>0.85</v>
      </c>
    </row>
    <row r="2819" spans="1:9" x14ac:dyDescent="0.35">
      <c r="A2819" s="376" t="s">
        <v>1612</v>
      </c>
      <c r="B2819" s="376" t="s">
        <v>1609</v>
      </c>
      <c r="C2819" s="376" t="s">
        <v>644</v>
      </c>
      <c r="D2819" s="376">
        <v>2026</v>
      </c>
      <c r="E2819" s="376">
        <v>2028</v>
      </c>
      <c r="F2819" s="376">
        <v>0.37384575124303709</v>
      </c>
      <c r="G2819" s="376">
        <v>9928.6887826901675</v>
      </c>
      <c r="H2819" s="376">
        <v>0.27603168218072044</v>
      </c>
      <c r="I2819" s="376">
        <v>0.85</v>
      </c>
    </row>
    <row r="2820" spans="1:9" x14ac:dyDescent="0.35">
      <c r="A2820" s="376" t="s">
        <v>1612</v>
      </c>
      <c r="B2820" s="376" t="s">
        <v>1609</v>
      </c>
      <c r="C2820" s="376" t="s">
        <v>628</v>
      </c>
      <c r="D2820" s="376">
        <v>2026</v>
      </c>
      <c r="E2820" s="376">
        <v>2028</v>
      </c>
      <c r="F2820" s="376">
        <v>0.37384575124303709</v>
      </c>
      <c r="G2820" s="376">
        <v>9928.6887826901675</v>
      </c>
      <c r="H2820" s="376">
        <v>0.27603168218072044</v>
      </c>
      <c r="I2820" s="376">
        <v>0.85</v>
      </c>
    </row>
    <row r="2821" spans="1:9" x14ac:dyDescent="0.35">
      <c r="A2821" s="376" t="s">
        <v>1612</v>
      </c>
      <c r="B2821" s="376" t="s">
        <v>1609</v>
      </c>
      <c r="C2821" s="376" t="s">
        <v>1051</v>
      </c>
      <c r="D2821" s="376">
        <v>2026</v>
      </c>
      <c r="E2821" s="376">
        <v>2028</v>
      </c>
      <c r="F2821" s="376">
        <v>0.37384575124303709</v>
      </c>
      <c r="G2821" s="376">
        <v>9928.6887826901675</v>
      </c>
      <c r="H2821" s="376">
        <v>0.27603168218072044</v>
      </c>
      <c r="I2821" s="376">
        <v>0.85</v>
      </c>
    </row>
    <row r="2822" spans="1:9" x14ac:dyDescent="0.35">
      <c r="A2822" s="376" t="s">
        <v>1612</v>
      </c>
      <c r="B2822" s="376" t="s">
        <v>1609</v>
      </c>
      <c r="C2822" s="376" t="s">
        <v>1054</v>
      </c>
      <c r="D2822" s="376">
        <v>2026</v>
      </c>
      <c r="E2822" s="376">
        <v>2028</v>
      </c>
      <c r="F2822" s="376">
        <v>0.37384575124303709</v>
      </c>
      <c r="G2822" s="376">
        <v>9928.6887826901675</v>
      </c>
      <c r="H2822" s="376">
        <v>0.27603168218072044</v>
      </c>
      <c r="I2822" s="376">
        <v>0.85</v>
      </c>
    </row>
    <row r="2823" spans="1:9" x14ac:dyDescent="0.35">
      <c r="A2823" s="376" t="s">
        <v>1612</v>
      </c>
      <c r="B2823" s="376" t="s">
        <v>1609</v>
      </c>
      <c r="C2823" s="376" t="s">
        <v>1046</v>
      </c>
      <c r="D2823" s="376">
        <v>2026</v>
      </c>
      <c r="E2823" s="376">
        <v>2029</v>
      </c>
      <c r="F2823" s="376">
        <v>0.37384575124303709</v>
      </c>
      <c r="G2823" s="376">
        <v>9928.6887826901675</v>
      </c>
      <c r="H2823" s="376">
        <v>0.27603168218072044</v>
      </c>
      <c r="I2823" s="376">
        <v>0.85</v>
      </c>
    </row>
    <row r="2824" spans="1:9" x14ac:dyDescent="0.35">
      <c r="A2824" s="376" t="s">
        <v>1612</v>
      </c>
      <c r="B2824" s="376" t="s">
        <v>1609</v>
      </c>
      <c r="C2824" s="376" t="s">
        <v>644</v>
      </c>
      <c r="D2824" s="376">
        <v>2026</v>
      </c>
      <c r="E2824" s="376">
        <v>2029</v>
      </c>
      <c r="F2824" s="376">
        <v>0.37384575124303709</v>
      </c>
      <c r="G2824" s="376">
        <v>9928.6887826901675</v>
      </c>
      <c r="H2824" s="376">
        <v>0.27603168218072044</v>
      </c>
      <c r="I2824" s="376">
        <v>0.85</v>
      </c>
    </row>
    <row r="2825" spans="1:9" x14ac:dyDescent="0.35">
      <c r="A2825" s="376" t="s">
        <v>1612</v>
      </c>
      <c r="B2825" s="376" t="s">
        <v>1609</v>
      </c>
      <c r="C2825" s="376" t="s">
        <v>628</v>
      </c>
      <c r="D2825" s="376">
        <v>2026</v>
      </c>
      <c r="E2825" s="376">
        <v>2029</v>
      </c>
      <c r="F2825" s="376">
        <v>0.37384575124303709</v>
      </c>
      <c r="G2825" s="376">
        <v>9928.6887826901675</v>
      </c>
      <c r="H2825" s="376">
        <v>0.27603168218072044</v>
      </c>
      <c r="I2825" s="376">
        <v>0.85</v>
      </c>
    </row>
    <row r="2826" spans="1:9" x14ac:dyDescent="0.35">
      <c r="A2826" s="376" t="s">
        <v>1612</v>
      </c>
      <c r="B2826" s="376" t="s">
        <v>1609</v>
      </c>
      <c r="C2826" s="376" t="s">
        <v>1051</v>
      </c>
      <c r="D2826" s="376">
        <v>2026</v>
      </c>
      <c r="E2826" s="376">
        <v>2029</v>
      </c>
      <c r="F2826" s="376">
        <v>0.37384575124303709</v>
      </c>
      <c r="G2826" s="376">
        <v>9928.6887826901675</v>
      </c>
      <c r="H2826" s="376">
        <v>0.27603168218072044</v>
      </c>
      <c r="I2826" s="376">
        <v>0.85</v>
      </c>
    </row>
    <row r="2827" spans="1:9" x14ac:dyDescent="0.35">
      <c r="A2827" s="376" t="s">
        <v>1612</v>
      </c>
      <c r="B2827" s="376" t="s">
        <v>1609</v>
      </c>
      <c r="C2827" s="376" t="s">
        <v>1054</v>
      </c>
      <c r="D2827" s="376">
        <v>2026</v>
      </c>
      <c r="E2827" s="376">
        <v>2029</v>
      </c>
      <c r="F2827" s="376">
        <v>0.37384575124303709</v>
      </c>
      <c r="G2827" s="376">
        <v>9928.6887826901675</v>
      </c>
      <c r="H2827" s="376">
        <v>0.27603168218072044</v>
      </c>
      <c r="I2827" s="376">
        <v>0.85</v>
      </c>
    </row>
    <row r="2828" spans="1:9" x14ac:dyDescent="0.35">
      <c r="A2828" s="376" t="s">
        <v>1612</v>
      </c>
      <c r="B2828" s="376" t="s">
        <v>1609</v>
      </c>
      <c r="C2828" s="376" t="s">
        <v>1046</v>
      </c>
      <c r="D2828" s="376">
        <v>2026</v>
      </c>
      <c r="E2828" s="376">
        <v>2030</v>
      </c>
      <c r="F2828" s="376">
        <v>0.37384575124303709</v>
      </c>
      <c r="G2828" s="376">
        <v>9928.6887826901675</v>
      </c>
      <c r="H2828" s="376">
        <v>0.27603168218072044</v>
      </c>
      <c r="I2828" s="376">
        <v>0.85</v>
      </c>
    </row>
    <row r="2829" spans="1:9" x14ac:dyDescent="0.35">
      <c r="A2829" s="376" t="s">
        <v>1612</v>
      </c>
      <c r="B2829" s="376" t="s">
        <v>1609</v>
      </c>
      <c r="C2829" s="376" t="s">
        <v>644</v>
      </c>
      <c r="D2829" s="376">
        <v>2026</v>
      </c>
      <c r="E2829" s="376">
        <v>2030</v>
      </c>
      <c r="F2829" s="376">
        <v>0.37384575124303709</v>
      </c>
      <c r="G2829" s="376">
        <v>9928.6887826901675</v>
      </c>
      <c r="H2829" s="376">
        <v>0.27603168218072044</v>
      </c>
      <c r="I2829" s="376">
        <v>0.85</v>
      </c>
    </row>
    <row r="2830" spans="1:9" x14ac:dyDescent="0.35">
      <c r="A2830" s="376" t="s">
        <v>1612</v>
      </c>
      <c r="B2830" s="376" t="s">
        <v>1609</v>
      </c>
      <c r="C2830" s="376" t="s">
        <v>628</v>
      </c>
      <c r="D2830" s="376">
        <v>2026</v>
      </c>
      <c r="E2830" s="376">
        <v>2030</v>
      </c>
      <c r="F2830" s="376">
        <v>0.37384575124303709</v>
      </c>
      <c r="G2830" s="376">
        <v>9928.6887826901675</v>
      </c>
      <c r="H2830" s="376">
        <v>0.27603168218072044</v>
      </c>
      <c r="I2830" s="376">
        <v>0.85</v>
      </c>
    </row>
    <row r="2831" spans="1:9" x14ac:dyDescent="0.35">
      <c r="A2831" s="376" t="s">
        <v>1612</v>
      </c>
      <c r="B2831" s="376" t="s">
        <v>1609</v>
      </c>
      <c r="C2831" s="376" t="s">
        <v>1051</v>
      </c>
      <c r="D2831" s="376">
        <v>2026</v>
      </c>
      <c r="E2831" s="376">
        <v>2030</v>
      </c>
      <c r="F2831" s="376">
        <v>0.37384575124303709</v>
      </c>
      <c r="G2831" s="376">
        <v>9928.6887826901675</v>
      </c>
      <c r="H2831" s="376">
        <v>0.27603168218072044</v>
      </c>
      <c r="I2831" s="376">
        <v>0.85</v>
      </c>
    </row>
    <row r="2832" spans="1:9" x14ac:dyDescent="0.35">
      <c r="A2832" s="376" t="s">
        <v>1612</v>
      </c>
      <c r="B2832" s="376" t="s">
        <v>1609</v>
      </c>
      <c r="C2832" s="376" t="s">
        <v>1054</v>
      </c>
      <c r="D2832" s="376">
        <v>2026</v>
      </c>
      <c r="E2832" s="376">
        <v>2030</v>
      </c>
      <c r="F2832" s="376">
        <v>0.37384575124303709</v>
      </c>
      <c r="G2832" s="376">
        <v>9928.6887826901675</v>
      </c>
      <c r="H2832" s="376">
        <v>0.27603168218072044</v>
      </c>
      <c r="I2832" s="376">
        <v>0.85</v>
      </c>
    </row>
    <row r="2833" spans="1:9" x14ac:dyDescent="0.35">
      <c r="A2833" s="376" t="s">
        <v>1612</v>
      </c>
      <c r="B2833" s="376" t="s">
        <v>1609</v>
      </c>
      <c r="C2833" s="376" t="s">
        <v>1046</v>
      </c>
      <c r="D2833" s="376">
        <v>2026</v>
      </c>
      <c r="E2833" s="376">
        <v>2031</v>
      </c>
      <c r="F2833" s="376">
        <v>0.37384575124303709</v>
      </c>
      <c r="G2833" s="376">
        <v>9928.6887826901675</v>
      </c>
      <c r="H2833" s="376">
        <v>0.27603168218072044</v>
      </c>
      <c r="I2833" s="376">
        <v>0.85</v>
      </c>
    </row>
    <row r="2834" spans="1:9" x14ac:dyDescent="0.35">
      <c r="A2834" s="376" t="s">
        <v>1612</v>
      </c>
      <c r="B2834" s="376" t="s">
        <v>1609</v>
      </c>
      <c r="C2834" s="376" t="s">
        <v>644</v>
      </c>
      <c r="D2834" s="376">
        <v>2026</v>
      </c>
      <c r="E2834" s="376">
        <v>2031</v>
      </c>
      <c r="F2834" s="376">
        <v>0.37384575124303709</v>
      </c>
      <c r="G2834" s="376">
        <v>9928.6887826901675</v>
      </c>
      <c r="H2834" s="376">
        <v>0.27603168218072044</v>
      </c>
      <c r="I2834" s="376">
        <v>0.85</v>
      </c>
    </row>
    <row r="2835" spans="1:9" x14ac:dyDescent="0.35">
      <c r="A2835" s="376" t="s">
        <v>1612</v>
      </c>
      <c r="B2835" s="376" t="s">
        <v>1609</v>
      </c>
      <c r="C2835" s="376" t="s">
        <v>628</v>
      </c>
      <c r="D2835" s="376">
        <v>2026</v>
      </c>
      <c r="E2835" s="376">
        <v>2031</v>
      </c>
      <c r="F2835" s="376">
        <v>0.37384575124303709</v>
      </c>
      <c r="G2835" s="376">
        <v>9928.6887826901675</v>
      </c>
      <c r="H2835" s="376">
        <v>0.27603168218072044</v>
      </c>
      <c r="I2835" s="376">
        <v>0.85</v>
      </c>
    </row>
    <row r="2836" spans="1:9" x14ac:dyDescent="0.35">
      <c r="A2836" s="376" t="s">
        <v>1612</v>
      </c>
      <c r="B2836" s="376" t="s">
        <v>1609</v>
      </c>
      <c r="C2836" s="376" t="s">
        <v>1051</v>
      </c>
      <c r="D2836" s="376">
        <v>2026</v>
      </c>
      <c r="E2836" s="376">
        <v>2031</v>
      </c>
      <c r="F2836" s="376">
        <v>0.37384575124303709</v>
      </c>
      <c r="G2836" s="376">
        <v>9928.6887826901675</v>
      </c>
      <c r="H2836" s="376">
        <v>0.27603168218072044</v>
      </c>
      <c r="I2836" s="376">
        <v>0.85</v>
      </c>
    </row>
    <row r="2837" spans="1:9" x14ac:dyDescent="0.35">
      <c r="A2837" s="376" t="s">
        <v>1612</v>
      </c>
      <c r="B2837" s="376" t="s">
        <v>1609</v>
      </c>
      <c r="C2837" s="376" t="s">
        <v>1054</v>
      </c>
      <c r="D2837" s="376">
        <v>2026</v>
      </c>
      <c r="E2837" s="376">
        <v>2031</v>
      </c>
      <c r="F2837" s="376">
        <v>0.37384575124303709</v>
      </c>
      <c r="G2837" s="376">
        <v>9928.6887826901675</v>
      </c>
      <c r="H2837" s="376">
        <v>0.27603168218072044</v>
      </c>
      <c r="I2837" s="376">
        <v>0.85</v>
      </c>
    </row>
    <row r="2838" spans="1:9" x14ac:dyDescent="0.35">
      <c r="A2838" s="376" t="s">
        <v>1613</v>
      </c>
      <c r="B2838" s="376" t="s">
        <v>1609</v>
      </c>
      <c r="C2838" s="376" t="s">
        <v>1046</v>
      </c>
      <c r="D2838" s="376">
        <v>2026</v>
      </c>
      <c r="E2838" s="376">
        <v>2026</v>
      </c>
      <c r="F2838" s="376">
        <v>0.40444272241720852</v>
      </c>
      <c r="G2838" s="376">
        <v>8848.5269568257354</v>
      </c>
      <c r="H2838" s="376">
        <v>0.26849060712278183</v>
      </c>
      <c r="I2838" s="376">
        <v>0.85</v>
      </c>
    </row>
    <row r="2839" spans="1:9" x14ac:dyDescent="0.35">
      <c r="A2839" s="376" t="s">
        <v>1613</v>
      </c>
      <c r="B2839" s="376" t="s">
        <v>1609</v>
      </c>
      <c r="C2839" s="376" t="s">
        <v>644</v>
      </c>
      <c r="D2839" s="376">
        <v>2026</v>
      </c>
      <c r="E2839" s="376">
        <v>2026</v>
      </c>
      <c r="F2839" s="376">
        <v>0.40444272241720852</v>
      </c>
      <c r="G2839" s="376">
        <v>8848.5269568257354</v>
      </c>
      <c r="H2839" s="376">
        <v>0.26849060712278183</v>
      </c>
      <c r="I2839" s="376">
        <v>0.85</v>
      </c>
    </row>
    <row r="2840" spans="1:9" x14ac:dyDescent="0.35">
      <c r="A2840" s="376" t="s">
        <v>1613</v>
      </c>
      <c r="B2840" s="376" t="s">
        <v>1609</v>
      </c>
      <c r="C2840" s="376" t="s">
        <v>628</v>
      </c>
      <c r="D2840" s="376">
        <v>2026</v>
      </c>
      <c r="E2840" s="376">
        <v>2026</v>
      </c>
      <c r="F2840" s="376">
        <v>0.40444272241720852</v>
      </c>
      <c r="G2840" s="376">
        <v>8848.5269568257354</v>
      </c>
      <c r="H2840" s="376">
        <v>0.26849060712278183</v>
      </c>
      <c r="I2840" s="376">
        <v>0.85</v>
      </c>
    </row>
    <row r="2841" spans="1:9" x14ac:dyDescent="0.35">
      <c r="A2841" s="376" t="s">
        <v>1613</v>
      </c>
      <c r="B2841" s="376" t="s">
        <v>1609</v>
      </c>
      <c r="C2841" s="376" t="s">
        <v>1051</v>
      </c>
      <c r="D2841" s="376">
        <v>2026</v>
      </c>
      <c r="E2841" s="376">
        <v>2026</v>
      </c>
      <c r="F2841" s="376">
        <v>0.40444272241720852</v>
      </c>
      <c r="G2841" s="376">
        <v>8848.5269568257354</v>
      </c>
      <c r="H2841" s="376">
        <v>0.26849060712278183</v>
      </c>
      <c r="I2841" s="376">
        <v>0.85</v>
      </c>
    </row>
    <row r="2842" spans="1:9" x14ac:dyDescent="0.35">
      <c r="A2842" s="376" t="s">
        <v>1613</v>
      </c>
      <c r="B2842" s="376" t="s">
        <v>1609</v>
      </c>
      <c r="C2842" s="376" t="s">
        <v>1054</v>
      </c>
      <c r="D2842" s="376">
        <v>2026</v>
      </c>
      <c r="E2842" s="376">
        <v>2026</v>
      </c>
      <c r="F2842" s="376">
        <v>0.40444272241720852</v>
      </c>
      <c r="G2842" s="376">
        <v>8848.5269568257354</v>
      </c>
      <c r="H2842" s="376">
        <v>0.26849060712278183</v>
      </c>
      <c r="I2842" s="376">
        <v>0.85</v>
      </c>
    </row>
    <row r="2843" spans="1:9" x14ac:dyDescent="0.35">
      <c r="A2843" s="376" t="s">
        <v>1613</v>
      </c>
      <c r="B2843" s="376" t="s">
        <v>1609</v>
      </c>
      <c r="C2843" s="376" t="s">
        <v>1046</v>
      </c>
      <c r="D2843" s="376">
        <v>2026</v>
      </c>
      <c r="E2843" s="376">
        <v>2027</v>
      </c>
      <c r="F2843" s="376">
        <v>0.40444272241720852</v>
      </c>
      <c r="G2843" s="376">
        <v>8848.5269568257354</v>
      </c>
      <c r="H2843" s="376">
        <v>0.26849060712278183</v>
      </c>
      <c r="I2843" s="376">
        <v>0.85</v>
      </c>
    </row>
    <row r="2844" spans="1:9" x14ac:dyDescent="0.35">
      <c r="A2844" s="376" t="s">
        <v>1613</v>
      </c>
      <c r="B2844" s="376" t="s">
        <v>1609</v>
      </c>
      <c r="C2844" s="376" t="s">
        <v>644</v>
      </c>
      <c r="D2844" s="376">
        <v>2026</v>
      </c>
      <c r="E2844" s="376">
        <v>2027</v>
      </c>
      <c r="F2844" s="376">
        <v>0.40444272241720852</v>
      </c>
      <c r="G2844" s="376">
        <v>8848.5269568257354</v>
      </c>
      <c r="H2844" s="376">
        <v>0.26849060712278183</v>
      </c>
      <c r="I2844" s="376">
        <v>0.85</v>
      </c>
    </row>
    <row r="2845" spans="1:9" x14ac:dyDescent="0.35">
      <c r="A2845" s="376" t="s">
        <v>1613</v>
      </c>
      <c r="B2845" s="376" t="s">
        <v>1609</v>
      </c>
      <c r="C2845" s="376" t="s">
        <v>628</v>
      </c>
      <c r="D2845" s="376">
        <v>2026</v>
      </c>
      <c r="E2845" s="376">
        <v>2027</v>
      </c>
      <c r="F2845" s="376">
        <v>0.40444272241720852</v>
      </c>
      <c r="G2845" s="376">
        <v>8848.5269568257354</v>
      </c>
      <c r="H2845" s="376">
        <v>0.26849060712278183</v>
      </c>
      <c r="I2845" s="376">
        <v>0.85</v>
      </c>
    </row>
    <row r="2846" spans="1:9" x14ac:dyDescent="0.35">
      <c r="A2846" s="376" t="s">
        <v>1613</v>
      </c>
      <c r="B2846" s="376" t="s">
        <v>1609</v>
      </c>
      <c r="C2846" s="376" t="s">
        <v>1051</v>
      </c>
      <c r="D2846" s="376">
        <v>2026</v>
      </c>
      <c r="E2846" s="376">
        <v>2027</v>
      </c>
      <c r="F2846" s="376">
        <v>0.40444272241720852</v>
      </c>
      <c r="G2846" s="376">
        <v>8848.5269568257354</v>
      </c>
      <c r="H2846" s="376">
        <v>0.26849060712278183</v>
      </c>
      <c r="I2846" s="376">
        <v>0.85</v>
      </c>
    </row>
    <row r="2847" spans="1:9" x14ac:dyDescent="0.35">
      <c r="A2847" s="376" t="s">
        <v>1613</v>
      </c>
      <c r="B2847" s="376" t="s">
        <v>1609</v>
      </c>
      <c r="C2847" s="376" t="s">
        <v>1054</v>
      </c>
      <c r="D2847" s="376">
        <v>2026</v>
      </c>
      <c r="E2847" s="376">
        <v>2027</v>
      </c>
      <c r="F2847" s="376">
        <v>0.40444272241720852</v>
      </c>
      <c r="G2847" s="376">
        <v>8848.5269568257354</v>
      </c>
      <c r="H2847" s="376">
        <v>0.26849060712278183</v>
      </c>
      <c r="I2847" s="376">
        <v>0.85</v>
      </c>
    </row>
    <row r="2848" spans="1:9" x14ac:dyDescent="0.35">
      <c r="A2848" s="376" t="s">
        <v>1613</v>
      </c>
      <c r="B2848" s="376" t="s">
        <v>1609</v>
      </c>
      <c r="C2848" s="376" t="s">
        <v>1046</v>
      </c>
      <c r="D2848" s="376">
        <v>2026</v>
      </c>
      <c r="E2848" s="376">
        <v>2028</v>
      </c>
      <c r="F2848" s="376">
        <v>0.40444272241720852</v>
      </c>
      <c r="G2848" s="376">
        <v>8848.5269568257354</v>
      </c>
      <c r="H2848" s="376">
        <v>0.26849060712278183</v>
      </c>
      <c r="I2848" s="376">
        <v>0.85</v>
      </c>
    </row>
    <row r="2849" spans="1:9" x14ac:dyDescent="0.35">
      <c r="A2849" s="376" t="s">
        <v>1613</v>
      </c>
      <c r="B2849" s="376" t="s">
        <v>1609</v>
      </c>
      <c r="C2849" s="376" t="s">
        <v>644</v>
      </c>
      <c r="D2849" s="376">
        <v>2026</v>
      </c>
      <c r="E2849" s="376">
        <v>2028</v>
      </c>
      <c r="F2849" s="376">
        <v>0.40444272241720852</v>
      </c>
      <c r="G2849" s="376">
        <v>8848.5269568257354</v>
      </c>
      <c r="H2849" s="376">
        <v>0.26849060712278183</v>
      </c>
      <c r="I2849" s="376">
        <v>0.85</v>
      </c>
    </row>
    <row r="2850" spans="1:9" x14ac:dyDescent="0.35">
      <c r="A2850" s="376" t="s">
        <v>1613</v>
      </c>
      <c r="B2850" s="376" t="s">
        <v>1609</v>
      </c>
      <c r="C2850" s="376" t="s">
        <v>628</v>
      </c>
      <c r="D2850" s="376">
        <v>2026</v>
      </c>
      <c r="E2850" s="376">
        <v>2028</v>
      </c>
      <c r="F2850" s="376">
        <v>0.40444272241720852</v>
      </c>
      <c r="G2850" s="376">
        <v>8848.5269568257354</v>
      </c>
      <c r="H2850" s="376">
        <v>0.26849060712278183</v>
      </c>
      <c r="I2850" s="376">
        <v>0.85</v>
      </c>
    </row>
    <row r="2851" spans="1:9" x14ac:dyDescent="0.35">
      <c r="A2851" s="376" t="s">
        <v>1613</v>
      </c>
      <c r="B2851" s="376" t="s">
        <v>1609</v>
      </c>
      <c r="C2851" s="376" t="s">
        <v>1051</v>
      </c>
      <c r="D2851" s="376">
        <v>2026</v>
      </c>
      <c r="E2851" s="376">
        <v>2028</v>
      </c>
      <c r="F2851" s="376">
        <v>0.40444272241720852</v>
      </c>
      <c r="G2851" s="376">
        <v>8848.5269568257354</v>
      </c>
      <c r="H2851" s="376">
        <v>0.26849060712278183</v>
      </c>
      <c r="I2851" s="376">
        <v>0.85</v>
      </c>
    </row>
    <row r="2852" spans="1:9" x14ac:dyDescent="0.35">
      <c r="A2852" s="376" t="s">
        <v>1613</v>
      </c>
      <c r="B2852" s="376" t="s">
        <v>1609</v>
      </c>
      <c r="C2852" s="376" t="s">
        <v>1054</v>
      </c>
      <c r="D2852" s="376">
        <v>2026</v>
      </c>
      <c r="E2852" s="376">
        <v>2028</v>
      </c>
      <c r="F2852" s="376">
        <v>0.40444272241720852</v>
      </c>
      <c r="G2852" s="376">
        <v>8848.5269568257354</v>
      </c>
      <c r="H2852" s="376">
        <v>0.26849060712278183</v>
      </c>
      <c r="I2852" s="376">
        <v>0.85</v>
      </c>
    </row>
    <row r="2853" spans="1:9" x14ac:dyDescent="0.35">
      <c r="A2853" s="376" t="s">
        <v>1613</v>
      </c>
      <c r="B2853" s="376" t="s">
        <v>1609</v>
      </c>
      <c r="C2853" s="376" t="s">
        <v>1046</v>
      </c>
      <c r="D2853" s="376">
        <v>2026</v>
      </c>
      <c r="E2853" s="376">
        <v>2029</v>
      </c>
      <c r="F2853" s="376">
        <v>0.40444272241720852</v>
      </c>
      <c r="G2853" s="376">
        <v>8848.5269568257354</v>
      </c>
      <c r="H2853" s="376">
        <v>0.26849060712278183</v>
      </c>
      <c r="I2853" s="376">
        <v>0.85</v>
      </c>
    </row>
    <row r="2854" spans="1:9" x14ac:dyDescent="0.35">
      <c r="A2854" s="376" t="s">
        <v>1613</v>
      </c>
      <c r="B2854" s="376" t="s">
        <v>1609</v>
      </c>
      <c r="C2854" s="376" t="s">
        <v>644</v>
      </c>
      <c r="D2854" s="376">
        <v>2026</v>
      </c>
      <c r="E2854" s="376">
        <v>2029</v>
      </c>
      <c r="F2854" s="376">
        <v>0.40444272241720852</v>
      </c>
      <c r="G2854" s="376">
        <v>8848.5269568257354</v>
      </c>
      <c r="H2854" s="376">
        <v>0.26849060712278183</v>
      </c>
      <c r="I2854" s="376">
        <v>0.85</v>
      </c>
    </row>
    <row r="2855" spans="1:9" x14ac:dyDescent="0.35">
      <c r="A2855" s="376" t="s">
        <v>1613</v>
      </c>
      <c r="B2855" s="376" t="s">
        <v>1609</v>
      </c>
      <c r="C2855" s="376" t="s">
        <v>628</v>
      </c>
      <c r="D2855" s="376">
        <v>2026</v>
      </c>
      <c r="E2855" s="376">
        <v>2029</v>
      </c>
      <c r="F2855" s="376">
        <v>0.40444272241720852</v>
      </c>
      <c r="G2855" s="376">
        <v>8848.5269568257354</v>
      </c>
      <c r="H2855" s="376">
        <v>0.26849060712278183</v>
      </c>
      <c r="I2855" s="376">
        <v>0.85</v>
      </c>
    </row>
    <row r="2856" spans="1:9" x14ac:dyDescent="0.35">
      <c r="A2856" s="376" t="s">
        <v>1613</v>
      </c>
      <c r="B2856" s="376" t="s">
        <v>1609</v>
      </c>
      <c r="C2856" s="376" t="s">
        <v>1051</v>
      </c>
      <c r="D2856" s="376">
        <v>2026</v>
      </c>
      <c r="E2856" s="376">
        <v>2029</v>
      </c>
      <c r="F2856" s="376">
        <v>0.40444272241720852</v>
      </c>
      <c r="G2856" s="376">
        <v>8848.5269568257354</v>
      </c>
      <c r="H2856" s="376">
        <v>0.26849060712278183</v>
      </c>
      <c r="I2856" s="376">
        <v>0.85</v>
      </c>
    </row>
    <row r="2857" spans="1:9" x14ac:dyDescent="0.35">
      <c r="A2857" s="376" t="s">
        <v>1613</v>
      </c>
      <c r="B2857" s="376" t="s">
        <v>1609</v>
      </c>
      <c r="C2857" s="376" t="s">
        <v>1054</v>
      </c>
      <c r="D2857" s="376">
        <v>2026</v>
      </c>
      <c r="E2857" s="376">
        <v>2029</v>
      </c>
      <c r="F2857" s="376">
        <v>0.40444272241720852</v>
      </c>
      <c r="G2857" s="376">
        <v>8848.5269568257354</v>
      </c>
      <c r="H2857" s="376">
        <v>0.26849060712278183</v>
      </c>
      <c r="I2857" s="376">
        <v>0.85</v>
      </c>
    </row>
    <row r="2858" spans="1:9" x14ac:dyDescent="0.35">
      <c r="A2858" s="376" t="s">
        <v>1613</v>
      </c>
      <c r="B2858" s="376" t="s">
        <v>1609</v>
      </c>
      <c r="C2858" s="376" t="s">
        <v>1046</v>
      </c>
      <c r="D2858" s="376">
        <v>2026</v>
      </c>
      <c r="E2858" s="376">
        <v>2030</v>
      </c>
      <c r="F2858" s="376">
        <v>0.40444272241720852</v>
      </c>
      <c r="G2858" s="376">
        <v>8848.5269568257354</v>
      </c>
      <c r="H2858" s="376">
        <v>0.26849060712278183</v>
      </c>
      <c r="I2858" s="376">
        <v>0.85</v>
      </c>
    </row>
    <row r="2859" spans="1:9" x14ac:dyDescent="0.35">
      <c r="A2859" s="376" t="s">
        <v>1613</v>
      </c>
      <c r="B2859" s="376" t="s">
        <v>1609</v>
      </c>
      <c r="C2859" s="376" t="s">
        <v>644</v>
      </c>
      <c r="D2859" s="376">
        <v>2026</v>
      </c>
      <c r="E2859" s="376">
        <v>2030</v>
      </c>
      <c r="F2859" s="376">
        <v>0.40444272241720852</v>
      </c>
      <c r="G2859" s="376">
        <v>8848.5269568257354</v>
      </c>
      <c r="H2859" s="376">
        <v>0.26849060712278183</v>
      </c>
      <c r="I2859" s="376">
        <v>0.85</v>
      </c>
    </row>
    <row r="2860" spans="1:9" x14ac:dyDescent="0.35">
      <c r="A2860" s="376" t="s">
        <v>1613</v>
      </c>
      <c r="B2860" s="376" t="s">
        <v>1609</v>
      </c>
      <c r="C2860" s="376" t="s">
        <v>628</v>
      </c>
      <c r="D2860" s="376">
        <v>2026</v>
      </c>
      <c r="E2860" s="376">
        <v>2030</v>
      </c>
      <c r="F2860" s="376">
        <v>0.40444272241720852</v>
      </c>
      <c r="G2860" s="376">
        <v>8848.5269568257354</v>
      </c>
      <c r="H2860" s="376">
        <v>0.26849060712278183</v>
      </c>
      <c r="I2860" s="376">
        <v>0.85</v>
      </c>
    </row>
    <row r="2861" spans="1:9" x14ac:dyDescent="0.35">
      <c r="A2861" s="376" t="s">
        <v>1613</v>
      </c>
      <c r="B2861" s="376" t="s">
        <v>1609</v>
      </c>
      <c r="C2861" s="376" t="s">
        <v>1051</v>
      </c>
      <c r="D2861" s="376">
        <v>2026</v>
      </c>
      <c r="E2861" s="376">
        <v>2030</v>
      </c>
      <c r="F2861" s="376">
        <v>0.40444272241720852</v>
      </c>
      <c r="G2861" s="376">
        <v>8848.5269568257354</v>
      </c>
      <c r="H2861" s="376">
        <v>0.26849060712278183</v>
      </c>
      <c r="I2861" s="376">
        <v>0.85</v>
      </c>
    </row>
    <row r="2862" spans="1:9" x14ac:dyDescent="0.35">
      <c r="A2862" s="376" t="s">
        <v>1613</v>
      </c>
      <c r="B2862" s="376" t="s">
        <v>1609</v>
      </c>
      <c r="C2862" s="376" t="s">
        <v>1054</v>
      </c>
      <c r="D2862" s="376">
        <v>2026</v>
      </c>
      <c r="E2862" s="376">
        <v>2030</v>
      </c>
      <c r="F2862" s="376">
        <v>0.40444272241720852</v>
      </c>
      <c r="G2862" s="376">
        <v>8848.5269568257354</v>
      </c>
      <c r="H2862" s="376">
        <v>0.26849060712278183</v>
      </c>
      <c r="I2862" s="376">
        <v>0.85</v>
      </c>
    </row>
    <row r="2863" spans="1:9" x14ac:dyDescent="0.35">
      <c r="A2863" s="376" t="s">
        <v>1613</v>
      </c>
      <c r="B2863" s="376" t="s">
        <v>1609</v>
      </c>
      <c r="C2863" s="376" t="s">
        <v>1046</v>
      </c>
      <c r="D2863" s="376">
        <v>2026</v>
      </c>
      <c r="E2863" s="376">
        <v>2031</v>
      </c>
      <c r="F2863" s="376">
        <v>0.40444272241720852</v>
      </c>
      <c r="G2863" s="376">
        <v>8848.5269568257354</v>
      </c>
      <c r="H2863" s="376">
        <v>0.26849060712278183</v>
      </c>
      <c r="I2863" s="376">
        <v>0.85</v>
      </c>
    </row>
    <row r="2864" spans="1:9" x14ac:dyDescent="0.35">
      <c r="A2864" s="376" t="s">
        <v>1613</v>
      </c>
      <c r="B2864" s="376" t="s">
        <v>1609</v>
      </c>
      <c r="C2864" s="376" t="s">
        <v>644</v>
      </c>
      <c r="D2864" s="376">
        <v>2026</v>
      </c>
      <c r="E2864" s="376">
        <v>2031</v>
      </c>
      <c r="F2864" s="376">
        <v>0.40444272241720852</v>
      </c>
      <c r="G2864" s="376">
        <v>8848.5269568257354</v>
      </c>
      <c r="H2864" s="376">
        <v>0.26849060712278183</v>
      </c>
      <c r="I2864" s="376">
        <v>0.85</v>
      </c>
    </row>
    <row r="2865" spans="1:9" x14ac:dyDescent="0.35">
      <c r="A2865" s="376" t="s">
        <v>1613</v>
      </c>
      <c r="B2865" s="376" t="s">
        <v>1609</v>
      </c>
      <c r="C2865" s="376" t="s">
        <v>628</v>
      </c>
      <c r="D2865" s="376">
        <v>2026</v>
      </c>
      <c r="E2865" s="376">
        <v>2031</v>
      </c>
      <c r="F2865" s="376">
        <v>0.40444272241720852</v>
      </c>
      <c r="G2865" s="376">
        <v>8848.5269568257354</v>
      </c>
      <c r="H2865" s="376">
        <v>0.26849060712278183</v>
      </c>
      <c r="I2865" s="376">
        <v>0.85</v>
      </c>
    </row>
    <row r="2866" spans="1:9" x14ac:dyDescent="0.35">
      <c r="A2866" s="376" t="s">
        <v>1613</v>
      </c>
      <c r="B2866" s="376" t="s">
        <v>1609</v>
      </c>
      <c r="C2866" s="376" t="s">
        <v>1051</v>
      </c>
      <c r="D2866" s="376">
        <v>2026</v>
      </c>
      <c r="E2866" s="376">
        <v>2031</v>
      </c>
      <c r="F2866" s="376">
        <v>0.40444272241720852</v>
      </c>
      <c r="G2866" s="376">
        <v>8848.5269568257354</v>
      </c>
      <c r="H2866" s="376">
        <v>0.26849060712278183</v>
      </c>
      <c r="I2866" s="376">
        <v>0.85</v>
      </c>
    </row>
    <row r="2867" spans="1:9" x14ac:dyDescent="0.35">
      <c r="A2867" s="376" t="s">
        <v>1613</v>
      </c>
      <c r="B2867" s="376" t="s">
        <v>1609</v>
      </c>
      <c r="C2867" s="376" t="s">
        <v>1054</v>
      </c>
      <c r="D2867" s="376">
        <v>2026</v>
      </c>
      <c r="E2867" s="376">
        <v>2031</v>
      </c>
      <c r="F2867" s="376">
        <v>0.40444272241720852</v>
      </c>
      <c r="G2867" s="376">
        <v>8848.5269568257354</v>
      </c>
      <c r="H2867" s="376">
        <v>0.26849060712278183</v>
      </c>
      <c r="I2867" s="376">
        <v>0.85</v>
      </c>
    </row>
    <row r="2868" spans="1:9" x14ac:dyDescent="0.35">
      <c r="A2868" s="376" t="s">
        <v>1614</v>
      </c>
      <c r="B2868" s="376" t="s">
        <v>1609</v>
      </c>
      <c r="C2868" s="376" t="s">
        <v>1046</v>
      </c>
      <c r="D2868" s="376">
        <v>2026</v>
      </c>
      <c r="E2868" s="376">
        <v>2026</v>
      </c>
      <c r="F2868" s="376">
        <v>0.28070162831646173</v>
      </c>
      <c r="G2868" s="376">
        <v>6454.3984013550207</v>
      </c>
      <c r="H2868" s="376">
        <v>0.26849060712278183</v>
      </c>
      <c r="I2868" s="376">
        <v>0.85</v>
      </c>
    </row>
    <row r="2869" spans="1:9" x14ac:dyDescent="0.35">
      <c r="A2869" s="376" t="s">
        <v>1614</v>
      </c>
      <c r="B2869" s="376" t="s">
        <v>1609</v>
      </c>
      <c r="C2869" s="376" t="s">
        <v>644</v>
      </c>
      <c r="D2869" s="376">
        <v>2026</v>
      </c>
      <c r="E2869" s="376">
        <v>2026</v>
      </c>
      <c r="F2869" s="376">
        <v>0.28070162831646173</v>
      </c>
      <c r="G2869" s="376">
        <v>6454.3984013550207</v>
      </c>
      <c r="H2869" s="376">
        <v>0.26849060712278183</v>
      </c>
      <c r="I2869" s="376">
        <v>0.85</v>
      </c>
    </row>
    <row r="2870" spans="1:9" x14ac:dyDescent="0.35">
      <c r="A2870" s="376" t="s">
        <v>1614</v>
      </c>
      <c r="B2870" s="376" t="s">
        <v>1609</v>
      </c>
      <c r="C2870" s="376" t="s">
        <v>628</v>
      </c>
      <c r="D2870" s="376">
        <v>2026</v>
      </c>
      <c r="E2870" s="376">
        <v>2026</v>
      </c>
      <c r="F2870" s="376">
        <v>0.28070162831646173</v>
      </c>
      <c r="G2870" s="376">
        <v>6454.3984013550207</v>
      </c>
      <c r="H2870" s="376">
        <v>0.26849060712278183</v>
      </c>
      <c r="I2870" s="376">
        <v>0.85</v>
      </c>
    </row>
    <row r="2871" spans="1:9" x14ac:dyDescent="0.35">
      <c r="A2871" s="376" t="s">
        <v>1614</v>
      </c>
      <c r="B2871" s="376" t="s">
        <v>1609</v>
      </c>
      <c r="C2871" s="376" t="s">
        <v>1051</v>
      </c>
      <c r="D2871" s="376">
        <v>2026</v>
      </c>
      <c r="E2871" s="376">
        <v>2026</v>
      </c>
      <c r="F2871" s="376">
        <v>0.28070162831646173</v>
      </c>
      <c r="G2871" s="376">
        <v>6454.3984013550207</v>
      </c>
      <c r="H2871" s="376">
        <v>0.26849060712278183</v>
      </c>
      <c r="I2871" s="376">
        <v>0.85</v>
      </c>
    </row>
    <row r="2872" spans="1:9" x14ac:dyDescent="0.35">
      <c r="A2872" s="376" t="s">
        <v>1614</v>
      </c>
      <c r="B2872" s="376" t="s">
        <v>1609</v>
      </c>
      <c r="C2872" s="376" t="s">
        <v>1054</v>
      </c>
      <c r="D2872" s="376">
        <v>2026</v>
      </c>
      <c r="E2872" s="376">
        <v>2026</v>
      </c>
      <c r="F2872" s="376">
        <v>0.28070162831646173</v>
      </c>
      <c r="G2872" s="376">
        <v>6454.3984013550207</v>
      </c>
      <c r="H2872" s="376">
        <v>0.26849060712278183</v>
      </c>
      <c r="I2872" s="376">
        <v>0.85</v>
      </c>
    </row>
    <row r="2873" spans="1:9" x14ac:dyDescent="0.35">
      <c r="A2873" s="376" t="s">
        <v>1614</v>
      </c>
      <c r="B2873" s="376" t="s">
        <v>1609</v>
      </c>
      <c r="C2873" s="376" t="s">
        <v>1046</v>
      </c>
      <c r="D2873" s="376">
        <v>2026</v>
      </c>
      <c r="E2873" s="376">
        <v>2027</v>
      </c>
      <c r="F2873" s="376">
        <v>0.28070162831646173</v>
      </c>
      <c r="G2873" s="376">
        <v>6454.3984013550207</v>
      </c>
      <c r="H2873" s="376">
        <v>0.26849060712278183</v>
      </c>
      <c r="I2873" s="376">
        <v>0.85</v>
      </c>
    </row>
    <row r="2874" spans="1:9" x14ac:dyDescent="0.35">
      <c r="A2874" s="376" t="s">
        <v>1614</v>
      </c>
      <c r="B2874" s="376" t="s">
        <v>1609</v>
      </c>
      <c r="C2874" s="376" t="s">
        <v>644</v>
      </c>
      <c r="D2874" s="376">
        <v>2026</v>
      </c>
      <c r="E2874" s="376">
        <v>2027</v>
      </c>
      <c r="F2874" s="376">
        <v>0.28070162831646173</v>
      </c>
      <c r="G2874" s="376">
        <v>6454.3984013550207</v>
      </c>
      <c r="H2874" s="376">
        <v>0.26849060712278183</v>
      </c>
      <c r="I2874" s="376">
        <v>0.85</v>
      </c>
    </row>
    <row r="2875" spans="1:9" x14ac:dyDescent="0.35">
      <c r="A2875" s="376" t="s">
        <v>1614</v>
      </c>
      <c r="B2875" s="376" t="s">
        <v>1609</v>
      </c>
      <c r="C2875" s="376" t="s">
        <v>628</v>
      </c>
      <c r="D2875" s="376">
        <v>2026</v>
      </c>
      <c r="E2875" s="376">
        <v>2027</v>
      </c>
      <c r="F2875" s="376">
        <v>0.28070162831646173</v>
      </c>
      <c r="G2875" s="376">
        <v>6454.3984013550207</v>
      </c>
      <c r="H2875" s="376">
        <v>0.26849060712278183</v>
      </c>
      <c r="I2875" s="376">
        <v>0.85</v>
      </c>
    </row>
    <row r="2876" spans="1:9" x14ac:dyDescent="0.35">
      <c r="A2876" s="376" t="s">
        <v>1614</v>
      </c>
      <c r="B2876" s="376" t="s">
        <v>1609</v>
      </c>
      <c r="C2876" s="376" t="s">
        <v>1051</v>
      </c>
      <c r="D2876" s="376">
        <v>2026</v>
      </c>
      <c r="E2876" s="376">
        <v>2027</v>
      </c>
      <c r="F2876" s="376">
        <v>0.28070162831646173</v>
      </c>
      <c r="G2876" s="376">
        <v>6454.3984013550207</v>
      </c>
      <c r="H2876" s="376">
        <v>0.26849060712278183</v>
      </c>
      <c r="I2876" s="376">
        <v>0.85</v>
      </c>
    </row>
    <row r="2877" spans="1:9" x14ac:dyDescent="0.35">
      <c r="A2877" s="376" t="s">
        <v>1614</v>
      </c>
      <c r="B2877" s="376" t="s">
        <v>1609</v>
      </c>
      <c r="C2877" s="376" t="s">
        <v>1054</v>
      </c>
      <c r="D2877" s="376">
        <v>2026</v>
      </c>
      <c r="E2877" s="376">
        <v>2027</v>
      </c>
      <c r="F2877" s="376">
        <v>0.28070162831646173</v>
      </c>
      <c r="G2877" s="376">
        <v>6454.3984013550207</v>
      </c>
      <c r="H2877" s="376">
        <v>0.26849060712278183</v>
      </c>
      <c r="I2877" s="376">
        <v>0.85</v>
      </c>
    </row>
    <row r="2878" spans="1:9" x14ac:dyDescent="0.35">
      <c r="A2878" s="376" t="s">
        <v>1614</v>
      </c>
      <c r="B2878" s="376" t="s">
        <v>1609</v>
      </c>
      <c r="C2878" s="376" t="s">
        <v>1046</v>
      </c>
      <c r="D2878" s="376">
        <v>2026</v>
      </c>
      <c r="E2878" s="376">
        <v>2028</v>
      </c>
      <c r="F2878" s="376">
        <v>0.28070162831646173</v>
      </c>
      <c r="G2878" s="376">
        <v>6454.3984013550207</v>
      </c>
      <c r="H2878" s="376">
        <v>0.26849060712278183</v>
      </c>
      <c r="I2878" s="376">
        <v>0.85</v>
      </c>
    </row>
    <row r="2879" spans="1:9" x14ac:dyDescent="0.35">
      <c r="A2879" s="376" t="s">
        <v>1614</v>
      </c>
      <c r="B2879" s="376" t="s">
        <v>1609</v>
      </c>
      <c r="C2879" s="376" t="s">
        <v>644</v>
      </c>
      <c r="D2879" s="376">
        <v>2026</v>
      </c>
      <c r="E2879" s="376">
        <v>2028</v>
      </c>
      <c r="F2879" s="376">
        <v>0.28070162831646173</v>
      </c>
      <c r="G2879" s="376">
        <v>6454.3984013550207</v>
      </c>
      <c r="H2879" s="376">
        <v>0.26849060712278183</v>
      </c>
      <c r="I2879" s="376">
        <v>0.85</v>
      </c>
    </row>
    <row r="2880" spans="1:9" x14ac:dyDescent="0.35">
      <c r="A2880" s="376" t="s">
        <v>1614</v>
      </c>
      <c r="B2880" s="376" t="s">
        <v>1609</v>
      </c>
      <c r="C2880" s="376" t="s">
        <v>628</v>
      </c>
      <c r="D2880" s="376">
        <v>2026</v>
      </c>
      <c r="E2880" s="376">
        <v>2028</v>
      </c>
      <c r="F2880" s="376">
        <v>0.28070162831646173</v>
      </c>
      <c r="G2880" s="376">
        <v>6454.3984013550207</v>
      </c>
      <c r="H2880" s="376">
        <v>0.26849060712278183</v>
      </c>
      <c r="I2880" s="376">
        <v>0.85</v>
      </c>
    </row>
    <row r="2881" spans="1:9" x14ac:dyDescent="0.35">
      <c r="A2881" s="376" t="s">
        <v>1614</v>
      </c>
      <c r="B2881" s="376" t="s">
        <v>1609</v>
      </c>
      <c r="C2881" s="376" t="s">
        <v>1051</v>
      </c>
      <c r="D2881" s="376">
        <v>2026</v>
      </c>
      <c r="E2881" s="376">
        <v>2028</v>
      </c>
      <c r="F2881" s="376">
        <v>0.28070162831646173</v>
      </c>
      <c r="G2881" s="376">
        <v>6454.3984013550207</v>
      </c>
      <c r="H2881" s="376">
        <v>0.26849060712278183</v>
      </c>
      <c r="I2881" s="376">
        <v>0.85</v>
      </c>
    </row>
    <row r="2882" spans="1:9" x14ac:dyDescent="0.35">
      <c r="A2882" s="376" t="s">
        <v>1614</v>
      </c>
      <c r="B2882" s="376" t="s">
        <v>1609</v>
      </c>
      <c r="C2882" s="376" t="s">
        <v>1054</v>
      </c>
      <c r="D2882" s="376">
        <v>2026</v>
      </c>
      <c r="E2882" s="376">
        <v>2028</v>
      </c>
      <c r="F2882" s="376">
        <v>0.28070162831646173</v>
      </c>
      <c r="G2882" s="376">
        <v>6454.3984013550207</v>
      </c>
      <c r="H2882" s="376">
        <v>0.26849060712278183</v>
      </c>
      <c r="I2882" s="376">
        <v>0.85</v>
      </c>
    </row>
    <row r="2883" spans="1:9" x14ac:dyDescent="0.35">
      <c r="A2883" s="376" t="s">
        <v>1614</v>
      </c>
      <c r="B2883" s="376" t="s">
        <v>1609</v>
      </c>
      <c r="C2883" s="376" t="s">
        <v>1046</v>
      </c>
      <c r="D2883" s="376">
        <v>2026</v>
      </c>
      <c r="E2883" s="376">
        <v>2029</v>
      </c>
      <c r="F2883" s="376">
        <v>0.28070162831646173</v>
      </c>
      <c r="G2883" s="376">
        <v>6454.3984013550207</v>
      </c>
      <c r="H2883" s="376">
        <v>0.26849060712278183</v>
      </c>
      <c r="I2883" s="376">
        <v>0.85</v>
      </c>
    </row>
    <row r="2884" spans="1:9" x14ac:dyDescent="0.35">
      <c r="A2884" s="376" t="s">
        <v>1614</v>
      </c>
      <c r="B2884" s="376" t="s">
        <v>1609</v>
      </c>
      <c r="C2884" s="376" t="s">
        <v>644</v>
      </c>
      <c r="D2884" s="376">
        <v>2026</v>
      </c>
      <c r="E2884" s="376">
        <v>2029</v>
      </c>
      <c r="F2884" s="376">
        <v>0.28070162831646173</v>
      </c>
      <c r="G2884" s="376">
        <v>6454.3984013550207</v>
      </c>
      <c r="H2884" s="376">
        <v>0.26849060712278183</v>
      </c>
      <c r="I2884" s="376">
        <v>0.85</v>
      </c>
    </row>
    <row r="2885" spans="1:9" x14ac:dyDescent="0.35">
      <c r="A2885" s="376" t="s">
        <v>1614</v>
      </c>
      <c r="B2885" s="376" t="s">
        <v>1609</v>
      </c>
      <c r="C2885" s="376" t="s">
        <v>628</v>
      </c>
      <c r="D2885" s="376">
        <v>2026</v>
      </c>
      <c r="E2885" s="376">
        <v>2029</v>
      </c>
      <c r="F2885" s="376">
        <v>0.28070162831646173</v>
      </c>
      <c r="G2885" s="376">
        <v>6454.3984013550207</v>
      </c>
      <c r="H2885" s="376">
        <v>0.26849060712278183</v>
      </c>
      <c r="I2885" s="376">
        <v>0.85</v>
      </c>
    </row>
    <row r="2886" spans="1:9" x14ac:dyDescent="0.35">
      <c r="A2886" s="376" t="s">
        <v>1614</v>
      </c>
      <c r="B2886" s="376" t="s">
        <v>1609</v>
      </c>
      <c r="C2886" s="376" t="s">
        <v>1051</v>
      </c>
      <c r="D2886" s="376">
        <v>2026</v>
      </c>
      <c r="E2886" s="376">
        <v>2029</v>
      </c>
      <c r="F2886" s="376">
        <v>0.28070162831646173</v>
      </c>
      <c r="G2886" s="376">
        <v>6454.3984013550207</v>
      </c>
      <c r="H2886" s="376">
        <v>0.26849060712278183</v>
      </c>
      <c r="I2886" s="376">
        <v>0.85</v>
      </c>
    </row>
    <row r="2887" spans="1:9" x14ac:dyDescent="0.35">
      <c r="A2887" s="376" t="s">
        <v>1614</v>
      </c>
      <c r="B2887" s="376" t="s">
        <v>1609</v>
      </c>
      <c r="C2887" s="376" t="s">
        <v>1054</v>
      </c>
      <c r="D2887" s="376">
        <v>2026</v>
      </c>
      <c r="E2887" s="376">
        <v>2029</v>
      </c>
      <c r="F2887" s="376">
        <v>0.28070162831646173</v>
      </c>
      <c r="G2887" s="376">
        <v>6454.3984013550207</v>
      </c>
      <c r="H2887" s="376">
        <v>0.26849060712278183</v>
      </c>
      <c r="I2887" s="376">
        <v>0.85</v>
      </c>
    </row>
    <row r="2888" spans="1:9" x14ac:dyDescent="0.35">
      <c r="A2888" s="376" t="s">
        <v>1614</v>
      </c>
      <c r="B2888" s="376" t="s">
        <v>1609</v>
      </c>
      <c r="C2888" s="376" t="s">
        <v>1046</v>
      </c>
      <c r="D2888" s="376">
        <v>2026</v>
      </c>
      <c r="E2888" s="376">
        <v>2030</v>
      </c>
      <c r="F2888" s="376">
        <v>0.28070162831646173</v>
      </c>
      <c r="G2888" s="376">
        <v>6454.3984013550207</v>
      </c>
      <c r="H2888" s="376">
        <v>0.26849060712278183</v>
      </c>
      <c r="I2888" s="376">
        <v>0.85</v>
      </c>
    </row>
    <row r="2889" spans="1:9" x14ac:dyDescent="0.35">
      <c r="A2889" s="376" t="s">
        <v>1614</v>
      </c>
      <c r="B2889" s="376" t="s">
        <v>1609</v>
      </c>
      <c r="C2889" s="376" t="s">
        <v>644</v>
      </c>
      <c r="D2889" s="376">
        <v>2026</v>
      </c>
      <c r="E2889" s="376">
        <v>2030</v>
      </c>
      <c r="F2889" s="376">
        <v>0.28070162831646173</v>
      </c>
      <c r="G2889" s="376">
        <v>6454.3984013550207</v>
      </c>
      <c r="H2889" s="376">
        <v>0.26849060712278183</v>
      </c>
      <c r="I2889" s="376">
        <v>0.85</v>
      </c>
    </row>
    <row r="2890" spans="1:9" x14ac:dyDescent="0.35">
      <c r="A2890" s="376" t="s">
        <v>1614</v>
      </c>
      <c r="B2890" s="376" t="s">
        <v>1609</v>
      </c>
      <c r="C2890" s="376" t="s">
        <v>628</v>
      </c>
      <c r="D2890" s="376">
        <v>2026</v>
      </c>
      <c r="E2890" s="376">
        <v>2030</v>
      </c>
      <c r="F2890" s="376">
        <v>0.28070162831646173</v>
      </c>
      <c r="G2890" s="376">
        <v>6454.3984013550207</v>
      </c>
      <c r="H2890" s="376">
        <v>0.26849060712278183</v>
      </c>
      <c r="I2890" s="376">
        <v>0.85</v>
      </c>
    </row>
    <row r="2891" spans="1:9" x14ac:dyDescent="0.35">
      <c r="A2891" s="376" t="s">
        <v>1614</v>
      </c>
      <c r="B2891" s="376" t="s">
        <v>1609</v>
      </c>
      <c r="C2891" s="376" t="s">
        <v>1051</v>
      </c>
      <c r="D2891" s="376">
        <v>2026</v>
      </c>
      <c r="E2891" s="376">
        <v>2030</v>
      </c>
      <c r="F2891" s="376">
        <v>0.28070162831646173</v>
      </c>
      <c r="G2891" s="376">
        <v>6454.3984013550207</v>
      </c>
      <c r="H2891" s="376">
        <v>0.26849060712278183</v>
      </c>
      <c r="I2891" s="376">
        <v>0.85</v>
      </c>
    </row>
    <row r="2892" spans="1:9" x14ac:dyDescent="0.35">
      <c r="A2892" s="376" t="s">
        <v>1614</v>
      </c>
      <c r="B2892" s="376" t="s">
        <v>1609</v>
      </c>
      <c r="C2892" s="376" t="s">
        <v>1054</v>
      </c>
      <c r="D2892" s="376">
        <v>2026</v>
      </c>
      <c r="E2892" s="376">
        <v>2030</v>
      </c>
      <c r="F2892" s="376">
        <v>0.28070162831646173</v>
      </c>
      <c r="G2892" s="376">
        <v>6454.3984013550207</v>
      </c>
      <c r="H2892" s="376">
        <v>0.26849060712278183</v>
      </c>
      <c r="I2892" s="376">
        <v>0.85</v>
      </c>
    </row>
    <row r="2893" spans="1:9" x14ac:dyDescent="0.35">
      <c r="A2893" s="376" t="s">
        <v>1614</v>
      </c>
      <c r="B2893" s="376" t="s">
        <v>1609</v>
      </c>
      <c r="C2893" s="376" t="s">
        <v>1046</v>
      </c>
      <c r="D2893" s="376">
        <v>2026</v>
      </c>
      <c r="E2893" s="376">
        <v>2031</v>
      </c>
      <c r="F2893" s="376">
        <v>0.28070162831646173</v>
      </c>
      <c r="G2893" s="376">
        <v>6454.3984013550207</v>
      </c>
      <c r="H2893" s="376">
        <v>0.26849060712278183</v>
      </c>
      <c r="I2893" s="376">
        <v>0.85</v>
      </c>
    </row>
    <row r="2894" spans="1:9" x14ac:dyDescent="0.35">
      <c r="A2894" s="376" t="s">
        <v>1614</v>
      </c>
      <c r="B2894" s="376" t="s">
        <v>1609</v>
      </c>
      <c r="C2894" s="376" t="s">
        <v>644</v>
      </c>
      <c r="D2894" s="376">
        <v>2026</v>
      </c>
      <c r="E2894" s="376">
        <v>2031</v>
      </c>
      <c r="F2894" s="376">
        <v>0.28070162831646173</v>
      </c>
      <c r="G2894" s="376">
        <v>6454.3984013550207</v>
      </c>
      <c r="H2894" s="376">
        <v>0.26849060712278183</v>
      </c>
      <c r="I2894" s="376">
        <v>0.85</v>
      </c>
    </row>
    <row r="2895" spans="1:9" x14ac:dyDescent="0.35">
      <c r="A2895" s="376" t="s">
        <v>1614</v>
      </c>
      <c r="B2895" s="376" t="s">
        <v>1609</v>
      </c>
      <c r="C2895" s="376" t="s">
        <v>628</v>
      </c>
      <c r="D2895" s="376">
        <v>2026</v>
      </c>
      <c r="E2895" s="376">
        <v>2031</v>
      </c>
      <c r="F2895" s="376">
        <v>0.28070162831646173</v>
      </c>
      <c r="G2895" s="376">
        <v>6454.3984013550207</v>
      </c>
      <c r="H2895" s="376">
        <v>0.26849060712278183</v>
      </c>
      <c r="I2895" s="376">
        <v>0.85</v>
      </c>
    </row>
    <row r="2896" spans="1:9" x14ac:dyDescent="0.35">
      <c r="A2896" s="376" t="s">
        <v>1614</v>
      </c>
      <c r="B2896" s="376" t="s">
        <v>1609</v>
      </c>
      <c r="C2896" s="376" t="s">
        <v>1051</v>
      </c>
      <c r="D2896" s="376">
        <v>2026</v>
      </c>
      <c r="E2896" s="376">
        <v>2031</v>
      </c>
      <c r="F2896" s="376">
        <v>0.28070162831646173</v>
      </c>
      <c r="G2896" s="376">
        <v>6454.3984013550207</v>
      </c>
      <c r="H2896" s="376">
        <v>0.26849060712278183</v>
      </c>
      <c r="I2896" s="376">
        <v>0.85</v>
      </c>
    </row>
    <row r="2897" spans="1:9" x14ac:dyDescent="0.35">
      <c r="A2897" s="376" t="s">
        <v>1614</v>
      </c>
      <c r="B2897" s="376" t="s">
        <v>1609</v>
      </c>
      <c r="C2897" s="376" t="s">
        <v>1054</v>
      </c>
      <c r="D2897" s="376">
        <v>2026</v>
      </c>
      <c r="E2897" s="376">
        <v>2031</v>
      </c>
      <c r="F2897" s="376">
        <v>0.28070162831646173</v>
      </c>
      <c r="G2897" s="376">
        <v>6454.3984013550207</v>
      </c>
      <c r="H2897" s="376">
        <v>0.26849060712278183</v>
      </c>
      <c r="I2897" s="376">
        <v>0.85</v>
      </c>
    </row>
    <row r="2898" spans="1:9" x14ac:dyDescent="0.35">
      <c r="A2898" s="376" t="s">
        <v>1604</v>
      </c>
      <c r="B2898" s="376" t="s">
        <v>1609</v>
      </c>
      <c r="C2898" s="376" t="s">
        <v>1046</v>
      </c>
      <c r="D2898" s="376">
        <v>2026</v>
      </c>
      <c r="E2898" s="376">
        <v>2026</v>
      </c>
      <c r="F2898" s="376">
        <v>1</v>
      </c>
      <c r="G2898" s="376">
        <v>10872.741503138899</v>
      </c>
      <c r="H2898" s="376">
        <v>0</v>
      </c>
      <c r="I2898" s="376">
        <v>1</v>
      </c>
    </row>
    <row r="2899" spans="1:9" x14ac:dyDescent="0.35">
      <c r="A2899" s="376" t="s">
        <v>1604</v>
      </c>
      <c r="B2899" s="376" t="s">
        <v>1609</v>
      </c>
      <c r="C2899" s="376" t="s">
        <v>644</v>
      </c>
      <c r="D2899" s="376">
        <v>2026</v>
      </c>
      <c r="E2899" s="376">
        <v>2026</v>
      </c>
      <c r="F2899" s="376">
        <v>1</v>
      </c>
      <c r="G2899" s="376">
        <v>10872.741503138899</v>
      </c>
      <c r="H2899" s="376">
        <v>0</v>
      </c>
      <c r="I2899" s="376">
        <v>1</v>
      </c>
    </row>
    <row r="2900" spans="1:9" x14ac:dyDescent="0.35">
      <c r="A2900" s="376" t="s">
        <v>1604</v>
      </c>
      <c r="B2900" s="376" t="s">
        <v>1609</v>
      </c>
      <c r="C2900" s="376" t="s">
        <v>628</v>
      </c>
      <c r="D2900" s="376">
        <v>2026</v>
      </c>
      <c r="E2900" s="376">
        <v>2026</v>
      </c>
      <c r="F2900" s="376">
        <v>1</v>
      </c>
      <c r="G2900" s="376">
        <v>10872.741503138899</v>
      </c>
      <c r="H2900" s="376">
        <v>0</v>
      </c>
      <c r="I2900" s="376">
        <v>1</v>
      </c>
    </row>
    <row r="2901" spans="1:9" x14ac:dyDescent="0.35">
      <c r="A2901" s="376" t="s">
        <v>1604</v>
      </c>
      <c r="B2901" s="376" t="s">
        <v>1609</v>
      </c>
      <c r="C2901" s="376" t="s">
        <v>1051</v>
      </c>
      <c r="D2901" s="376">
        <v>2026</v>
      </c>
      <c r="E2901" s="376">
        <v>2026</v>
      </c>
      <c r="F2901" s="376">
        <v>1</v>
      </c>
      <c r="G2901" s="376">
        <v>10872.741503138899</v>
      </c>
      <c r="H2901" s="376">
        <v>0</v>
      </c>
      <c r="I2901" s="376">
        <v>1</v>
      </c>
    </row>
    <row r="2902" spans="1:9" x14ac:dyDescent="0.35">
      <c r="A2902" s="376" t="s">
        <v>1604</v>
      </c>
      <c r="B2902" s="376" t="s">
        <v>1609</v>
      </c>
      <c r="C2902" s="376" t="s">
        <v>1054</v>
      </c>
      <c r="D2902" s="376">
        <v>2026</v>
      </c>
      <c r="E2902" s="376">
        <v>2026</v>
      </c>
      <c r="F2902" s="376">
        <v>1</v>
      </c>
      <c r="G2902" s="376">
        <v>10872.741503138899</v>
      </c>
      <c r="H2902" s="376">
        <v>0</v>
      </c>
      <c r="I2902" s="376">
        <v>1</v>
      </c>
    </row>
    <row r="2903" spans="1:9" x14ac:dyDescent="0.35">
      <c r="A2903" s="376" t="s">
        <v>1604</v>
      </c>
      <c r="B2903" s="376" t="s">
        <v>1609</v>
      </c>
      <c r="C2903" s="376" t="s">
        <v>1046</v>
      </c>
      <c r="D2903" s="376">
        <v>2026</v>
      </c>
      <c r="E2903" s="376">
        <v>2027</v>
      </c>
      <c r="F2903" s="376">
        <v>1</v>
      </c>
      <c r="G2903" s="376">
        <v>10872.741503138899</v>
      </c>
      <c r="H2903" s="376">
        <v>0</v>
      </c>
      <c r="I2903" s="376">
        <v>1</v>
      </c>
    </row>
    <row r="2904" spans="1:9" x14ac:dyDescent="0.35">
      <c r="A2904" s="376" t="s">
        <v>1604</v>
      </c>
      <c r="B2904" s="376" t="s">
        <v>1609</v>
      </c>
      <c r="C2904" s="376" t="s">
        <v>644</v>
      </c>
      <c r="D2904" s="376">
        <v>2026</v>
      </c>
      <c r="E2904" s="376">
        <v>2027</v>
      </c>
      <c r="F2904" s="376">
        <v>1</v>
      </c>
      <c r="G2904" s="376">
        <v>10872.741503138899</v>
      </c>
      <c r="H2904" s="376">
        <v>0</v>
      </c>
      <c r="I2904" s="376">
        <v>1</v>
      </c>
    </row>
    <row r="2905" spans="1:9" x14ac:dyDescent="0.35">
      <c r="A2905" s="376" t="s">
        <v>1604</v>
      </c>
      <c r="B2905" s="376" t="s">
        <v>1609</v>
      </c>
      <c r="C2905" s="376" t="s">
        <v>628</v>
      </c>
      <c r="D2905" s="376">
        <v>2026</v>
      </c>
      <c r="E2905" s="376">
        <v>2027</v>
      </c>
      <c r="F2905" s="376">
        <v>1</v>
      </c>
      <c r="G2905" s="376">
        <v>10872.741503138899</v>
      </c>
      <c r="H2905" s="376">
        <v>0</v>
      </c>
      <c r="I2905" s="376">
        <v>1</v>
      </c>
    </row>
    <row r="2906" spans="1:9" x14ac:dyDescent="0.35">
      <c r="A2906" s="376" t="s">
        <v>1604</v>
      </c>
      <c r="B2906" s="376" t="s">
        <v>1609</v>
      </c>
      <c r="C2906" s="376" t="s">
        <v>1051</v>
      </c>
      <c r="D2906" s="376">
        <v>2026</v>
      </c>
      <c r="E2906" s="376">
        <v>2027</v>
      </c>
      <c r="F2906" s="376">
        <v>1</v>
      </c>
      <c r="G2906" s="376">
        <v>10872.741503138899</v>
      </c>
      <c r="H2906" s="376">
        <v>0</v>
      </c>
      <c r="I2906" s="376">
        <v>1</v>
      </c>
    </row>
    <row r="2907" spans="1:9" x14ac:dyDescent="0.35">
      <c r="A2907" s="376" t="s">
        <v>1604</v>
      </c>
      <c r="B2907" s="376" t="s">
        <v>1609</v>
      </c>
      <c r="C2907" s="376" t="s">
        <v>1054</v>
      </c>
      <c r="D2907" s="376">
        <v>2026</v>
      </c>
      <c r="E2907" s="376">
        <v>2027</v>
      </c>
      <c r="F2907" s="376">
        <v>1</v>
      </c>
      <c r="G2907" s="376">
        <v>10872.741503138899</v>
      </c>
      <c r="H2907" s="376">
        <v>0</v>
      </c>
      <c r="I2907" s="376">
        <v>1</v>
      </c>
    </row>
    <row r="2908" spans="1:9" x14ac:dyDescent="0.35">
      <c r="A2908" s="376" t="s">
        <v>1604</v>
      </c>
      <c r="B2908" s="376" t="s">
        <v>1609</v>
      </c>
      <c r="C2908" s="376" t="s">
        <v>1046</v>
      </c>
      <c r="D2908" s="376">
        <v>2026</v>
      </c>
      <c r="E2908" s="376">
        <v>2028</v>
      </c>
      <c r="F2908" s="376">
        <v>1</v>
      </c>
      <c r="G2908" s="376">
        <v>10872.741503138899</v>
      </c>
      <c r="H2908" s="376">
        <v>0</v>
      </c>
      <c r="I2908" s="376">
        <v>1</v>
      </c>
    </row>
    <row r="2909" spans="1:9" x14ac:dyDescent="0.35">
      <c r="A2909" s="376" t="s">
        <v>1604</v>
      </c>
      <c r="B2909" s="376" t="s">
        <v>1609</v>
      </c>
      <c r="C2909" s="376" t="s">
        <v>644</v>
      </c>
      <c r="D2909" s="376">
        <v>2026</v>
      </c>
      <c r="E2909" s="376">
        <v>2028</v>
      </c>
      <c r="F2909" s="376">
        <v>1</v>
      </c>
      <c r="G2909" s="376">
        <v>10872.741503138899</v>
      </c>
      <c r="H2909" s="376">
        <v>0</v>
      </c>
      <c r="I2909" s="376">
        <v>1</v>
      </c>
    </row>
    <row r="2910" spans="1:9" x14ac:dyDescent="0.35">
      <c r="A2910" s="376" t="s">
        <v>1604</v>
      </c>
      <c r="B2910" s="376" t="s">
        <v>1609</v>
      </c>
      <c r="C2910" s="376" t="s">
        <v>628</v>
      </c>
      <c r="D2910" s="376">
        <v>2026</v>
      </c>
      <c r="E2910" s="376">
        <v>2028</v>
      </c>
      <c r="F2910" s="376">
        <v>1</v>
      </c>
      <c r="G2910" s="376">
        <v>10872.741503138899</v>
      </c>
      <c r="H2910" s="376">
        <v>0</v>
      </c>
      <c r="I2910" s="376">
        <v>1</v>
      </c>
    </row>
    <row r="2911" spans="1:9" x14ac:dyDescent="0.35">
      <c r="A2911" s="376" t="s">
        <v>1604</v>
      </c>
      <c r="B2911" s="376" t="s">
        <v>1609</v>
      </c>
      <c r="C2911" s="376" t="s">
        <v>1051</v>
      </c>
      <c r="D2911" s="376">
        <v>2026</v>
      </c>
      <c r="E2911" s="376">
        <v>2028</v>
      </c>
      <c r="F2911" s="376">
        <v>1</v>
      </c>
      <c r="G2911" s="376">
        <v>10872.741503138899</v>
      </c>
      <c r="H2911" s="376">
        <v>0</v>
      </c>
      <c r="I2911" s="376">
        <v>1</v>
      </c>
    </row>
    <row r="2912" spans="1:9" x14ac:dyDescent="0.35">
      <c r="A2912" s="376" t="s">
        <v>1604</v>
      </c>
      <c r="B2912" s="376" t="s">
        <v>1609</v>
      </c>
      <c r="C2912" s="376" t="s">
        <v>1054</v>
      </c>
      <c r="D2912" s="376">
        <v>2026</v>
      </c>
      <c r="E2912" s="376">
        <v>2028</v>
      </c>
      <c r="F2912" s="376">
        <v>1</v>
      </c>
      <c r="G2912" s="376">
        <v>10872.741503138899</v>
      </c>
      <c r="H2912" s="376">
        <v>0</v>
      </c>
      <c r="I2912" s="376">
        <v>1</v>
      </c>
    </row>
    <row r="2913" spans="1:9" x14ac:dyDescent="0.35">
      <c r="A2913" s="376" t="s">
        <v>1604</v>
      </c>
      <c r="B2913" s="376" t="s">
        <v>1609</v>
      </c>
      <c r="C2913" s="376" t="s">
        <v>1046</v>
      </c>
      <c r="D2913" s="376">
        <v>2026</v>
      </c>
      <c r="E2913" s="376">
        <v>2029</v>
      </c>
      <c r="F2913" s="376">
        <v>1</v>
      </c>
      <c r="G2913" s="376">
        <v>10872.741503138899</v>
      </c>
      <c r="H2913" s="376">
        <v>0</v>
      </c>
      <c r="I2913" s="376">
        <v>1</v>
      </c>
    </row>
    <row r="2914" spans="1:9" x14ac:dyDescent="0.35">
      <c r="A2914" s="376" t="s">
        <v>1604</v>
      </c>
      <c r="B2914" s="376" t="s">
        <v>1609</v>
      </c>
      <c r="C2914" s="376" t="s">
        <v>644</v>
      </c>
      <c r="D2914" s="376">
        <v>2026</v>
      </c>
      <c r="E2914" s="376">
        <v>2029</v>
      </c>
      <c r="F2914" s="376">
        <v>1</v>
      </c>
      <c r="G2914" s="376">
        <v>10872.741503138899</v>
      </c>
      <c r="H2914" s="376">
        <v>0</v>
      </c>
      <c r="I2914" s="376">
        <v>1</v>
      </c>
    </row>
    <row r="2915" spans="1:9" x14ac:dyDescent="0.35">
      <c r="A2915" s="376" t="s">
        <v>1604</v>
      </c>
      <c r="B2915" s="376" t="s">
        <v>1609</v>
      </c>
      <c r="C2915" s="376" t="s">
        <v>628</v>
      </c>
      <c r="D2915" s="376">
        <v>2026</v>
      </c>
      <c r="E2915" s="376">
        <v>2029</v>
      </c>
      <c r="F2915" s="376">
        <v>1</v>
      </c>
      <c r="G2915" s="376">
        <v>10872.741503138899</v>
      </c>
      <c r="H2915" s="376">
        <v>0</v>
      </c>
      <c r="I2915" s="376">
        <v>1</v>
      </c>
    </row>
    <row r="2916" spans="1:9" x14ac:dyDescent="0.35">
      <c r="A2916" s="376" t="s">
        <v>1604</v>
      </c>
      <c r="B2916" s="376" t="s">
        <v>1609</v>
      </c>
      <c r="C2916" s="376" t="s">
        <v>1051</v>
      </c>
      <c r="D2916" s="376">
        <v>2026</v>
      </c>
      <c r="E2916" s="376">
        <v>2029</v>
      </c>
      <c r="F2916" s="376">
        <v>1</v>
      </c>
      <c r="G2916" s="376">
        <v>10872.741503138899</v>
      </c>
      <c r="H2916" s="376">
        <v>0</v>
      </c>
      <c r="I2916" s="376">
        <v>1</v>
      </c>
    </row>
    <row r="2917" spans="1:9" x14ac:dyDescent="0.35">
      <c r="A2917" s="376" t="s">
        <v>1604</v>
      </c>
      <c r="B2917" s="376" t="s">
        <v>1609</v>
      </c>
      <c r="C2917" s="376" t="s">
        <v>1054</v>
      </c>
      <c r="D2917" s="376">
        <v>2026</v>
      </c>
      <c r="E2917" s="376">
        <v>2029</v>
      </c>
      <c r="F2917" s="376">
        <v>1</v>
      </c>
      <c r="G2917" s="376">
        <v>10872.741503138899</v>
      </c>
      <c r="H2917" s="376">
        <v>0</v>
      </c>
      <c r="I2917" s="376">
        <v>1</v>
      </c>
    </row>
    <row r="2918" spans="1:9" x14ac:dyDescent="0.35">
      <c r="A2918" s="376" t="s">
        <v>1604</v>
      </c>
      <c r="B2918" s="376" t="s">
        <v>1609</v>
      </c>
      <c r="C2918" s="376" t="s">
        <v>1046</v>
      </c>
      <c r="D2918" s="376">
        <v>2026</v>
      </c>
      <c r="E2918" s="376">
        <v>2030</v>
      </c>
      <c r="F2918" s="376">
        <v>1</v>
      </c>
      <c r="G2918" s="376">
        <v>10872.741503138899</v>
      </c>
      <c r="H2918" s="376">
        <v>0</v>
      </c>
      <c r="I2918" s="376">
        <v>1</v>
      </c>
    </row>
    <row r="2919" spans="1:9" x14ac:dyDescent="0.35">
      <c r="A2919" s="376" t="s">
        <v>1604</v>
      </c>
      <c r="B2919" s="376" t="s">
        <v>1609</v>
      </c>
      <c r="C2919" s="376" t="s">
        <v>644</v>
      </c>
      <c r="D2919" s="376">
        <v>2026</v>
      </c>
      <c r="E2919" s="376">
        <v>2030</v>
      </c>
      <c r="F2919" s="376">
        <v>1</v>
      </c>
      <c r="G2919" s="376">
        <v>10872.741503138899</v>
      </c>
      <c r="H2919" s="376">
        <v>0</v>
      </c>
      <c r="I2919" s="376">
        <v>1</v>
      </c>
    </row>
    <row r="2920" spans="1:9" x14ac:dyDescent="0.35">
      <c r="A2920" s="376" t="s">
        <v>1604</v>
      </c>
      <c r="B2920" s="376" t="s">
        <v>1609</v>
      </c>
      <c r="C2920" s="376" t="s">
        <v>628</v>
      </c>
      <c r="D2920" s="376">
        <v>2026</v>
      </c>
      <c r="E2920" s="376">
        <v>2030</v>
      </c>
      <c r="F2920" s="376">
        <v>1</v>
      </c>
      <c r="G2920" s="376">
        <v>10872.741503138899</v>
      </c>
      <c r="H2920" s="376">
        <v>0</v>
      </c>
      <c r="I2920" s="376">
        <v>1</v>
      </c>
    </row>
    <row r="2921" spans="1:9" x14ac:dyDescent="0.35">
      <c r="A2921" s="376" t="s">
        <v>1604</v>
      </c>
      <c r="B2921" s="376" t="s">
        <v>1609</v>
      </c>
      <c r="C2921" s="376" t="s">
        <v>1051</v>
      </c>
      <c r="D2921" s="376">
        <v>2026</v>
      </c>
      <c r="E2921" s="376">
        <v>2030</v>
      </c>
      <c r="F2921" s="376">
        <v>1</v>
      </c>
      <c r="G2921" s="376">
        <v>10872.741503138899</v>
      </c>
      <c r="H2921" s="376">
        <v>0</v>
      </c>
      <c r="I2921" s="376">
        <v>1</v>
      </c>
    </row>
    <row r="2922" spans="1:9" x14ac:dyDescent="0.35">
      <c r="A2922" s="376" t="s">
        <v>1604</v>
      </c>
      <c r="B2922" s="376" t="s">
        <v>1609</v>
      </c>
      <c r="C2922" s="376" t="s">
        <v>1054</v>
      </c>
      <c r="D2922" s="376">
        <v>2026</v>
      </c>
      <c r="E2922" s="376">
        <v>2030</v>
      </c>
      <c r="F2922" s="376">
        <v>1</v>
      </c>
      <c r="G2922" s="376">
        <v>10872.741503138899</v>
      </c>
      <c r="H2922" s="376">
        <v>0</v>
      </c>
      <c r="I2922" s="376">
        <v>1</v>
      </c>
    </row>
    <row r="2923" spans="1:9" x14ac:dyDescent="0.35">
      <c r="A2923" s="376" t="s">
        <v>1604</v>
      </c>
      <c r="B2923" s="376" t="s">
        <v>1609</v>
      </c>
      <c r="C2923" s="376" t="s">
        <v>1046</v>
      </c>
      <c r="D2923" s="376">
        <v>2026</v>
      </c>
      <c r="E2923" s="376">
        <v>2031</v>
      </c>
      <c r="F2923" s="376">
        <v>1</v>
      </c>
      <c r="G2923" s="376">
        <v>10872.741503138899</v>
      </c>
      <c r="H2923" s="376">
        <v>0</v>
      </c>
      <c r="I2923" s="376">
        <v>1</v>
      </c>
    </row>
    <row r="2924" spans="1:9" x14ac:dyDescent="0.35">
      <c r="A2924" s="376" t="s">
        <v>1604</v>
      </c>
      <c r="B2924" s="376" t="s">
        <v>1609</v>
      </c>
      <c r="C2924" s="376" t="s">
        <v>644</v>
      </c>
      <c r="D2924" s="376">
        <v>2026</v>
      </c>
      <c r="E2924" s="376">
        <v>2031</v>
      </c>
      <c r="F2924" s="376">
        <v>1</v>
      </c>
      <c r="G2924" s="376">
        <v>10872.741503138899</v>
      </c>
      <c r="H2924" s="376">
        <v>0</v>
      </c>
      <c r="I2924" s="376">
        <v>1</v>
      </c>
    </row>
    <row r="2925" spans="1:9" x14ac:dyDescent="0.35">
      <c r="A2925" s="376" t="s">
        <v>1604</v>
      </c>
      <c r="B2925" s="376" t="s">
        <v>1609</v>
      </c>
      <c r="C2925" s="376" t="s">
        <v>628</v>
      </c>
      <c r="D2925" s="376">
        <v>2026</v>
      </c>
      <c r="E2925" s="376">
        <v>2031</v>
      </c>
      <c r="F2925" s="376">
        <v>1</v>
      </c>
      <c r="G2925" s="376">
        <v>10872.741503138899</v>
      </c>
      <c r="H2925" s="376">
        <v>0</v>
      </c>
      <c r="I2925" s="376">
        <v>1</v>
      </c>
    </row>
    <row r="2926" spans="1:9" x14ac:dyDescent="0.35">
      <c r="A2926" s="376" t="s">
        <v>1604</v>
      </c>
      <c r="B2926" s="376" t="s">
        <v>1609</v>
      </c>
      <c r="C2926" s="376" t="s">
        <v>1051</v>
      </c>
      <c r="D2926" s="376">
        <v>2026</v>
      </c>
      <c r="E2926" s="376">
        <v>2031</v>
      </c>
      <c r="F2926" s="376">
        <v>1</v>
      </c>
      <c r="G2926" s="376">
        <v>10872.741503138899</v>
      </c>
      <c r="H2926" s="376">
        <v>0</v>
      </c>
      <c r="I2926" s="376">
        <v>1</v>
      </c>
    </row>
    <row r="2927" spans="1:9" x14ac:dyDescent="0.35">
      <c r="A2927" s="376" t="s">
        <v>1604</v>
      </c>
      <c r="B2927" s="376" t="s">
        <v>1609</v>
      </c>
      <c r="C2927" s="376" t="s">
        <v>1054</v>
      </c>
      <c r="D2927" s="376">
        <v>2026</v>
      </c>
      <c r="E2927" s="376">
        <v>2031</v>
      </c>
      <c r="F2927" s="376">
        <v>1</v>
      </c>
      <c r="G2927" s="376">
        <v>10872.741503138899</v>
      </c>
      <c r="H2927" s="376">
        <v>0</v>
      </c>
      <c r="I2927" s="376">
        <v>1</v>
      </c>
    </row>
    <row r="2928" spans="1:9" x14ac:dyDescent="0.35">
      <c r="A2928" s="376" t="s">
        <v>1615</v>
      </c>
      <c r="B2928" s="376" t="s">
        <v>1609</v>
      </c>
      <c r="C2928" s="376" t="s">
        <v>1046</v>
      </c>
      <c r="D2928" s="376">
        <v>2026</v>
      </c>
      <c r="E2928" s="376">
        <v>2026</v>
      </c>
      <c r="F2928" s="376">
        <v>1</v>
      </c>
      <c r="G2928" s="376">
        <v>20148.813739673951</v>
      </c>
      <c r="H2928" s="376">
        <v>0</v>
      </c>
      <c r="I2928" s="376">
        <v>0.65716939790195539</v>
      </c>
    </row>
    <row r="2929" spans="1:9" x14ac:dyDescent="0.35">
      <c r="A2929" s="376" t="s">
        <v>1615</v>
      </c>
      <c r="B2929" s="376" t="s">
        <v>1609</v>
      </c>
      <c r="C2929" s="376" t="s">
        <v>644</v>
      </c>
      <c r="D2929" s="376">
        <v>2026</v>
      </c>
      <c r="E2929" s="376">
        <v>2026</v>
      </c>
      <c r="F2929" s="376">
        <v>1</v>
      </c>
      <c r="G2929" s="376">
        <v>20148.813739673951</v>
      </c>
      <c r="H2929" s="376">
        <v>0</v>
      </c>
      <c r="I2929" s="376">
        <v>0.65716939790195539</v>
      </c>
    </row>
    <row r="2930" spans="1:9" x14ac:dyDescent="0.35">
      <c r="A2930" s="376" t="s">
        <v>1615</v>
      </c>
      <c r="B2930" s="376" t="s">
        <v>1609</v>
      </c>
      <c r="C2930" s="376" t="s">
        <v>628</v>
      </c>
      <c r="D2930" s="376">
        <v>2026</v>
      </c>
      <c r="E2930" s="376">
        <v>2026</v>
      </c>
      <c r="F2930" s="376">
        <v>1</v>
      </c>
      <c r="G2930" s="376">
        <v>20148.813739673951</v>
      </c>
      <c r="H2930" s="376">
        <v>0</v>
      </c>
      <c r="I2930" s="376">
        <v>0.65716939790195539</v>
      </c>
    </row>
    <row r="2931" spans="1:9" x14ac:dyDescent="0.35">
      <c r="A2931" s="376" t="s">
        <v>1615</v>
      </c>
      <c r="B2931" s="376" t="s">
        <v>1609</v>
      </c>
      <c r="C2931" s="376" t="s">
        <v>1051</v>
      </c>
      <c r="D2931" s="376">
        <v>2026</v>
      </c>
      <c r="E2931" s="376">
        <v>2026</v>
      </c>
      <c r="F2931" s="376">
        <v>1</v>
      </c>
      <c r="G2931" s="376">
        <v>20148.813739673951</v>
      </c>
      <c r="H2931" s="376">
        <v>0</v>
      </c>
      <c r="I2931" s="376">
        <v>0.65716939790195539</v>
      </c>
    </row>
    <row r="2932" spans="1:9" x14ac:dyDescent="0.35">
      <c r="A2932" s="376" t="s">
        <v>1615</v>
      </c>
      <c r="B2932" s="376" t="s">
        <v>1609</v>
      </c>
      <c r="C2932" s="376" t="s">
        <v>1054</v>
      </c>
      <c r="D2932" s="376">
        <v>2026</v>
      </c>
      <c r="E2932" s="376">
        <v>2026</v>
      </c>
      <c r="F2932" s="376">
        <v>1</v>
      </c>
      <c r="G2932" s="376">
        <v>20148.813739673951</v>
      </c>
      <c r="H2932" s="376">
        <v>0</v>
      </c>
      <c r="I2932" s="376">
        <v>0.65716939790195539</v>
      </c>
    </row>
    <row r="2933" spans="1:9" x14ac:dyDescent="0.35">
      <c r="A2933" s="376" t="s">
        <v>1615</v>
      </c>
      <c r="B2933" s="376" t="s">
        <v>1609</v>
      </c>
      <c r="C2933" s="376" t="s">
        <v>1046</v>
      </c>
      <c r="D2933" s="376">
        <v>2026</v>
      </c>
      <c r="E2933" s="376">
        <v>2027</v>
      </c>
      <c r="F2933" s="376">
        <v>1</v>
      </c>
      <c r="G2933" s="376">
        <v>20148.813739673951</v>
      </c>
      <c r="H2933" s="376">
        <v>0</v>
      </c>
      <c r="I2933" s="376">
        <v>0.65716939790195539</v>
      </c>
    </row>
    <row r="2934" spans="1:9" x14ac:dyDescent="0.35">
      <c r="A2934" s="376" t="s">
        <v>1615</v>
      </c>
      <c r="B2934" s="376" t="s">
        <v>1609</v>
      </c>
      <c r="C2934" s="376" t="s">
        <v>644</v>
      </c>
      <c r="D2934" s="376">
        <v>2026</v>
      </c>
      <c r="E2934" s="376">
        <v>2027</v>
      </c>
      <c r="F2934" s="376">
        <v>1</v>
      </c>
      <c r="G2934" s="376">
        <v>20148.813739673951</v>
      </c>
      <c r="H2934" s="376">
        <v>0</v>
      </c>
      <c r="I2934" s="376">
        <v>0.65716939790195539</v>
      </c>
    </row>
    <row r="2935" spans="1:9" x14ac:dyDescent="0.35">
      <c r="A2935" s="376" t="s">
        <v>1615</v>
      </c>
      <c r="B2935" s="376" t="s">
        <v>1609</v>
      </c>
      <c r="C2935" s="376" t="s">
        <v>628</v>
      </c>
      <c r="D2935" s="376">
        <v>2026</v>
      </c>
      <c r="E2935" s="376">
        <v>2027</v>
      </c>
      <c r="F2935" s="376">
        <v>1</v>
      </c>
      <c r="G2935" s="376">
        <v>20148.813739673951</v>
      </c>
      <c r="H2935" s="376">
        <v>0</v>
      </c>
      <c r="I2935" s="376">
        <v>0.65716939790195539</v>
      </c>
    </row>
    <row r="2936" spans="1:9" x14ac:dyDescent="0.35">
      <c r="A2936" s="376" t="s">
        <v>1615</v>
      </c>
      <c r="B2936" s="376" t="s">
        <v>1609</v>
      </c>
      <c r="C2936" s="376" t="s">
        <v>1051</v>
      </c>
      <c r="D2936" s="376">
        <v>2026</v>
      </c>
      <c r="E2936" s="376">
        <v>2027</v>
      </c>
      <c r="F2936" s="376">
        <v>1</v>
      </c>
      <c r="G2936" s="376">
        <v>20148.813739673951</v>
      </c>
      <c r="H2936" s="376">
        <v>0</v>
      </c>
      <c r="I2936" s="376">
        <v>0.65716939790195539</v>
      </c>
    </row>
    <row r="2937" spans="1:9" x14ac:dyDescent="0.35">
      <c r="A2937" s="376" t="s">
        <v>1615</v>
      </c>
      <c r="B2937" s="376" t="s">
        <v>1609</v>
      </c>
      <c r="C2937" s="376" t="s">
        <v>1054</v>
      </c>
      <c r="D2937" s="376">
        <v>2026</v>
      </c>
      <c r="E2937" s="376">
        <v>2027</v>
      </c>
      <c r="F2937" s="376">
        <v>1</v>
      </c>
      <c r="G2937" s="376">
        <v>20148.813739673951</v>
      </c>
      <c r="H2937" s="376">
        <v>0</v>
      </c>
      <c r="I2937" s="376">
        <v>0.65716939790195539</v>
      </c>
    </row>
    <row r="2938" spans="1:9" x14ac:dyDescent="0.35">
      <c r="A2938" s="376" t="s">
        <v>1615</v>
      </c>
      <c r="B2938" s="376" t="s">
        <v>1609</v>
      </c>
      <c r="C2938" s="376" t="s">
        <v>1046</v>
      </c>
      <c r="D2938" s="376">
        <v>2026</v>
      </c>
      <c r="E2938" s="376">
        <v>2028</v>
      </c>
      <c r="F2938" s="376">
        <v>1</v>
      </c>
      <c r="G2938" s="376">
        <v>20148.813739673951</v>
      </c>
      <c r="H2938" s="376">
        <v>0</v>
      </c>
      <c r="I2938" s="376">
        <v>0.65716939790195539</v>
      </c>
    </row>
    <row r="2939" spans="1:9" x14ac:dyDescent="0.35">
      <c r="A2939" s="376" t="s">
        <v>1615</v>
      </c>
      <c r="B2939" s="376" t="s">
        <v>1609</v>
      </c>
      <c r="C2939" s="376" t="s">
        <v>644</v>
      </c>
      <c r="D2939" s="376">
        <v>2026</v>
      </c>
      <c r="E2939" s="376">
        <v>2028</v>
      </c>
      <c r="F2939" s="376">
        <v>1</v>
      </c>
      <c r="G2939" s="376">
        <v>20148.813739673951</v>
      </c>
      <c r="H2939" s="376">
        <v>0</v>
      </c>
      <c r="I2939" s="376">
        <v>0.65716939790195539</v>
      </c>
    </row>
    <row r="2940" spans="1:9" x14ac:dyDescent="0.35">
      <c r="A2940" s="376" t="s">
        <v>1615</v>
      </c>
      <c r="B2940" s="376" t="s">
        <v>1609</v>
      </c>
      <c r="C2940" s="376" t="s">
        <v>628</v>
      </c>
      <c r="D2940" s="376">
        <v>2026</v>
      </c>
      <c r="E2940" s="376">
        <v>2028</v>
      </c>
      <c r="F2940" s="376">
        <v>1</v>
      </c>
      <c r="G2940" s="376">
        <v>20148.813739673951</v>
      </c>
      <c r="H2940" s="376">
        <v>0</v>
      </c>
      <c r="I2940" s="376">
        <v>0.65716939790195539</v>
      </c>
    </row>
    <row r="2941" spans="1:9" x14ac:dyDescent="0.35">
      <c r="A2941" s="376" t="s">
        <v>1615</v>
      </c>
      <c r="B2941" s="376" t="s">
        <v>1609</v>
      </c>
      <c r="C2941" s="376" t="s">
        <v>1051</v>
      </c>
      <c r="D2941" s="376">
        <v>2026</v>
      </c>
      <c r="E2941" s="376">
        <v>2028</v>
      </c>
      <c r="F2941" s="376">
        <v>1</v>
      </c>
      <c r="G2941" s="376">
        <v>20148.813739673951</v>
      </c>
      <c r="H2941" s="376">
        <v>0</v>
      </c>
      <c r="I2941" s="376">
        <v>0.65716939790195539</v>
      </c>
    </row>
    <row r="2942" spans="1:9" x14ac:dyDescent="0.35">
      <c r="A2942" s="376" t="s">
        <v>1615</v>
      </c>
      <c r="B2942" s="376" t="s">
        <v>1609</v>
      </c>
      <c r="C2942" s="376" t="s">
        <v>1054</v>
      </c>
      <c r="D2942" s="376">
        <v>2026</v>
      </c>
      <c r="E2942" s="376">
        <v>2028</v>
      </c>
      <c r="F2942" s="376">
        <v>1</v>
      </c>
      <c r="G2942" s="376">
        <v>20148.813739673951</v>
      </c>
      <c r="H2942" s="376">
        <v>0</v>
      </c>
      <c r="I2942" s="376">
        <v>0.65716939790195539</v>
      </c>
    </row>
    <row r="2943" spans="1:9" x14ac:dyDescent="0.35">
      <c r="A2943" s="376" t="s">
        <v>1615</v>
      </c>
      <c r="B2943" s="376" t="s">
        <v>1609</v>
      </c>
      <c r="C2943" s="376" t="s">
        <v>1046</v>
      </c>
      <c r="D2943" s="376">
        <v>2026</v>
      </c>
      <c r="E2943" s="376">
        <v>2029</v>
      </c>
      <c r="F2943" s="376">
        <v>1</v>
      </c>
      <c r="G2943" s="376">
        <v>20148.813739673951</v>
      </c>
      <c r="H2943" s="376">
        <v>0</v>
      </c>
      <c r="I2943" s="376">
        <v>0.65716939790195539</v>
      </c>
    </row>
    <row r="2944" spans="1:9" x14ac:dyDescent="0.35">
      <c r="A2944" s="376" t="s">
        <v>1615</v>
      </c>
      <c r="B2944" s="376" t="s">
        <v>1609</v>
      </c>
      <c r="C2944" s="376" t="s">
        <v>644</v>
      </c>
      <c r="D2944" s="376">
        <v>2026</v>
      </c>
      <c r="E2944" s="376">
        <v>2029</v>
      </c>
      <c r="F2944" s="376">
        <v>1</v>
      </c>
      <c r="G2944" s="376">
        <v>20148.813739673951</v>
      </c>
      <c r="H2944" s="376">
        <v>0</v>
      </c>
      <c r="I2944" s="376">
        <v>0.65716939790195539</v>
      </c>
    </row>
    <row r="2945" spans="1:9" x14ac:dyDescent="0.35">
      <c r="A2945" s="376" t="s">
        <v>1615</v>
      </c>
      <c r="B2945" s="376" t="s">
        <v>1609</v>
      </c>
      <c r="C2945" s="376" t="s">
        <v>628</v>
      </c>
      <c r="D2945" s="376">
        <v>2026</v>
      </c>
      <c r="E2945" s="376">
        <v>2029</v>
      </c>
      <c r="F2945" s="376">
        <v>1</v>
      </c>
      <c r="G2945" s="376">
        <v>20148.813739673951</v>
      </c>
      <c r="H2945" s="376">
        <v>0</v>
      </c>
      <c r="I2945" s="376">
        <v>0.65716939790195539</v>
      </c>
    </row>
    <row r="2946" spans="1:9" x14ac:dyDescent="0.35">
      <c r="A2946" s="376" t="s">
        <v>1615</v>
      </c>
      <c r="B2946" s="376" t="s">
        <v>1609</v>
      </c>
      <c r="C2946" s="376" t="s">
        <v>1051</v>
      </c>
      <c r="D2946" s="376">
        <v>2026</v>
      </c>
      <c r="E2946" s="376">
        <v>2029</v>
      </c>
      <c r="F2946" s="376">
        <v>1</v>
      </c>
      <c r="G2946" s="376">
        <v>20148.813739673951</v>
      </c>
      <c r="H2946" s="376">
        <v>0</v>
      </c>
      <c r="I2946" s="376">
        <v>0.65716939790195539</v>
      </c>
    </row>
    <row r="2947" spans="1:9" x14ac:dyDescent="0.35">
      <c r="A2947" s="376" t="s">
        <v>1615</v>
      </c>
      <c r="B2947" s="376" t="s">
        <v>1609</v>
      </c>
      <c r="C2947" s="376" t="s">
        <v>1054</v>
      </c>
      <c r="D2947" s="376">
        <v>2026</v>
      </c>
      <c r="E2947" s="376">
        <v>2029</v>
      </c>
      <c r="F2947" s="376">
        <v>1</v>
      </c>
      <c r="G2947" s="376">
        <v>20148.813739673951</v>
      </c>
      <c r="H2947" s="376">
        <v>0</v>
      </c>
      <c r="I2947" s="376">
        <v>0.65716939790195539</v>
      </c>
    </row>
    <row r="2948" spans="1:9" x14ac:dyDescent="0.35">
      <c r="A2948" s="376" t="s">
        <v>1615</v>
      </c>
      <c r="B2948" s="376" t="s">
        <v>1609</v>
      </c>
      <c r="C2948" s="376" t="s">
        <v>1046</v>
      </c>
      <c r="D2948" s="376">
        <v>2026</v>
      </c>
      <c r="E2948" s="376">
        <v>2030</v>
      </c>
      <c r="F2948" s="376">
        <v>1</v>
      </c>
      <c r="G2948" s="376">
        <v>20148.813739673951</v>
      </c>
      <c r="H2948" s="376">
        <v>0</v>
      </c>
      <c r="I2948" s="376">
        <v>0.65716939790195539</v>
      </c>
    </row>
    <row r="2949" spans="1:9" x14ac:dyDescent="0.35">
      <c r="A2949" s="376" t="s">
        <v>1615</v>
      </c>
      <c r="B2949" s="376" t="s">
        <v>1609</v>
      </c>
      <c r="C2949" s="376" t="s">
        <v>644</v>
      </c>
      <c r="D2949" s="376">
        <v>2026</v>
      </c>
      <c r="E2949" s="376">
        <v>2030</v>
      </c>
      <c r="F2949" s="376">
        <v>1</v>
      </c>
      <c r="G2949" s="376">
        <v>20148.813739673951</v>
      </c>
      <c r="H2949" s="376">
        <v>0</v>
      </c>
      <c r="I2949" s="376">
        <v>0.65716939790195539</v>
      </c>
    </row>
    <row r="2950" spans="1:9" x14ac:dyDescent="0.35">
      <c r="A2950" s="376" t="s">
        <v>1615</v>
      </c>
      <c r="B2950" s="376" t="s">
        <v>1609</v>
      </c>
      <c r="C2950" s="376" t="s">
        <v>628</v>
      </c>
      <c r="D2950" s="376">
        <v>2026</v>
      </c>
      <c r="E2950" s="376">
        <v>2030</v>
      </c>
      <c r="F2950" s="376">
        <v>1</v>
      </c>
      <c r="G2950" s="376">
        <v>20148.813739673951</v>
      </c>
      <c r="H2950" s="376">
        <v>0</v>
      </c>
      <c r="I2950" s="376">
        <v>0.65716939790195539</v>
      </c>
    </row>
    <row r="2951" spans="1:9" x14ac:dyDescent="0.35">
      <c r="A2951" s="376" t="s">
        <v>1615</v>
      </c>
      <c r="B2951" s="376" t="s">
        <v>1609</v>
      </c>
      <c r="C2951" s="376" t="s">
        <v>1051</v>
      </c>
      <c r="D2951" s="376">
        <v>2026</v>
      </c>
      <c r="E2951" s="376">
        <v>2030</v>
      </c>
      <c r="F2951" s="376">
        <v>1</v>
      </c>
      <c r="G2951" s="376">
        <v>20148.813739673951</v>
      </c>
      <c r="H2951" s="376">
        <v>0</v>
      </c>
      <c r="I2951" s="376">
        <v>0.65716939790195539</v>
      </c>
    </row>
    <row r="2952" spans="1:9" x14ac:dyDescent="0.35">
      <c r="A2952" s="376" t="s">
        <v>1615</v>
      </c>
      <c r="B2952" s="376" t="s">
        <v>1609</v>
      </c>
      <c r="C2952" s="376" t="s">
        <v>1054</v>
      </c>
      <c r="D2952" s="376">
        <v>2026</v>
      </c>
      <c r="E2952" s="376">
        <v>2030</v>
      </c>
      <c r="F2952" s="376">
        <v>1</v>
      </c>
      <c r="G2952" s="376">
        <v>20148.813739673951</v>
      </c>
      <c r="H2952" s="376">
        <v>0</v>
      </c>
      <c r="I2952" s="376">
        <v>0.65716939790195539</v>
      </c>
    </row>
    <row r="2953" spans="1:9" x14ac:dyDescent="0.35">
      <c r="A2953" s="376" t="s">
        <v>1615</v>
      </c>
      <c r="B2953" s="376" t="s">
        <v>1609</v>
      </c>
      <c r="C2953" s="376" t="s">
        <v>1046</v>
      </c>
      <c r="D2953" s="376">
        <v>2026</v>
      </c>
      <c r="E2953" s="376">
        <v>2031</v>
      </c>
      <c r="F2953" s="376">
        <v>1</v>
      </c>
      <c r="G2953" s="376">
        <v>20148.813739673951</v>
      </c>
      <c r="H2953" s="376">
        <v>0</v>
      </c>
      <c r="I2953" s="376">
        <v>0.65716939790195539</v>
      </c>
    </row>
    <row r="2954" spans="1:9" x14ac:dyDescent="0.35">
      <c r="A2954" s="376" t="s">
        <v>1615</v>
      </c>
      <c r="B2954" s="376" t="s">
        <v>1609</v>
      </c>
      <c r="C2954" s="376" t="s">
        <v>644</v>
      </c>
      <c r="D2954" s="376">
        <v>2026</v>
      </c>
      <c r="E2954" s="376">
        <v>2031</v>
      </c>
      <c r="F2954" s="376">
        <v>1</v>
      </c>
      <c r="G2954" s="376">
        <v>20148.813739673951</v>
      </c>
      <c r="H2954" s="376">
        <v>0</v>
      </c>
      <c r="I2954" s="376">
        <v>0.65716939790195539</v>
      </c>
    </row>
    <row r="2955" spans="1:9" x14ac:dyDescent="0.35">
      <c r="A2955" s="376" t="s">
        <v>1615</v>
      </c>
      <c r="B2955" s="376" t="s">
        <v>1609</v>
      </c>
      <c r="C2955" s="376" t="s">
        <v>628</v>
      </c>
      <c r="D2955" s="376">
        <v>2026</v>
      </c>
      <c r="E2955" s="376">
        <v>2031</v>
      </c>
      <c r="F2955" s="376">
        <v>1</v>
      </c>
      <c r="G2955" s="376">
        <v>20148.813739673951</v>
      </c>
      <c r="H2955" s="376">
        <v>0</v>
      </c>
      <c r="I2955" s="376">
        <v>0.65716939790195539</v>
      </c>
    </row>
    <row r="2956" spans="1:9" x14ac:dyDescent="0.35">
      <c r="A2956" s="376" t="s">
        <v>1615</v>
      </c>
      <c r="B2956" s="376" t="s">
        <v>1609</v>
      </c>
      <c r="C2956" s="376" t="s">
        <v>1051</v>
      </c>
      <c r="D2956" s="376">
        <v>2026</v>
      </c>
      <c r="E2956" s="376">
        <v>2031</v>
      </c>
      <c r="F2956" s="376">
        <v>1</v>
      </c>
      <c r="G2956" s="376">
        <v>20148.813739673951</v>
      </c>
      <c r="H2956" s="376">
        <v>0</v>
      </c>
      <c r="I2956" s="376">
        <v>0.65716939790195539</v>
      </c>
    </row>
    <row r="2957" spans="1:9" x14ac:dyDescent="0.35">
      <c r="A2957" s="376" t="s">
        <v>1615</v>
      </c>
      <c r="B2957" s="376" t="s">
        <v>1609</v>
      </c>
      <c r="C2957" s="376" t="s">
        <v>1054</v>
      </c>
      <c r="D2957" s="376">
        <v>2026</v>
      </c>
      <c r="E2957" s="376">
        <v>2031</v>
      </c>
      <c r="F2957" s="376">
        <v>1</v>
      </c>
      <c r="G2957" s="376">
        <v>20148.813739673951</v>
      </c>
      <c r="H2957" s="376">
        <v>0</v>
      </c>
      <c r="I2957" s="376">
        <v>0.65716939790195539</v>
      </c>
    </row>
    <row r="2958" spans="1:9" x14ac:dyDescent="0.35">
      <c r="A2958" s="376" t="s">
        <v>1603</v>
      </c>
      <c r="B2958" s="376" t="s">
        <v>1609</v>
      </c>
      <c r="C2958" s="376" t="s">
        <v>1046</v>
      </c>
      <c r="D2958" s="376">
        <v>2026</v>
      </c>
      <c r="E2958" s="376">
        <v>2026</v>
      </c>
      <c r="F2958" s="376">
        <v>1</v>
      </c>
      <c r="G2958" s="376">
        <v>6101.463203368502</v>
      </c>
      <c r="H2958" s="376">
        <v>0</v>
      </c>
      <c r="I2958" s="376">
        <v>1</v>
      </c>
    </row>
    <row r="2959" spans="1:9" x14ac:dyDescent="0.35">
      <c r="A2959" s="376" t="s">
        <v>1603</v>
      </c>
      <c r="B2959" s="376" t="s">
        <v>1609</v>
      </c>
      <c r="C2959" s="376" t="s">
        <v>644</v>
      </c>
      <c r="D2959" s="376">
        <v>2026</v>
      </c>
      <c r="E2959" s="376">
        <v>2026</v>
      </c>
      <c r="F2959" s="376">
        <v>1</v>
      </c>
      <c r="G2959" s="376">
        <v>6101.463203368502</v>
      </c>
      <c r="H2959" s="376">
        <v>0</v>
      </c>
      <c r="I2959" s="376">
        <v>1</v>
      </c>
    </row>
    <row r="2960" spans="1:9" x14ac:dyDescent="0.35">
      <c r="A2960" s="376" t="s">
        <v>1603</v>
      </c>
      <c r="B2960" s="376" t="s">
        <v>1609</v>
      </c>
      <c r="C2960" s="376" t="s">
        <v>628</v>
      </c>
      <c r="D2960" s="376">
        <v>2026</v>
      </c>
      <c r="E2960" s="376">
        <v>2026</v>
      </c>
      <c r="F2960" s="376">
        <v>1</v>
      </c>
      <c r="G2960" s="376">
        <v>6101.463203368502</v>
      </c>
      <c r="H2960" s="376">
        <v>0</v>
      </c>
      <c r="I2960" s="376">
        <v>1</v>
      </c>
    </row>
    <row r="2961" spans="1:9" x14ac:dyDescent="0.35">
      <c r="A2961" s="376" t="s">
        <v>1603</v>
      </c>
      <c r="B2961" s="376" t="s">
        <v>1609</v>
      </c>
      <c r="C2961" s="376" t="s">
        <v>1051</v>
      </c>
      <c r="D2961" s="376">
        <v>2026</v>
      </c>
      <c r="E2961" s="376">
        <v>2026</v>
      </c>
      <c r="F2961" s="376">
        <v>1</v>
      </c>
      <c r="G2961" s="376">
        <v>6101.463203368502</v>
      </c>
      <c r="H2961" s="376">
        <v>0</v>
      </c>
      <c r="I2961" s="376">
        <v>1</v>
      </c>
    </row>
    <row r="2962" spans="1:9" x14ac:dyDescent="0.35">
      <c r="A2962" s="376" t="s">
        <v>1603</v>
      </c>
      <c r="B2962" s="376" t="s">
        <v>1609</v>
      </c>
      <c r="C2962" s="376" t="s">
        <v>1054</v>
      </c>
      <c r="D2962" s="376">
        <v>2026</v>
      </c>
      <c r="E2962" s="376">
        <v>2026</v>
      </c>
      <c r="F2962" s="376">
        <v>1</v>
      </c>
      <c r="G2962" s="376">
        <v>6101.463203368502</v>
      </c>
      <c r="H2962" s="376">
        <v>0</v>
      </c>
      <c r="I2962" s="376">
        <v>1</v>
      </c>
    </row>
    <row r="2963" spans="1:9" x14ac:dyDescent="0.35">
      <c r="A2963" s="376" t="s">
        <v>1603</v>
      </c>
      <c r="B2963" s="376" t="s">
        <v>1609</v>
      </c>
      <c r="C2963" s="376" t="s">
        <v>1046</v>
      </c>
      <c r="D2963" s="376">
        <v>2026</v>
      </c>
      <c r="E2963" s="376">
        <v>2027</v>
      </c>
      <c r="F2963" s="376">
        <v>1</v>
      </c>
      <c r="G2963" s="376">
        <v>6101.463203368502</v>
      </c>
      <c r="H2963" s="376">
        <v>0</v>
      </c>
      <c r="I2963" s="376">
        <v>1</v>
      </c>
    </row>
    <row r="2964" spans="1:9" x14ac:dyDescent="0.35">
      <c r="A2964" s="376" t="s">
        <v>1603</v>
      </c>
      <c r="B2964" s="376" t="s">
        <v>1609</v>
      </c>
      <c r="C2964" s="376" t="s">
        <v>644</v>
      </c>
      <c r="D2964" s="376">
        <v>2026</v>
      </c>
      <c r="E2964" s="376">
        <v>2027</v>
      </c>
      <c r="F2964" s="376">
        <v>1</v>
      </c>
      <c r="G2964" s="376">
        <v>6101.463203368502</v>
      </c>
      <c r="H2964" s="376">
        <v>0</v>
      </c>
      <c r="I2964" s="376">
        <v>1</v>
      </c>
    </row>
    <row r="2965" spans="1:9" x14ac:dyDescent="0.35">
      <c r="A2965" s="376" t="s">
        <v>1603</v>
      </c>
      <c r="B2965" s="376" t="s">
        <v>1609</v>
      </c>
      <c r="C2965" s="376" t="s">
        <v>628</v>
      </c>
      <c r="D2965" s="376">
        <v>2026</v>
      </c>
      <c r="E2965" s="376">
        <v>2027</v>
      </c>
      <c r="F2965" s="376">
        <v>1</v>
      </c>
      <c r="G2965" s="376">
        <v>6101.463203368502</v>
      </c>
      <c r="H2965" s="376">
        <v>0</v>
      </c>
      <c r="I2965" s="376">
        <v>1</v>
      </c>
    </row>
    <row r="2966" spans="1:9" x14ac:dyDescent="0.35">
      <c r="A2966" s="376" t="s">
        <v>1603</v>
      </c>
      <c r="B2966" s="376" t="s">
        <v>1609</v>
      </c>
      <c r="C2966" s="376" t="s">
        <v>1051</v>
      </c>
      <c r="D2966" s="376">
        <v>2026</v>
      </c>
      <c r="E2966" s="376">
        <v>2027</v>
      </c>
      <c r="F2966" s="376">
        <v>1</v>
      </c>
      <c r="G2966" s="376">
        <v>6101.463203368502</v>
      </c>
      <c r="H2966" s="376">
        <v>0</v>
      </c>
      <c r="I2966" s="376">
        <v>1</v>
      </c>
    </row>
    <row r="2967" spans="1:9" x14ac:dyDescent="0.35">
      <c r="A2967" s="376" t="s">
        <v>1603</v>
      </c>
      <c r="B2967" s="376" t="s">
        <v>1609</v>
      </c>
      <c r="C2967" s="376" t="s">
        <v>1054</v>
      </c>
      <c r="D2967" s="376">
        <v>2026</v>
      </c>
      <c r="E2967" s="376">
        <v>2027</v>
      </c>
      <c r="F2967" s="376">
        <v>1</v>
      </c>
      <c r="G2967" s="376">
        <v>6101.463203368502</v>
      </c>
      <c r="H2967" s="376">
        <v>0</v>
      </c>
      <c r="I2967" s="376">
        <v>1</v>
      </c>
    </row>
    <row r="2968" spans="1:9" x14ac:dyDescent="0.35">
      <c r="A2968" s="376" t="s">
        <v>1603</v>
      </c>
      <c r="B2968" s="376" t="s">
        <v>1609</v>
      </c>
      <c r="C2968" s="376" t="s">
        <v>1046</v>
      </c>
      <c r="D2968" s="376">
        <v>2026</v>
      </c>
      <c r="E2968" s="376">
        <v>2028</v>
      </c>
      <c r="F2968" s="376">
        <v>1</v>
      </c>
      <c r="G2968" s="376">
        <v>6101.463203368502</v>
      </c>
      <c r="H2968" s="376">
        <v>0</v>
      </c>
      <c r="I2968" s="376">
        <v>1</v>
      </c>
    </row>
    <row r="2969" spans="1:9" x14ac:dyDescent="0.35">
      <c r="A2969" s="376" t="s">
        <v>1603</v>
      </c>
      <c r="B2969" s="376" t="s">
        <v>1609</v>
      </c>
      <c r="C2969" s="376" t="s">
        <v>644</v>
      </c>
      <c r="D2969" s="376">
        <v>2026</v>
      </c>
      <c r="E2969" s="376">
        <v>2028</v>
      </c>
      <c r="F2969" s="376">
        <v>1</v>
      </c>
      <c r="G2969" s="376">
        <v>6101.463203368502</v>
      </c>
      <c r="H2969" s="376">
        <v>0</v>
      </c>
      <c r="I2969" s="376">
        <v>1</v>
      </c>
    </row>
    <row r="2970" spans="1:9" x14ac:dyDescent="0.35">
      <c r="A2970" s="376" t="s">
        <v>1603</v>
      </c>
      <c r="B2970" s="376" t="s">
        <v>1609</v>
      </c>
      <c r="C2970" s="376" t="s">
        <v>628</v>
      </c>
      <c r="D2970" s="376">
        <v>2026</v>
      </c>
      <c r="E2970" s="376">
        <v>2028</v>
      </c>
      <c r="F2970" s="376">
        <v>1</v>
      </c>
      <c r="G2970" s="376">
        <v>6101.463203368502</v>
      </c>
      <c r="H2970" s="376">
        <v>0</v>
      </c>
      <c r="I2970" s="376">
        <v>1</v>
      </c>
    </row>
    <row r="2971" spans="1:9" x14ac:dyDescent="0.35">
      <c r="A2971" s="376" t="s">
        <v>1603</v>
      </c>
      <c r="B2971" s="376" t="s">
        <v>1609</v>
      </c>
      <c r="C2971" s="376" t="s">
        <v>1051</v>
      </c>
      <c r="D2971" s="376">
        <v>2026</v>
      </c>
      <c r="E2971" s="376">
        <v>2028</v>
      </c>
      <c r="F2971" s="376">
        <v>1</v>
      </c>
      <c r="G2971" s="376">
        <v>6101.463203368502</v>
      </c>
      <c r="H2971" s="376">
        <v>0</v>
      </c>
      <c r="I2971" s="376">
        <v>1</v>
      </c>
    </row>
    <row r="2972" spans="1:9" x14ac:dyDescent="0.35">
      <c r="A2972" s="376" t="s">
        <v>1603</v>
      </c>
      <c r="B2972" s="376" t="s">
        <v>1609</v>
      </c>
      <c r="C2972" s="376" t="s">
        <v>1054</v>
      </c>
      <c r="D2972" s="376">
        <v>2026</v>
      </c>
      <c r="E2972" s="376">
        <v>2028</v>
      </c>
      <c r="F2972" s="376">
        <v>1</v>
      </c>
      <c r="G2972" s="376">
        <v>6101.463203368502</v>
      </c>
      <c r="H2972" s="376">
        <v>0</v>
      </c>
      <c r="I2972" s="376">
        <v>1</v>
      </c>
    </row>
    <row r="2973" spans="1:9" x14ac:dyDescent="0.35">
      <c r="A2973" s="376" t="s">
        <v>1603</v>
      </c>
      <c r="B2973" s="376" t="s">
        <v>1609</v>
      </c>
      <c r="C2973" s="376" t="s">
        <v>1046</v>
      </c>
      <c r="D2973" s="376">
        <v>2026</v>
      </c>
      <c r="E2973" s="376">
        <v>2029</v>
      </c>
      <c r="F2973" s="376">
        <v>1</v>
      </c>
      <c r="G2973" s="376">
        <v>6101.463203368502</v>
      </c>
      <c r="H2973" s="376">
        <v>0</v>
      </c>
      <c r="I2973" s="376">
        <v>1</v>
      </c>
    </row>
    <row r="2974" spans="1:9" x14ac:dyDescent="0.35">
      <c r="A2974" s="376" t="s">
        <v>1603</v>
      </c>
      <c r="B2974" s="376" t="s">
        <v>1609</v>
      </c>
      <c r="C2974" s="376" t="s">
        <v>644</v>
      </c>
      <c r="D2974" s="376">
        <v>2026</v>
      </c>
      <c r="E2974" s="376">
        <v>2029</v>
      </c>
      <c r="F2974" s="376">
        <v>1</v>
      </c>
      <c r="G2974" s="376">
        <v>6101.463203368502</v>
      </c>
      <c r="H2974" s="376">
        <v>0</v>
      </c>
      <c r="I2974" s="376">
        <v>1</v>
      </c>
    </row>
    <row r="2975" spans="1:9" x14ac:dyDescent="0.35">
      <c r="A2975" s="376" t="s">
        <v>1603</v>
      </c>
      <c r="B2975" s="376" t="s">
        <v>1609</v>
      </c>
      <c r="C2975" s="376" t="s">
        <v>628</v>
      </c>
      <c r="D2975" s="376">
        <v>2026</v>
      </c>
      <c r="E2975" s="376">
        <v>2029</v>
      </c>
      <c r="F2975" s="376">
        <v>1</v>
      </c>
      <c r="G2975" s="376">
        <v>6101.463203368502</v>
      </c>
      <c r="H2975" s="376">
        <v>0</v>
      </c>
      <c r="I2975" s="376">
        <v>1</v>
      </c>
    </row>
    <row r="2976" spans="1:9" x14ac:dyDescent="0.35">
      <c r="A2976" s="376" t="s">
        <v>1603</v>
      </c>
      <c r="B2976" s="376" t="s">
        <v>1609</v>
      </c>
      <c r="C2976" s="376" t="s">
        <v>1051</v>
      </c>
      <c r="D2976" s="376">
        <v>2026</v>
      </c>
      <c r="E2976" s="376">
        <v>2029</v>
      </c>
      <c r="F2976" s="376">
        <v>1</v>
      </c>
      <c r="G2976" s="376">
        <v>6101.463203368502</v>
      </c>
      <c r="H2976" s="376">
        <v>0</v>
      </c>
      <c r="I2976" s="376">
        <v>1</v>
      </c>
    </row>
    <row r="2977" spans="1:9" x14ac:dyDescent="0.35">
      <c r="A2977" s="376" t="s">
        <v>1603</v>
      </c>
      <c r="B2977" s="376" t="s">
        <v>1609</v>
      </c>
      <c r="C2977" s="376" t="s">
        <v>1054</v>
      </c>
      <c r="D2977" s="376">
        <v>2026</v>
      </c>
      <c r="E2977" s="376">
        <v>2029</v>
      </c>
      <c r="F2977" s="376">
        <v>1</v>
      </c>
      <c r="G2977" s="376">
        <v>6101.463203368502</v>
      </c>
      <c r="H2977" s="376">
        <v>0</v>
      </c>
      <c r="I2977" s="376">
        <v>1</v>
      </c>
    </row>
    <row r="2978" spans="1:9" x14ac:dyDescent="0.35">
      <c r="A2978" s="376" t="s">
        <v>1603</v>
      </c>
      <c r="B2978" s="376" t="s">
        <v>1609</v>
      </c>
      <c r="C2978" s="376" t="s">
        <v>1046</v>
      </c>
      <c r="D2978" s="376">
        <v>2026</v>
      </c>
      <c r="E2978" s="376">
        <v>2030</v>
      </c>
      <c r="F2978" s="376">
        <v>1</v>
      </c>
      <c r="G2978" s="376">
        <v>6101.463203368502</v>
      </c>
      <c r="H2978" s="376">
        <v>0</v>
      </c>
      <c r="I2978" s="376">
        <v>1</v>
      </c>
    </row>
    <row r="2979" spans="1:9" x14ac:dyDescent="0.35">
      <c r="A2979" s="376" t="s">
        <v>1603</v>
      </c>
      <c r="B2979" s="376" t="s">
        <v>1609</v>
      </c>
      <c r="C2979" s="376" t="s">
        <v>644</v>
      </c>
      <c r="D2979" s="376">
        <v>2026</v>
      </c>
      <c r="E2979" s="376">
        <v>2030</v>
      </c>
      <c r="F2979" s="376">
        <v>1</v>
      </c>
      <c r="G2979" s="376">
        <v>6101.463203368502</v>
      </c>
      <c r="H2979" s="376">
        <v>0</v>
      </c>
      <c r="I2979" s="376">
        <v>1</v>
      </c>
    </row>
    <row r="2980" spans="1:9" x14ac:dyDescent="0.35">
      <c r="A2980" s="376" t="s">
        <v>1603</v>
      </c>
      <c r="B2980" s="376" t="s">
        <v>1609</v>
      </c>
      <c r="C2980" s="376" t="s">
        <v>628</v>
      </c>
      <c r="D2980" s="376">
        <v>2026</v>
      </c>
      <c r="E2980" s="376">
        <v>2030</v>
      </c>
      <c r="F2980" s="376">
        <v>1</v>
      </c>
      <c r="G2980" s="376">
        <v>6101.463203368502</v>
      </c>
      <c r="H2980" s="376">
        <v>0</v>
      </c>
      <c r="I2980" s="376">
        <v>1</v>
      </c>
    </row>
    <row r="2981" spans="1:9" x14ac:dyDescent="0.35">
      <c r="A2981" s="376" t="s">
        <v>1603</v>
      </c>
      <c r="B2981" s="376" t="s">
        <v>1609</v>
      </c>
      <c r="C2981" s="376" t="s">
        <v>1051</v>
      </c>
      <c r="D2981" s="376">
        <v>2026</v>
      </c>
      <c r="E2981" s="376">
        <v>2030</v>
      </c>
      <c r="F2981" s="376">
        <v>1</v>
      </c>
      <c r="G2981" s="376">
        <v>6101.463203368502</v>
      </c>
      <c r="H2981" s="376">
        <v>0</v>
      </c>
      <c r="I2981" s="376">
        <v>1</v>
      </c>
    </row>
    <row r="2982" spans="1:9" x14ac:dyDescent="0.35">
      <c r="A2982" s="376" t="s">
        <v>1603</v>
      </c>
      <c r="B2982" s="376" t="s">
        <v>1609</v>
      </c>
      <c r="C2982" s="376" t="s">
        <v>1054</v>
      </c>
      <c r="D2982" s="376">
        <v>2026</v>
      </c>
      <c r="E2982" s="376">
        <v>2030</v>
      </c>
      <c r="F2982" s="376">
        <v>1</v>
      </c>
      <c r="G2982" s="376">
        <v>6101.463203368502</v>
      </c>
      <c r="H2982" s="376">
        <v>0</v>
      </c>
      <c r="I2982" s="376">
        <v>1</v>
      </c>
    </row>
    <row r="2983" spans="1:9" x14ac:dyDescent="0.35">
      <c r="A2983" s="376" t="s">
        <v>1603</v>
      </c>
      <c r="B2983" s="376" t="s">
        <v>1609</v>
      </c>
      <c r="C2983" s="376" t="s">
        <v>1046</v>
      </c>
      <c r="D2983" s="376">
        <v>2026</v>
      </c>
      <c r="E2983" s="376">
        <v>2031</v>
      </c>
      <c r="F2983" s="376">
        <v>1</v>
      </c>
      <c r="G2983" s="376">
        <v>6101.463203368502</v>
      </c>
      <c r="H2983" s="376">
        <v>0</v>
      </c>
      <c r="I2983" s="376">
        <v>1</v>
      </c>
    </row>
    <row r="2984" spans="1:9" x14ac:dyDescent="0.35">
      <c r="A2984" s="376" t="s">
        <v>1603</v>
      </c>
      <c r="B2984" s="376" t="s">
        <v>1609</v>
      </c>
      <c r="C2984" s="376" t="s">
        <v>644</v>
      </c>
      <c r="D2984" s="376">
        <v>2026</v>
      </c>
      <c r="E2984" s="376">
        <v>2031</v>
      </c>
      <c r="F2984" s="376">
        <v>1</v>
      </c>
      <c r="G2984" s="376">
        <v>6101.463203368502</v>
      </c>
      <c r="H2984" s="376">
        <v>0</v>
      </c>
      <c r="I2984" s="376">
        <v>1</v>
      </c>
    </row>
    <row r="2985" spans="1:9" x14ac:dyDescent="0.35">
      <c r="A2985" s="376" t="s">
        <v>1603</v>
      </c>
      <c r="B2985" s="376" t="s">
        <v>1609</v>
      </c>
      <c r="C2985" s="376" t="s">
        <v>628</v>
      </c>
      <c r="D2985" s="376">
        <v>2026</v>
      </c>
      <c r="E2985" s="376">
        <v>2031</v>
      </c>
      <c r="F2985" s="376">
        <v>1</v>
      </c>
      <c r="G2985" s="376">
        <v>6101.463203368502</v>
      </c>
      <c r="H2985" s="376">
        <v>0</v>
      </c>
      <c r="I2985" s="376">
        <v>1</v>
      </c>
    </row>
    <row r="2986" spans="1:9" x14ac:dyDescent="0.35">
      <c r="A2986" s="376" t="s">
        <v>1603</v>
      </c>
      <c r="B2986" s="376" t="s">
        <v>1609</v>
      </c>
      <c r="C2986" s="376" t="s">
        <v>1051</v>
      </c>
      <c r="D2986" s="376">
        <v>2026</v>
      </c>
      <c r="E2986" s="376">
        <v>2031</v>
      </c>
      <c r="F2986" s="376">
        <v>1</v>
      </c>
      <c r="G2986" s="376">
        <v>6101.463203368502</v>
      </c>
      <c r="H2986" s="376">
        <v>0</v>
      </c>
      <c r="I2986" s="376">
        <v>1</v>
      </c>
    </row>
    <row r="2987" spans="1:9" x14ac:dyDescent="0.35">
      <c r="A2987" s="376" t="s">
        <v>1603</v>
      </c>
      <c r="B2987" s="376" t="s">
        <v>1609</v>
      </c>
      <c r="C2987" s="376" t="s">
        <v>1054</v>
      </c>
      <c r="D2987" s="376">
        <v>2026</v>
      </c>
      <c r="E2987" s="376">
        <v>2031</v>
      </c>
      <c r="F2987" s="376">
        <v>1</v>
      </c>
      <c r="G2987" s="376">
        <v>6101.463203368502</v>
      </c>
      <c r="H2987" s="376">
        <v>0</v>
      </c>
      <c r="I2987" s="376">
        <v>1</v>
      </c>
    </row>
    <row r="2988" spans="1:9" x14ac:dyDescent="0.35">
      <c r="A2988" s="376" t="s">
        <v>1605</v>
      </c>
      <c r="B2988" s="376" t="s">
        <v>1609</v>
      </c>
      <c r="C2988" s="376" t="s">
        <v>1046</v>
      </c>
      <c r="D2988" s="376">
        <v>2026</v>
      </c>
      <c r="E2988" s="376">
        <v>2026</v>
      </c>
      <c r="F2988" s="376">
        <v>0.23884589662749595</v>
      </c>
      <c r="G2988" s="376">
        <v>10426.102375692073</v>
      </c>
      <c r="H2988" s="376">
        <v>0</v>
      </c>
      <c r="I2988" s="376">
        <v>1</v>
      </c>
    </row>
    <row r="2989" spans="1:9" x14ac:dyDescent="0.35">
      <c r="A2989" s="376" t="s">
        <v>1605</v>
      </c>
      <c r="B2989" s="376" t="s">
        <v>1609</v>
      </c>
      <c r="C2989" s="376" t="s">
        <v>644</v>
      </c>
      <c r="D2989" s="376">
        <v>2026</v>
      </c>
      <c r="E2989" s="376">
        <v>2026</v>
      </c>
      <c r="F2989" s="376">
        <v>0.23884589662749595</v>
      </c>
      <c r="G2989" s="376">
        <v>10426.102375692073</v>
      </c>
      <c r="H2989" s="376">
        <v>0</v>
      </c>
      <c r="I2989" s="376">
        <v>1</v>
      </c>
    </row>
    <row r="2990" spans="1:9" x14ac:dyDescent="0.35">
      <c r="A2990" s="376" t="s">
        <v>1605</v>
      </c>
      <c r="B2990" s="376" t="s">
        <v>1609</v>
      </c>
      <c r="C2990" s="376" t="s">
        <v>628</v>
      </c>
      <c r="D2990" s="376">
        <v>2026</v>
      </c>
      <c r="E2990" s="376">
        <v>2026</v>
      </c>
      <c r="F2990" s="376">
        <v>0.23884589662749595</v>
      </c>
      <c r="G2990" s="376">
        <v>10426.102375692073</v>
      </c>
      <c r="H2990" s="376">
        <v>0</v>
      </c>
      <c r="I2990" s="376">
        <v>1</v>
      </c>
    </row>
    <row r="2991" spans="1:9" x14ac:dyDescent="0.35">
      <c r="A2991" s="376" t="s">
        <v>1605</v>
      </c>
      <c r="B2991" s="376" t="s">
        <v>1609</v>
      </c>
      <c r="C2991" s="376" t="s">
        <v>1051</v>
      </c>
      <c r="D2991" s="376">
        <v>2026</v>
      </c>
      <c r="E2991" s="376">
        <v>2026</v>
      </c>
      <c r="F2991" s="376">
        <v>0.23884589662749595</v>
      </c>
      <c r="G2991" s="376">
        <v>10426.102375692073</v>
      </c>
      <c r="H2991" s="376">
        <v>0</v>
      </c>
      <c r="I2991" s="376">
        <v>1</v>
      </c>
    </row>
    <row r="2992" spans="1:9" x14ac:dyDescent="0.35">
      <c r="A2992" s="376" t="s">
        <v>1605</v>
      </c>
      <c r="B2992" s="376" t="s">
        <v>1609</v>
      </c>
      <c r="C2992" s="376" t="s">
        <v>1054</v>
      </c>
      <c r="D2992" s="376">
        <v>2026</v>
      </c>
      <c r="E2992" s="376">
        <v>2026</v>
      </c>
      <c r="F2992" s="376">
        <v>0.23884589662749595</v>
      </c>
      <c r="G2992" s="376">
        <v>10426.102375692073</v>
      </c>
      <c r="H2992" s="376">
        <v>0</v>
      </c>
      <c r="I2992" s="376">
        <v>1</v>
      </c>
    </row>
    <row r="2993" spans="1:9" x14ac:dyDescent="0.35">
      <c r="A2993" s="376" t="s">
        <v>1605</v>
      </c>
      <c r="B2993" s="376" t="s">
        <v>1609</v>
      </c>
      <c r="C2993" s="376" t="s">
        <v>1046</v>
      </c>
      <c r="D2993" s="376">
        <v>2026</v>
      </c>
      <c r="E2993" s="376">
        <v>2027</v>
      </c>
      <c r="F2993" s="376">
        <v>0.23884589662749595</v>
      </c>
      <c r="G2993" s="376">
        <v>10426.102375692073</v>
      </c>
      <c r="H2993" s="376">
        <v>0</v>
      </c>
      <c r="I2993" s="376">
        <v>1</v>
      </c>
    </row>
    <row r="2994" spans="1:9" x14ac:dyDescent="0.35">
      <c r="A2994" s="376" t="s">
        <v>1605</v>
      </c>
      <c r="B2994" s="376" t="s">
        <v>1609</v>
      </c>
      <c r="C2994" s="376" t="s">
        <v>644</v>
      </c>
      <c r="D2994" s="376">
        <v>2026</v>
      </c>
      <c r="E2994" s="376">
        <v>2027</v>
      </c>
      <c r="F2994" s="376">
        <v>0.23884589662749595</v>
      </c>
      <c r="G2994" s="376">
        <v>10426.102375692073</v>
      </c>
      <c r="H2994" s="376">
        <v>0</v>
      </c>
      <c r="I2994" s="376">
        <v>1</v>
      </c>
    </row>
    <row r="2995" spans="1:9" x14ac:dyDescent="0.35">
      <c r="A2995" s="376" t="s">
        <v>1605</v>
      </c>
      <c r="B2995" s="376" t="s">
        <v>1609</v>
      </c>
      <c r="C2995" s="376" t="s">
        <v>628</v>
      </c>
      <c r="D2995" s="376">
        <v>2026</v>
      </c>
      <c r="E2995" s="376">
        <v>2027</v>
      </c>
      <c r="F2995" s="376">
        <v>0.23884589662749595</v>
      </c>
      <c r="G2995" s="376">
        <v>10426.102375692073</v>
      </c>
      <c r="H2995" s="376">
        <v>0</v>
      </c>
      <c r="I2995" s="376">
        <v>1</v>
      </c>
    </row>
    <row r="2996" spans="1:9" x14ac:dyDescent="0.35">
      <c r="A2996" s="376" t="s">
        <v>1605</v>
      </c>
      <c r="B2996" s="376" t="s">
        <v>1609</v>
      </c>
      <c r="C2996" s="376" t="s">
        <v>1051</v>
      </c>
      <c r="D2996" s="376">
        <v>2026</v>
      </c>
      <c r="E2996" s="376">
        <v>2027</v>
      </c>
      <c r="F2996" s="376">
        <v>0.23884589662749595</v>
      </c>
      <c r="G2996" s="376">
        <v>10426.102375692073</v>
      </c>
      <c r="H2996" s="376">
        <v>0</v>
      </c>
      <c r="I2996" s="376">
        <v>1</v>
      </c>
    </row>
    <row r="2997" spans="1:9" x14ac:dyDescent="0.35">
      <c r="A2997" s="376" t="s">
        <v>1605</v>
      </c>
      <c r="B2997" s="376" t="s">
        <v>1609</v>
      </c>
      <c r="C2997" s="376" t="s">
        <v>1054</v>
      </c>
      <c r="D2997" s="376">
        <v>2026</v>
      </c>
      <c r="E2997" s="376">
        <v>2027</v>
      </c>
      <c r="F2997" s="376">
        <v>0.23884589662749595</v>
      </c>
      <c r="G2997" s="376">
        <v>10426.102375692073</v>
      </c>
      <c r="H2997" s="376">
        <v>0</v>
      </c>
      <c r="I2997" s="376">
        <v>1</v>
      </c>
    </row>
    <row r="2998" spans="1:9" x14ac:dyDescent="0.35">
      <c r="A2998" s="376" t="s">
        <v>1605</v>
      </c>
      <c r="B2998" s="376" t="s">
        <v>1609</v>
      </c>
      <c r="C2998" s="376" t="s">
        <v>1046</v>
      </c>
      <c r="D2998" s="376">
        <v>2026</v>
      </c>
      <c r="E2998" s="376">
        <v>2028</v>
      </c>
      <c r="F2998" s="376">
        <v>0.23884589662749595</v>
      </c>
      <c r="G2998" s="376">
        <v>10426.102375692073</v>
      </c>
      <c r="H2998" s="376">
        <v>0</v>
      </c>
      <c r="I2998" s="376">
        <v>1</v>
      </c>
    </row>
    <row r="2999" spans="1:9" x14ac:dyDescent="0.35">
      <c r="A2999" s="376" t="s">
        <v>1605</v>
      </c>
      <c r="B2999" s="376" t="s">
        <v>1609</v>
      </c>
      <c r="C2999" s="376" t="s">
        <v>644</v>
      </c>
      <c r="D2999" s="376">
        <v>2026</v>
      </c>
      <c r="E2999" s="376">
        <v>2028</v>
      </c>
      <c r="F2999" s="376">
        <v>0.23884589662749595</v>
      </c>
      <c r="G2999" s="376">
        <v>10426.102375692073</v>
      </c>
      <c r="H2999" s="376">
        <v>0</v>
      </c>
      <c r="I2999" s="376">
        <v>1</v>
      </c>
    </row>
    <row r="3000" spans="1:9" x14ac:dyDescent="0.35">
      <c r="A3000" s="376" t="s">
        <v>1605</v>
      </c>
      <c r="B3000" s="376" t="s">
        <v>1609</v>
      </c>
      <c r="C3000" s="376" t="s">
        <v>628</v>
      </c>
      <c r="D3000" s="376">
        <v>2026</v>
      </c>
      <c r="E3000" s="376">
        <v>2028</v>
      </c>
      <c r="F3000" s="376">
        <v>0.23884589662749595</v>
      </c>
      <c r="G3000" s="376">
        <v>10426.102375692073</v>
      </c>
      <c r="H3000" s="376">
        <v>0</v>
      </c>
      <c r="I3000" s="376">
        <v>1</v>
      </c>
    </row>
    <row r="3001" spans="1:9" x14ac:dyDescent="0.35">
      <c r="A3001" s="376" t="s">
        <v>1605</v>
      </c>
      <c r="B3001" s="376" t="s">
        <v>1609</v>
      </c>
      <c r="C3001" s="376" t="s">
        <v>1051</v>
      </c>
      <c r="D3001" s="376">
        <v>2026</v>
      </c>
      <c r="E3001" s="376">
        <v>2028</v>
      </c>
      <c r="F3001" s="376">
        <v>0.23884589662749595</v>
      </c>
      <c r="G3001" s="376">
        <v>10426.102375692073</v>
      </c>
      <c r="H3001" s="376">
        <v>0</v>
      </c>
      <c r="I3001" s="376">
        <v>1</v>
      </c>
    </row>
    <row r="3002" spans="1:9" x14ac:dyDescent="0.35">
      <c r="A3002" s="376" t="s">
        <v>1605</v>
      </c>
      <c r="B3002" s="376" t="s">
        <v>1609</v>
      </c>
      <c r="C3002" s="376" t="s">
        <v>1054</v>
      </c>
      <c r="D3002" s="376">
        <v>2026</v>
      </c>
      <c r="E3002" s="376">
        <v>2028</v>
      </c>
      <c r="F3002" s="376">
        <v>0.23884589662749595</v>
      </c>
      <c r="G3002" s="376">
        <v>10426.102375692073</v>
      </c>
      <c r="H3002" s="376">
        <v>0</v>
      </c>
      <c r="I3002" s="376">
        <v>1</v>
      </c>
    </row>
    <row r="3003" spans="1:9" x14ac:dyDescent="0.35">
      <c r="A3003" s="376" t="s">
        <v>1605</v>
      </c>
      <c r="B3003" s="376" t="s">
        <v>1609</v>
      </c>
      <c r="C3003" s="376" t="s">
        <v>1046</v>
      </c>
      <c r="D3003" s="376">
        <v>2026</v>
      </c>
      <c r="E3003" s="376">
        <v>2029</v>
      </c>
      <c r="F3003" s="376">
        <v>0.23884589662749595</v>
      </c>
      <c r="G3003" s="376">
        <v>10426.102375692073</v>
      </c>
      <c r="H3003" s="376">
        <v>0</v>
      </c>
      <c r="I3003" s="376">
        <v>1</v>
      </c>
    </row>
    <row r="3004" spans="1:9" x14ac:dyDescent="0.35">
      <c r="A3004" s="376" t="s">
        <v>1605</v>
      </c>
      <c r="B3004" s="376" t="s">
        <v>1609</v>
      </c>
      <c r="C3004" s="376" t="s">
        <v>644</v>
      </c>
      <c r="D3004" s="376">
        <v>2026</v>
      </c>
      <c r="E3004" s="376">
        <v>2029</v>
      </c>
      <c r="F3004" s="376">
        <v>0.23884589662749595</v>
      </c>
      <c r="G3004" s="376">
        <v>10426.102375692073</v>
      </c>
      <c r="H3004" s="376">
        <v>0</v>
      </c>
      <c r="I3004" s="376">
        <v>1</v>
      </c>
    </row>
    <row r="3005" spans="1:9" x14ac:dyDescent="0.35">
      <c r="A3005" s="376" t="s">
        <v>1605</v>
      </c>
      <c r="B3005" s="376" t="s">
        <v>1609</v>
      </c>
      <c r="C3005" s="376" t="s">
        <v>628</v>
      </c>
      <c r="D3005" s="376">
        <v>2026</v>
      </c>
      <c r="E3005" s="376">
        <v>2029</v>
      </c>
      <c r="F3005" s="376">
        <v>0.23884589662749595</v>
      </c>
      <c r="G3005" s="376">
        <v>10426.102375692073</v>
      </c>
      <c r="H3005" s="376">
        <v>0</v>
      </c>
      <c r="I3005" s="376">
        <v>1</v>
      </c>
    </row>
    <row r="3006" spans="1:9" x14ac:dyDescent="0.35">
      <c r="A3006" s="376" t="s">
        <v>1605</v>
      </c>
      <c r="B3006" s="376" t="s">
        <v>1609</v>
      </c>
      <c r="C3006" s="376" t="s">
        <v>1051</v>
      </c>
      <c r="D3006" s="376">
        <v>2026</v>
      </c>
      <c r="E3006" s="376">
        <v>2029</v>
      </c>
      <c r="F3006" s="376">
        <v>0.23884589662749595</v>
      </c>
      <c r="G3006" s="376">
        <v>10426.102375692073</v>
      </c>
      <c r="H3006" s="376">
        <v>0</v>
      </c>
      <c r="I3006" s="376">
        <v>1</v>
      </c>
    </row>
    <row r="3007" spans="1:9" x14ac:dyDescent="0.35">
      <c r="A3007" s="376" t="s">
        <v>1605</v>
      </c>
      <c r="B3007" s="376" t="s">
        <v>1609</v>
      </c>
      <c r="C3007" s="376" t="s">
        <v>1054</v>
      </c>
      <c r="D3007" s="376">
        <v>2026</v>
      </c>
      <c r="E3007" s="376">
        <v>2029</v>
      </c>
      <c r="F3007" s="376">
        <v>0.23884589662749595</v>
      </c>
      <c r="G3007" s="376">
        <v>10426.102375692073</v>
      </c>
      <c r="H3007" s="376">
        <v>0</v>
      </c>
      <c r="I3007" s="376">
        <v>1</v>
      </c>
    </row>
    <row r="3008" spans="1:9" x14ac:dyDescent="0.35">
      <c r="A3008" s="376" t="s">
        <v>1605</v>
      </c>
      <c r="B3008" s="376" t="s">
        <v>1609</v>
      </c>
      <c r="C3008" s="376" t="s">
        <v>1046</v>
      </c>
      <c r="D3008" s="376">
        <v>2026</v>
      </c>
      <c r="E3008" s="376">
        <v>2030</v>
      </c>
      <c r="F3008" s="376">
        <v>0.23884589662749595</v>
      </c>
      <c r="G3008" s="376">
        <v>10426.102375692073</v>
      </c>
      <c r="H3008" s="376">
        <v>0</v>
      </c>
      <c r="I3008" s="376">
        <v>1</v>
      </c>
    </row>
    <row r="3009" spans="1:9" x14ac:dyDescent="0.35">
      <c r="A3009" s="376" t="s">
        <v>1605</v>
      </c>
      <c r="B3009" s="376" t="s">
        <v>1609</v>
      </c>
      <c r="C3009" s="376" t="s">
        <v>644</v>
      </c>
      <c r="D3009" s="376">
        <v>2026</v>
      </c>
      <c r="E3009" s="376">
        <v>2030</v>
      </c>
      <c r="F3009" s="376">
        <v>0.23884589662749595</v>
      </c>
      <c r="G3009" s="376">
        <v>10426.102375692073</v>
      </c>
      <c r="H3009" s="376">
        <v>0</v>
      </c>
      <c r="I3009" s="376">
        <v>1</v>
      </c>
    </row>
    <row r="3010" spans="1:9" x14ac:dyDescent="0.35">
      <c r="A3010" s="376" t="s">
        <v>1605</v>
      </c>
      <c r="B3010" s="376" t="s">
        <v>1609</v>
      </c>
      <c r="C3010" s="376" t="s">
        <v>628</v>
      </c>
      <c r="D3010" s="376">
        <v>2026</v>
      </c>
      <c r="E3010" s="376">
        <v>2030</v>
      </c>
      <c r="F3010" s="376">
        <v>0.23884589662749595</v>
      </c>
      <c r="G3010" s="376">
        <v>10426.102375692073</v>
      </c>
      <c r="H3010" s="376">
        <v>0</v>
      </c>
      <c r="I3010" s="376">
        <v>1</v>
      </c>
    </row>
    <row r="3011" spans="1:9" x14ac:dyDescent="0.35">
      <c r="A3011" s="376" t="s">
        <v>1605</v>
      </c>
      <c r="B3011" s="376" t="s">
        <v>1609</v>
      </c>
      <c r="C3011" s="376" t="s">
        <v>1051</v>
      </c>
      <c r="D3011" s="376">
        <v>2026</v>
      </c>
      <c r="E3011" s="376">
        <v>2030</v>
      </c>
      <c r="F3011" s="376">
        <v>0.23884589662749595</v>
      </c>
      <c r="G3011" s="376">
        <v>10426.102375692073</v>
      </c>
      <c r="H3011" s="376">
        <v>0</v>
      </c>
      <c r="I3011" s="376">
        <v>1</v>
      </c>
    </row>
    <row r="3012" spans="1:9" x14ac:dyDescent="0.35">
      <c r="A3012" s="376" t="s">
        <v>1605</v>
      </c>
      <c r="B3012" s="376" t="s">
        <v>1609</v>
      </c>
      <c r="C3012" s="376" t="s">
        <v>1054</v>
      </c>
      <c r="D3012" s="376">
        <v>2026</v>
      </c>
      <c r="E3012" s="376">
        <v>2030</v>
      </c>
      <c r="F3012" s="376">
        <v>0.23884589662749595</v>
      </c>
      <c r="G3012" s="376">
        <v>10426.102375692073</v>
      </c>
      <c r="H3012" s="376">
        <v>0</v>
      </c>
      <c r="I3012" s="376">
        <v>1</v>
      </c>
    </row>
    <row r="3013" spans="1:9" x14ac:dyDescent="0.35">
      <c r="A3013" s="376" t="s">
        <v>1605</v>
      </c>
      <c r="B3013" s="376" t="s">
        <v>1609</v>
      </c>
      <c r="C3013" s="376" t="s">
        <v>1046</v>
      </c>
      <c r="D3013" s="376">
        <v>2026</v>
      </c>
      <c r="E3013" s="376">
        <v>2031</v>
      </c>
      <c r="F3013" s="376">
        <v>0.23884589662749595</v>
      </c>
      <c r="G3013" s="376">
        <v>10426.102375692073</v>
      </c>
      <c r="H3013" s="376">
        <v>0</v>
      </c>
      <c r="I3013" s="376">
        <v>1</v>
      </c>
    </row>
    <row r="3014" spans="1:9" x14ac:dyDescent="0.35">
      <c r="A3014" s="376" t="s">
        <v>1605</v>
      </c>
      <c r="B3014" s="376" t="s">
        <v>1609</v>
      </c>
      <c r="C3014" s="376" t="s">
        <v>644</v>
      </c>
      <c r="D3014" s="376">
        <v>2026</v>
      </c>
      <c r="E3014" s="376">
        <v>2031</v>
      </c>
      <c r="F3014" s="376">
        <v>0.23884589662749595</v>
      </c>
      <c r="G3014" s="376">
        <v>10426.102375692073</v>
      </c>
      <c r="H3014" s="376">
        <v>0</v>
      </c>
      <c r="I3014" s="376">
        <v>1</v>
      </c>
    </row>
    <row r="3015" spans="1:9" x14ac:dyDescent="0.35">
      <c r="A3015" s="376" t="s">
        <v>1605</v>
      </c>
      <c r="B3015" s="376" t="s">
        <v>1609</v>
      </c>
      <c r="C3015" s="376" t="s">
        <v>628</v>
      </c>
      <c r="D3015" s="376">
        <v>2026</v>
      </c>
      <c r="E3015" s="376">
        <v>2031</v>
      </c>
      <c r="F3015" s="376">
        <v>0.23884589662749595</v>
      </c>
      <c r="G3015" s="376">
        <v>10426.102375692073</v>
      </c>
      <c r="H3015" s="376">
        <v>0</v>
      </c>
      <c r="I3015" s="376">
        <v>1</v>
      </c>
    </row>
    <row r="3016" spans="1:9" x14ac:dyDescent="0.35">
      <c r="A3016" s="376" t="s">
        <v>1605</v>
      </c>
      <c r="B3016" s="376" t="s">
        <v>1609</v>
      </c>
      <c r="C3016" s="376" t="s">
        <v>1051</v>
      </c>
      <c r="D3016" s="376">
        <v>2026</v>
      </c>
      <c r="E3016" s="376">
        <v>2031</v>
      </c>
      <c r="F3016" s="376">
        <v>0.23884589662749595</v>
      </c>
      <c r="G3016" s="376">
        <v>10426.102375692073</v>
      </c>
      <c r="H3016" s="376">
        <v>0</v>
      </c>
      <c r="I3016" s="376">
        <v>1</v>
      </c>
    </row>
    <row r="3017" spans="1:9" x14ac:dyDescent="0.35">
      <c r="A3017" s="376" t="s">
        <v>1605</v>
      </c>
      <c r="B3017" s="376" t="s">
        <v>1609</v>
      </c>
      <c r="C3017" s="376" t="s">
        <v>1054</v>
      </c>
      <c r="D3017" s="376">
        <v>2026</v>
      </c>
      <c r="E3017" s="376">
        <v>2031</v>
      </c>
      <c r="F3017" s="376">
        <v>0.23884589662749595</v>
      </c>
      <c r="G3017" s="376">
        <v>10426.102375692073</v>
      </c>
      <c r="H3017" s="376">
        <v>0</v>
      </c>
      <c r="I3017" s="376">
        <v>1</v>
      </c>
    </row>
    <row r="3018" spans="1:9" x14ac:dyDescent="0.35">
      <c r="A3018" s="376" t="s">
        <v>1636</v>
      </c>
      <c r="B3018" s="376" t="s">
        <v>1609</v>
      </c>
      <c r="C3018" s="376" t="s">
        <v>1046</v>
      </c>
      <c r="D3018" s="376">
        <v>2026</v>
      </c>
      <c r="E3018" s="376">
        <v>2026</v>
      </c>
      <c r="F3018" s="376">
        <v>1</v>
      </c>
      <c r="G3018" s="376">
        <v>3450.308751281123</v>
      </c>
      <c r="H3018" s="376">
        <v>0</v>
      </c>
      <c r="I3018" s="376">
        <v>1</v>
      </c>
    </row>
    <row r="3019" spans="1:9" x14ac:dyDescent="0.35">
      <c r="A3019" s="376" t="s">
        <v>1636</v>
      </c>
      <c r="B3019" s="376" t="s">
        <v>1609</v>
      </c>
      <c r="C3019" s="376" t="s">
        <v>644</v>
      </c>
      <c r="D3019" s="376">
        <v>2026</v>
      </c>
      <c r="E3019" s="376">
        <v>2026</v>
      </c>
      <c r="F3019" s="376">
        <v>1</v>
      </c>
      <c r="G3019" s="376">
        <v>3450.308751281123</v>
      </c>
      <c r="H3019" s="376">
        <v>0</v>
      </c>
      <c r="I3019" s="376">
        <v>1</v>
      </c>
    </row>
    <row r="3020" spans="1:9" x14ac:dyDescent="0.35">
      <c r="A3020" s="376" t="s">
        <v>1636</v>
      </c>
      <c r="B3020" s="376" t="s">
        <v>1609</v>
      </c>
      <c r="C3020" s="376" t="s">
        <v>628</v>
      </c>
      <c r="D3020" s="376">
        <v>2026</v>
      </c>
      <c r="E3020" s="376">
        <v>2026</v>
      </c>
      <c r="F3020" s="376">
        <v>1</v>
      </c>
      <c r="G3020" s="376">
        <v>3450.308751281123</v>
      </c>
      <c r="H3020" s="376">
        <v>0</v>
      </c>
      <c r="I3020" s="376">
        <v>1</v>
      </c>
    </row>
    <row r="3021" spans="1:9" x14ac:dyDescent="0.35">
      <c r="A3021" s="376" t="s">
        <v>1636</v>
      </c>
      <c r="B3021" s="376" t="s">
        <v>1609</v>
      </c>
      <c r="C3021" s="376" t="s">
        <v>1051</v>
      </c>
      <c r="D3021" s="376">
        <v>2026</v>
      </c>
      <c r="E3021" s="376">
        <v>2026</v>
      </c>
      <c r="F3021" s="376">
        <v>1</v>
      </c>
      <c r="G3021" s="376">
        <v>3450.308751281123</v>
      </c>
      <c r="H3021" s="376">
        <v>0</v>
      </c>
      <c r="I3021" s="376">
        <v>1</v>
      </c>
    </row>
    <row r="3022" spans="1:9" x14ac:dyDescent="0.35">
      <c r="A3022" s="376" t="s">
        <v>1636</v>
      </c>
      <c r="B3022" s="376" t="s">
        <v>1609</v>
      </c>
      <c r="C3022" s="376" t="s">
        <v>1054</v>
      </c>
      <c r="D3022" s="376">
        <v>2026</v>
      </c>
      <c r="E3022" s="376">
        <v>2026</v>
      </c>
      <c r="F3022" s="376">
        <v>1</v>
      </c>
      <c r="G3022" s="376">
        <v>3450.308751281123</v>
      </c>
      <c r="H3022" s="376">
        <v>0</v>
      </c>
      <c r="I3022" s="376">
        <v>1</v>
      </c>
    </row>
    <row r="3023" spans="1:9" x14ac:dyDescent="0.35">
      <c r="A3023" s="376" t="s">
        <v>1636</v>
      </c>
      <c r="B3023" s="376" t="s">
        <v>1609</v>
      </c>
      <c r="C3023" s="376" t="s">
        <v>1046</v>
      </c>
      <c r="D3023" s="376">
        <v>2026</v>
      </c>
      <c r="E3023" s="376">
        <v>2027</v>
      </c>
      <c r="F3023" s="376">
        <v>1</v>
      </c>
      <c r="G3023" s="376">
        <v>3450.308751281123</v>
      </c>
      <c r="H3023" s="376">
        <v>0</v>
      </c>
      <c r="I3023" s="376">
        <v>1</v>
      </c>
    </row>
    <row r="3024" spans="1:9" x14ac:dyDescent="0.35">
      <c r="A3024" s="376" t="s">
        <v>1636</v>
      </c>
      <c r="B3024" s="376" t="s">
        <v>1609</v>
      </c>
      <c r="C3024" s="376" t="s">
        <v>644</v>
      </c>
      <c r="D3024" s="376">
        <v>2026</v>
      </c>
      <c r="E3024" s="376">
        <v>2027</v>
      </c>
      <c r="F3024" s="376">
        <v>1</v>
      </c>
      <c r="G3024" s="376">
        <v>3450.308751281123</v>
      </c>
      <c r="H3024" s="376">
        <v>0</v>
      </c>
      <c r="I3024" s="376">
        <v>1</v>
      </c>
    </row>
    <row r="3025" spans="1:9" x14ac:dyDescent="0.35">
      <c r="A3025" s="376" t="s">
        <v>1636</v>
      </c>
      <c r="B3025" s="376" t="s">
        <v>1609</v>
      </c>
      <c r="C3025" s="376" t="s">
        <v>628</v>
      </c>
      <c r="D3025" s="376">
        <v>2026</v>
      </c>
      <c r="E3025" s="376">
        <v>2027</v>
      </c>
      <c r="F3025" s="376">
        <v>1</v>
      </c>
      <c r="G3025" s="376">
        <v>3450.308751281123</v>
      </c>
      <c r="H3025" s="376">
        <v>0</v>
      </c>
      <c r="I3025" s="376">
        <v>1</v>
      </c>
    </row>
    <row r="3026" spans="1:9" x14ac:dyDescent="0.35">
      <c r="A3026" s="376" t="s">
        <v>1636</v>
      </c>
      <c r="B3026" s="376" t="s">
        <v>1609</v>
      </c>
      <c r="C3026" s="376" t="s">
        <v>1051</v>
      </c>
      <c r="D3026" s="376">
        <v>2026</v>
      </c>
      <c r="E3026" s="376">
        <v>2027</v>
      </c>
      <c r="F3026" s="376">
        <v>1</v>
      </c>
      <c r="G3026" s="376">
        <v>3450.308751281123</v>
      </c>
      <c r="H3026" s="376">
        <v>0</v>
      </c>
      <c r="I3026" s="376">
        <v>1</v>
      </c>
    </row>
    <row r="3027" spans="1:9" x14ac:dyDescent="0.35">
      <c r="A3027" s="376" t="s">
        <v>1636</v>
      </c>
      <c r="B3027" s="376" t="s">
        <v>1609</v>
      </c>
      <c r="C3027" s="376" t="s">
        <v>1054</v>
      </c>
      <c r="D3027" s="376">
        <v>2026</v>
      </c>
      <c r="E3027" s="376">
        <v>2027</v>
      </c>
      <c r="F3027" s="376">
        <v>1</v>
      </c>
      <c r="G3027" s="376">
        <v>3450.308751281123</v>
      </c>
      <c r="H3027" s="376">
        <v>0</v>
      </c>
      <c r="I3027" s="376">
        <v>1</v>
      </c>
    </row>
    <row r="3028" spans="1:9" x14ac:dyDescent="0.35">
      <c r="A3028" s="376" t="s">
        <v>1636</v>
      </c>
      <c r="B3028" s="376" t="s">
        <v>1609</v>
      </c>
      <c r="C3028" s="376" t="s">
        <v>1046</v>
      </c>
      <c r="D3028" s="376">
        <v>2026</v>
      </c>
      <c r="E3028" s="376">
        <v>2028</v>
      </c>
      <c r="F3028" s="376">
        <v>1</v>
      </c>
      <c r="G3028" s="376">
        <v>3450.308751281123</v>
      </c>
      <c r="H3028" s="376">
        <v>0</v>
      </c>
      <c r="I3028" s="376">
        <v>1</v>
      </c>
    </row>
    <row r="3029" spans="1:9" x14ac:dyDescent="0.35">
      <c r="A3029" s="376" t="s">
        <v>1636</v>
      </c>
      <c r="B3029" s="376" t="s">
        <v>1609</v>
      </c>
      <c r="C3029" s="376" t="s">
        <v>644</v>
      </c>
      <c r="D3029" s="376">
        <v>2026</v>
      </c>
      <c r="E3029" s="376">
        <v>2028</v>
      </c>
      <c r="F3029" s="376">
        <v>1</v>
      </c>
      <c r="G3029" s="376">
        <v>3450.308751281123</v>
      </c>
      <c r="H3029" s="376">
        <v>0</v>
      </c>
      <c r="I3029" s="376">
        <v>1</v>
      </c>
    </row>
    <row r="3030" spans="1:9" x14ac:dyDescent="0.35">
      <c r="A3030" s="376" t="s">
        <v>1636</v>
      </c>
      <c r="B3030" s="376" t="s">
        <v>1609</v>
      </c>
      <c r="C3030" s="376" t="s">
        <v>628</v>
      </c>
      <c r="D3030" s="376">
        <v>2026</v>
      </c>
      <c r="E3030" s="376">
        <v>2028</v>
      </c>
      <c r="F3030" s="376">
        <v>1</v>
      </c>
      <c r="G3030" s="376">
        <v>3450.308751281123</v>
      </c>
      <c r="H3030" s="376">
        <v>0</v>
      </c>
      <c r="I3030" s="376">
        <v>1</v>
      </c>
    </row>
    <row r="3031" spans="1:9" x14ac:dyDescent="0.35">
      <c r="A3031" s="376" t="s">
        <v>1636</v>
      </c>
      <c r="B3031" s="376" t="s">
        <v>1609</v>
      </c>
      <c r="C3031" s="376" t="s">
        <v>1051</v>
      </c>
      <c r="D3031" s="376">
        <v>2026</v>
      </c>
      <c r="E3031" s="376">
        <v>2028</v>
      </c>
      <c r="F3031" s="376">
        <v>1</v>
      </c>
      <c r="G3031" s="376">
        <v>3450.308751281123</v>
      </c>
      <c r="H3031" s="376">
        <v>0</v>
      </c>
      <c r="I3031" s="376">
        <v>1</v>
      </c>
    </row>
    <row r="3032" spans="1:9" x14ac:dyDescent="0.35">
      <c r="A3032" s="376" t="s">
        <v>1636</v>
      </c>
      <c r="B3032" s="376" t="s">
        <v>1609</v>
      </c>
      <c r="C3032" s="376" t="s">
        <v>1054</v>
      </c>
      <c r="D3032" s="376">
        <v>2026</v>
      </c>
      <c r="E3032" s="376">
        <v>2028</v>
      </c>
      <c r="F3032" s="376">
        <v>1</v>
      </c>
      <c r="G3032" s="376">
        <v>3450.308751281123</v>
      </c>
      <c r="H3032" s="376">
        <v>0</v>
      </c>
      <c r="I3032" s="376">
        <v>1</v>
      </c>
    </row>
    <row r="3033" spans="1:9" x14ac:dyDescent="0.35">
      <c r="A3033" s="376" t="s">
        <v>1636</v>
      </c>
      <c r="B3033" s="376" t="s">
        <v>1609</v>
      </c>
      <c r="C3033" s="376" t="s">
        <v>1046</v>
      </c>
      <c r="D3033" s="376">
        <v>2026</v>
      </c>
      <c r="E3033" s="376">
        <v>2029</v>
      </c>
      <c r="F3033" s="376">
        <v>1</v>
      </c>
      <c r="G3033" s="376">
        <v>3450.308751281123</v>
      </c>
      <c r="H3033" s="376">
        <v>0</v>
      </c>
      <c r="I3033" s="376">
        <v>1</v>
      </c>
    </row>
    <row r="3034" spans="1:9" x14ac:dyDescent="0.35">
      <c r="A3034" s="376" t="s">
        <v>1636</v>
      </c>
      <c r="B3034" s="376" t="s">
        <v>1609</v>
      </c>
      <c r="C3034" s="376" t="s">
        <v>644</v>
      </c>
      <c r="D3034" s="376">
        <v>2026</v>
      </c>
      <c r="E3034" s="376">
        <v>2029</v>
      </c>
      <c r="F3034" s="376">
        <v>1</v>
      </c>
      <c r="G3034" s="376">
        <v>3450.308751281123</v>
      </c>
      <c r="H3034" s="376">
        <v>0</v>
      </c>
      <c r="I3034" s="376">
        <v>1</v>
      </c>
    </row>
    <row r="3035" spans="1:9" x14ac:dyDescent="0.35">
      <c r="A3035" s="376" t="s">
        <v>1636</v>
      </c>
      <c r="B3035" s="376" t="s">
        <v>1609</v>
      </c>
      <c r="C3035" s="376" t="s">
        <v>628</v>
      </c>
      <c r="D3035" s="376">
        <v>2026</v>
      </c>
      <c r="E3035" s="376">
        <v>2029</v>
      </c>
      <c r="F3035" s="376">
        <v>1</v>
      </c>
      <c r="G3035" s="376">
        <v>3450.308751281123</v>
      </c>
      <c r="H3035" s="376">
        <v>0</v>
      </c>
      <c r="I3035" s="376">
        <v>1</v>
      </c>
    </row>
    <row r="3036" spans="1:9" x14ac:dyDescent="0.35">
      <c r="A3036" s="376" t="s">
        <v>1636</v>
      </c>
      <c r="B3036" s="376" t="s">
        <v>1609</v>
      </c>
      <c r="C3036" s="376" t="s">
        <v>1051</v>
      </c>
      <c r="D3036" s="376">
        <v>2026</v>
      </c>
      <c r="E3036" s="376">
        <v>2029</v>
      </c>
      <c r="F3036" s="376">
        <v>1</v>
      </c>
      <c r="G3036" s="376">
        <v>3450.308751281123</v>
      </c>
      <c r="H3036" s="376">
        <v>0</v>
      </c>
      <c r="I3036" s="376">
        <v>1</v>
      </c>
    </row>
    <row r="3037" spans="1:9" x14ac:dyDescent="0.35">
      <c r="A3037" s="376" t="s">
        <v>1636</v>
      </c>
      <c r="B3037" s="376" t="s">
        <v>1609</v>
      </c>
      <c r="C3037" s="376" t="s">
        <v>1054</v>
      </c>
      <c r="D3037" s="376">
        <v>2026</v>
      </c>
      <c r="E3037" s="376">
        <v>2029</v>
      </c>
      <c r="F3037" s="376">
        <v>1</v>
      </c>
      <c r="G3037" s="376">
        <v>3450.308751281123</v>
      </c>
      <c r="H3037" s="376">
        <v>0</v>
      </c>
      <c r="I3037" s="376">
        <v>1</v>
      </c>
    </row>
    <row r="3038" spans="1:9" x14ac:dyDescent="0.35">
      <c r="A3038" s="376" t="s">
        <v>1636</v>
      </c>
      <c r="B3038" s="376" t="s">
        <v>1609</v>
      </c>
      <c r="C3038" s="376" t="s">
        <v>1046</v>
      </c>
      <c r="D3038" s="376">
        <v>2026</v>
      </c>
      <c r="E3038" s="376">
        <v>2030</v>
      </c>
      <c r="F3038" s="376">
        <v>1</v>
      </c>
      <c r="G3038" s="376">
        <v>3450.308751281123</v>
      </c>
      <c r="H3038" s="376">
        <v>0</v>
      </c>
      <c r="I3038" s="376">
        <v>1</v>
      </c>
    </row>
    <row r="3039" spans="1:9" x14ac:dyDescent="0.35">
      <c r="A3039" s="376" t="s">
        <v>1636</v>
      </c>
      <c r="B3039" s="376" t="s">
        <v>1609</v>
      </c>
      <c r="C3039" s="376" t="s">
        <v>644</v>
      </c>
      <c r="D3039" s="376">
        <v>2026</v>
      </c>
      <c r="E3039" s="376">
        <v>2030</v>
      </c>
      <c r="F3039" s="376">
        <v>1</v>
      </c>
      <c r="G3039" s="376">
        <v>3450.308751281123</v>
      </c>
      <c r="H3039" s="376">
        <v>0</v>
      </c>
      <c r="I3039" s="376">
        <v>1</v>
      </c>
    </row>
    <row r="3040" spans="1:9" x14ac:dyDescent="0.35">
      <c r="A3040" s="376" t="s">
        <v>1636</v>
      </c>
      <c r="B3040" s="376" t="s">
        <v>1609</v>
      </c>
      <c r="C3040" s="376" t="s">
        <v>628</v>
      </c>
      <c r="D3040" s="376">
        <v>2026</v>
      </c>
      <c r="E3040" s="376">
        <v>2030</v>
      </c>
      <c r="F3040" s="376">
        <v>1</v>
      </c>
      <c r="G3040" s="376">
        <v>3450.308751281123</v>
      </c>
      <c r="H3040" s="376">
        <v>0</v>
      </c>
      <c r="I3040" s="376">
        <v>1</v>
      </c>
    </row>
    <row r="3041" spans="1:9" x14ac:dyDescent="0.35">
      <c r="A3041" s="376" t="s">
        <v>1636</v>
      </c>
      <c r="B3041" s="376" t="s">
        <v>1609</v>
      </c>
      <c r="C3041" s="376" t="s">
        <v>1051</v>
      </c>
      <c r="D3041" s="376">
        <v>2026</v>
      </c>
      <c r="E3041" s="376">
        <v>2030</v>
      </c>
      <c r="F3041" s="376">
        <v>1</v>
      </c>
      <c r="G3041" s="376">
        <v>3450.308751281123</v>
      </c>
      <c r="H3041" s="376">
        <v>0</v>
      </c>
      <c r="I3041" s="376">
        <v>1</v>
      </c>
    </row>
    <row r="3042" spans="1:9" x14ac:dyDescent="0.35">
      <c r="A3042" s="376" t="s">
        <v>1636</v>
      </c>
      <c r="B3042" s="376" t="s">
        <v>1609</v>
      </c>
      <c r="C3042" s="376" t="s">
        <v>1054</v>
      </c>
      <c r="D3042" s="376">
        <v>2026</v>
      </c>
      <c r="E3042" s="376">
        <v>2030</v>
      </c>
      <c r="F3042" s="376">
        <v>1</v>
      </c>
      <c r="G3042" s="376">
        <v>3450.308751281123</v>
      </c>
      <c r="H3042" s="376">
        <v>0</v>
      </c>
      <c r="I3042" s="376">
        <v>1</v>
      </c>
    </row>
    <row r="3043" spans="1:9" x14ac:dyDescent="0.35">
      <c r="A3043" s="376" t="s">
        <v>1636</v>
      </c>
      <c r="B3043" s="376" t="s">
        <v>1609</v>
      </c>
      <c r="C3043" s="376" t="s">
        <v>1046</v>
      </c>
      <c r="D3043" s="376">
        <v>2026</v>
      </c>
      <c r="E3043" s="376">
        <v>2031</v>
      </c>
      <c r="F3043" s="376">
        <v>1</v>
      </c>
      <c r="G3043" s="376">
        <v>3450.308751281123</v>
      </c>
      <c r="H3043" s="376">
        <v>0</v>
      </c>
      <c r="I3043" s="376">
        <v>1</v>
      </c>
    </row>
    <row r="3044" spans="1:9" x14ac:dyDescent="0.35">
      <c r="A3044" s="376" t="s">
        <v>1636</v>
      </c>
      <c r="B3044" s="376" t="s">
        <v>1609</v>
      </c>
      <c r="C3044" s="376" t="s">
        <v>644</v>
      </c>
      <c r="D3044" s="376">
        <v>2026</v>
      </c>
      <c r="E3044" s="376">
        <v>2031</v>
      </c>
      <c r="F3044" s="376">
        <v>1</v>
      </c>
      <c r="G3044" s="376">
        <v>3450.308751281123</v>
      </c>
      <c r="H3044" s="376">
        <v>0</v>
      </c>
      <c r="I3044" s="376">
        <v>1</v>
      </c>
    </row>
    <row r="3045" spans="1:9" x14ac:dyDescent="0.35">
      <c r="A3045" s="376" t="s">
        <v>1636</v>
      </c>
      <c r="B3045" s="376" t="s">
        <v>1609</v>
      </c>
      <c r="C3045" s="376" t="s">
        <v>628</v>
      </c>
      <c r="D3045" s="376">
        <v>2026</v>
      </c>
      <c r="E3045" s="376">
        <v>2031</v>
      </c>
      <c r="F3045" s="376">
        <v>1</v>
      </c>
      <c r="G3045" s="376">
        <v>3450.308751281123</v>
      </c>
      <c r="H3045" s="376">
        <v>0</v>
      </c>
      <c r="I3045" s="376">
        <v>1</v>
      </c>
    </row>
    <row r="3046" spans="1:9" x14ac:dyDescent="0.35">
      <c r="A3046" s="376" t="s">
        <v>1636</v>
      </c>
      <c r="B3046" s="376" t="s">
        <v>1609</v>
      </c>
      <c r="C3046" s="376" t="s">
        <v>1051</v>
      </c>
      <c r="D3046" s="376">
        <v>2026</v>
      </c>
      <c r="E3046" s="376">
        <v>2031</v>
      </c>
      <c r="F3046" s="376">
        <v>1</v>
      </c>
      <c r="G3046" s="376">
        <v>3450.308751281123</v>
      </c>
      <c r="H3046" s="376">
        <v>0</v>
      </c>
      <c r="I3046" s="376">
        <v>1</v>
      </c>
    </row>
    <row r="3047" spans="1:9" x14ac:dyDescent="0.35">
      <c r="A3047" s="376" t="s">
        <v>1636</v>
      </c>
      <c r="B3047" s="376" t="s">
        <v>1609</v>
      </c>
      <c r="C3047" s="376" t="s">
        <v>1054</v>
      </c>
      <c r="D3047" s="376">
        <v>2026</v>
      </c>
      <c r="E3047" s="376">
        <v>2031</v>
      </c>
      <c r="F3047" s="376">
        <v>1</v>
      </c>
      <c r="G3047" s="376">
        <v>3450.308751281123</v>
      </c>
      <c r="H3047" s="376">
        <v>0</v>
      </c>
      <c r="I3047" s="376">
        <v>1</v>
      </c>
    </row>
    <row r="3048" spans="1:9" x14ac:dyDescent="0.35">
      <c r="A3048" s="376" t="s">
        <v>1606</v>
      </c>
      <c r="B3048" s="376" t="s">
        <v>1609</v>
      </c>
      <c r="C3048" s="376" t="s">
        <v>1046</v>
      </c>
      <c r="D3048" s="376">
        <v>2026</v>
      </c>
      <c r="E3048" s="376">
        <v>2026</v>
      </c>
      <c r="F3048" s="376">
        <v>1</v>
      </c>
      <c r="G3048" s="376">
        <v>5874.0932972146502</v>
      </c>
      <c r="H3048" s="376">
        <v>0</v>
      </c>
      <c r="I3048" s="376">
        <v>1</v>
      </c>
    </row>
    <row r="3049" spans="1:9" x14ac:dyDescent="0.35">
      <c r="A3049" s="376" t="s">
        <v>1606</v>
      </c>
      <c r="B3049" s="376" t="s">
        <v>1609</v>
      </c>
      <c r="C3049" s="376" t="s">
        <v>644</v>
      </c>
      <c r="D3049" s="376">
        <v>2026</v>
      </c>
      <c r="E3049" s="376">
        <v>2026</v>
      </c>
      <c r="F3049" s="376">
        <v>1</v>
      </c>
      <c r="G3049" s="376">
        <v>5874.0932972146502</v>
      </c>
      <c r="H3049" s="376">
        <v>0</v>
      </c>
      <c r="I3049" s="376">
        <v>1</v>
      </c>
    </row>
    <row r="3050" spans="1:9" x14ac:dyDescent="0.35">
      <c r="A3050" s="376" t="s">
        <v>1606</v>
      </c>
      <c r="B3050" s="376" t="s">
        <v>1609</v>
      </c>
      <c r="C3050" s="376" t="s">
        <v>628</v>
      </c>
      <c r="D3050" s="376">
        <v>2026</v>
      </c>
      <c r="E3050" s="376">
        <v>2026</v>
      </c>
      <c r="F3050" s="376">
        <v>1</v>
      </c>
      <c r="G3050" s="376">
        <v>5874.0932972146502</v>
      </c>
      <c r="H3050" s="376">
        <v>0</v>
      </c>
      <c r="I3050" s="376">
        <v>1</v>
      </c>
    </row>
    <row r="3051" spans="1:9" x14ac:dyDescent="0.35">
      <c r="A3051" s="376" t="s">
        <v>1606</v>
      </c>
      <c r="B3051" s="376" t="s">
        <v>1609</v>
      </c>
      <c r="C3051" s="376" t="s">
        <v>1051</v>
      </c>
      <c r="D3051" s="376">
        <v>2026</v>
      </c>
      <c r="E3051" s="376">
        <v>2026</v>
      </c>
      <c r="F3051" s="376">
        <v>1</v>
      </c>
      <c r="G3051" s="376">
        <v>5874.0932972146502</v>
      </c>
      <c r="H3051" s="376">
        <v>0</v>
      </c>
      <c r="I3051" s="376">
        <v>1</v>
      </c>
    </row>
    <row r="3052" spans="1:9" x14ac:dyDescent="0.35">
      <c r="A3052" s="376" t="s">
        <v>1606</v>
      </c>
      <c r="B3052" s="376" t="s">
        <v>1609</v>
      </c>
      <c r="C3052" s="376" t="s">
        <v>1054</v>
      </c>
      <c r="D3052" s="376">
        <v>2026</v>
      </c>
      <c r="E3052" s="376">
        <v>2026</v>
      </c>
      <c r="F3052" s="376">
        <v>1</v>
      </c>
      <c r="G3052" s="376">
        <v>5874.0932972146502</v>
      </c>
      <c r="H3052" s="376">
        <v>0</v>
      </c>
      <c r="I3052" s="376">
        <v>1</v>
      </c>
    </row>
    <row r="3053" spans="1:9" x14ac:dyDescent="0.35">
      <c r="A3053" s="376" t="s">
        <v>1606</v>
      </c>
      <c r="B3053" s="376" t="s">
        <v>1609</v>
      </c>
      <c r="C3053" s="376" t="s">
        <v>1046</v>
      </c>
      <c r="D3053" s="376">
        <v>2026</v>
      </c>
      <c r="E3053" s="376">
        <v>2027</v>
      </c>
      <c r="F3053" s="376">
        <v>1</v>
      </c>
      <c r="G3053" s="376">
        <v>5874.0932972146502</v>
      </c>
      <c r="H3053" s="376">
        <v>0</v>
      </c>
      <c r="I3053" s="376">
        <v>1</v>
      </c>
    </row>
    <row r="3054" spans="1:9" x14ac:dyDescent="0.35">
      <c r="A3054" s="376" t="s">
        <v>1606</v>
      </c>
      <c r="B3054" s="376" t="s">
        <v>1609</v>
      </c>
      <c r="C3054" s="376" t="s">
        <v>644</v>
      </c>
      <c r="D3054" s="376">
        <v>2026</v>
      </c>
      <c r="E3054" s="376">
        <v>2027</v>
      </c>
      <c r="F3054" s="376">
        <v>1</v>
      </c>
      <c r="G3054" s="376">
        <v>5874.0932972146502</v>
      </c>
      <c r="H3054" s="376">
        <v>0</v>
      </c>
      <c r="I3054" s="376">
        <v>1</v>
      </c>
    </row>
    <row r="3055" spans="1:9" x14ac:dyDescent="0.35">
      <c r="A3055" s="376" t="s">
        <v>1606</v>
      </c>
      <c r="B3055" s="376" t="s">
        <v>1609</v>
      </c>
      <c r="C3055" s="376" t="s">
        <v>628</v>
      </c>
      <c r="D3055" s="376">
        <v>2026</v>
      </c>
      <c r="E3055" s="376">
        <v>2027</v>
      </c>
      <c r="F3055" s="376">
        <v>1</v>
      </c>
      <c r="G3055" s="376">
        <v>5874.0932972146502</v>
      </c>
      <c r="H3055" s="376">
        <v>0</v>
      </c>
      <c r="I3055" s="376">
        <v>1</v>
      </c>
    </row>
    <row r="3056" spans="1:9" x14ac:dyDescent="0.35">
      <c r="A3056" s="376" t="s">
        <v>1606</v>
      </c>
      <c r="B3056" s="376" t="s">
        <v>1609</v>
      </c>
      <c r="C3056" s="376" t="s">
        <v>1051</v>
      </c>
      <c r="D3056" s="376">
        <v>2026</v>
      </c>
      <c r="E3056" s="376">
        <v>2027</v>
      </c>
      <c r="F3056" s="376">
        <v>1</v>
      </c>
      <c r="G3056" s="376">
        <v>5874.0932972146502</v>
      </c>
      <c r="H3056" s="376">
        <v>0</v>
      </c>
      <c r="I3056" s="376">
        <v>1</v>
      </c>
    </row>
    <row r="3057" spans="1:9" x14ac:dyDescent="0.35">
      <c r="A3057" s="376" t="s">
        <v>1606</v>
      </c>
      <c r="B3057" s="376" t="s">
        <v>1609</v>
      </c>
      <c r="C3057" s="376" t="s">
        <v>1054</v>
      </c>
      <c r="D3057" s="376">
        <v>2026</v>
      </c>
      <c r="E3057" s="376">
        <v>2027</v>
      </c>
      <c r="F3057" s="376">
        <v>1</v>
      </c>
      <c r="G3057" s="376">
        <v>5874.0932972146502</v>
      </c>
      <c r="H3057" s="376">
        <v>0</v>
      </c>
      <c r="I3057" s="376">
        <v>1</v>
      </c>
    </row>
    <row r="3058" spans="1:9" x14ac:dyDescent="0.35">
      <c r="A3058" s="376" t="s">
        <v>1606</v>
      </c>
      <c r="B3058" s="376" t="s">
        <v>1609</v>
      </c>
      <c r="C3058" s="376" t="s">
        <v>1046</v>
      </c>
      <c r="D3058" s="376">
        <v>2026</v>
      </c>
      <c r="E3058" s="376">
        <v>2028</v>
      </c>
      <c r="F3058" s="376">
        <v>1</v>
      </c>
      <c r="G3058" s="376">
        <v>5874.0932972146502</v>
      </c>
      <c r="H3058" s="376">
        <v>0</v>
      </c>
      <c r="I3058" s="376">
        <v>1</v>
      </c>
    </row>
    <row r="3059" spans="1:9" x14ac:dyDescent="0.35">
      <c r="A3059" s="376" t="s">
        <v>1606</v>
      </c>
      <c r="B3059" s="376" t="s">
        <v>1609</v>
      </c>
      <c r="C3059" s="376" t="s">
        <v>644</v>
      </c>
      <c r="D3059" s="376">
        <v>2026</v>
      </c>
      <c r="E3059" s="376">
        <v>2028</v>
      </c>
      <c r="F3059" s="376">
        <v>1</v>
      </c>
      <c r="G3059" s="376">
        <v>5874.0932972146502</v>
      </c>
      <c r="H3059" s="376">
        <v>0</v>
      </c>
      <c r="I3059" s="376">
        <v>1</v>
      </c>
    </row>
    <row r="3060" spans="1:9" x14ac:dyDescent="0.35">
      <c r="A3060" s="376" t="s">
        <v>1606</v>
      </c>
      <c r="B3060" s="376" t="s">
        <v>1609</v>
      </c>
      <c r="C3060" s="376" t="s">
        <v>628</v>
      </c>
      <c r="D3060" s="376">
        <v>2026</v>
      </c>
      <c r="E3060" s="376">
        <v>2028</v>
      </c>
      <c r="F3060" s="376">
        <v>1</v>
      </c>
      <c r="G3060" s="376">
        <v>5874.0932972146502</v>
      </c>
      <c r="H3060" s="376">
        <v>0</v>
      </c>
      <c r="I3060" s="376">
        <v>1</v>
      </c>
    </row>
    <row r="3061" spans="1:9" x14ac:dyDescent="0.35">
      <c r="A3061" s="376" t="s">
        <v>1606</v>
      </c>
      <c r="B3061" s="376" t="s">
        <v>1609</v>
      </c>
      <c r="C3061" s="376" t="s">
        <v>1051</v>
      </c>
      <c r="D3061" s="376">
        <v>2026</v>
      </c>
      <c r="E3061" s="376">
        <v>2028</v>
      </c>
      <c r="F3061" s="376">
        <v>1</v>
      </c>
      <c r="G3061" s="376">
        <v>5874.0932972146502</v>
      </c>
      <c r="H3061" s="376">
        <v>0</v>
      </c>
      <c r="I3061" s="376">
        <v>1</v>
      </c>
    </row>
    <row r="3062" spans="1:9" x14ac:dyDescent="0.35">
      <c r="A3062" s="376" t="s">
        <v>1606</v>
      </c>
      <c r="B3062" s="376" t="s">
        <v>1609</v>
      </c>
      <c r="C3062" s="376" t="s">
        <v>1054</v>
      </c>
      <c r="D3062" s="376">
        <v>2026</v>
      </c>
      <c r="E3062" s="376">
        <v>2028</v>
      </c>
      <c r="F3062" s="376">
        <v>1</v>
      </c>
      <c r="G3062" s="376">
        <v>5874.0932972146502</v>
      </c>
      <c r="H3062" s="376">
        <v>0</v>
      </c>
      <c r="I3062" s="376">
        <v>1</v>
      </c>
    </row>
    <row r="3063" spans="1:9" x14ac:dyDescent="0.35">
      <c r="A3063" s="376" t="s">
        <v>1606</v>
      </c>
      <c r="B3063" s="376" t="s">
        <v>1609</v>
      </c>
      <c r="C3063" s="376" t="s">
        <v>1046</v>
      </c>
      <c r="D3063" s="376">
        <v>2026</v>
      </c>
      <c r="E3063" s="376">
        <v>2029</v>
      </c>
      <c r="F3063" s="376">
        <v>1</v>
      </c>
      <c r="G3063" s="376">
        <v>5874.0932972146502</v>
      </c>
      <c r="H3063" s="376">
        <v>0</v>
      </c>
      <c r="I3063" s="376">
        <v>1</v>
      </c>
    </row>
    <row r="3064" spans="1:9" x14ac:dyDescent="0.35">
      <c r="A3064" s="376" t="s">
        <v>1606</v>
      </c>
      <c r="B3064" s="376" t="s">
        <v>1609</v>
      </c>
      <c r="C3064" s="376" t="s">
        <v>644</v>
      </c>
      <c r="D3064" s="376">
        <v>2026</v>
      </c>
      <c r="E3064" s="376">
        <v>2029</v>
      </c>
      <c r="F3064" s="376">
        <v>1</v>
      </c>
      <c r="G3064" s="376">
        <v>5874.0932972146502</v>
      </c>
      <c r="H3064" s="376">
        <v>0</v>
      </c>
      <c r="I3064" s="376">
        <v>1</v>
      </c>
    </row>
    <row r="3065" spans="1:9" x14ac:dyDescent="0.35">
      <c r="A3065" s="376" t="s">
        <v>1606</v>
      </c>
      <c r="B3065" s="376" t="s">
        <v>1609</v>
      </c>
      <c r="C3065" s="376" t="s">
        <v>628</v>
      </c>
      <c r="D3065" s="376">
        <v>2026</v>
      </c>
      <c r="E3065" s="376">
        <v>2029</v>
      </c>
      <c r="F3065" s="376">
        <v>1</v>
      </c>
      <c r="G3065" s="376">
        <v>5874.0932972146502</v>
      </c>
      <c r="H3065" s="376">
        <v>0</v>
      </c>
      <c r="I3065" s="376">
        <v>1</v>
      </c>
    </row>
    <row r="3066" spans="1:9" x14ac:dyDescent="0.35">
      <c r="A3066" s="376" t="s">
        <v>1606</v>
      </c>
      <c r="B3066" s="376" t="s">
        <v>1609</v>
      </c>
      <c r="C3066" s="376" t="s">
        <v>1051</v>
      </c>
      <c r="D3066" s="376">
        <v>2026</v>
      </c>
      <c r="E3066" s="376">
        <v>2029</v>
      </c>
      <c r="F3066" s="376">
        <v>1</v>
      </c>
      <c r="G3066" s="376">
        <v>5874.0932972146502</v>
      </c>
      <c r="H3066" s="376">
        <v>0</v>
      </c>
      <c r="I3066" s="376">
        <v>1</v>
      </c>
    </row>
    <row r="3067" spans="1:9" x14ac:dyDescent="0.35">
      <c r="A3067" s="376" t="s">
        <v>1606</v>
      </c>
      <c r="B3067" s="376" t="s">
        <v>1609</v>
      </c>
      <c r="C3067" s="376" t="s">
        <v>1054</v>
      </c>
      <c r="D3067" s="376">
        <v>2026</v>
      </c>
      <c r="E3067" s="376">
        <v>2029</v>
      </c>
      <c r="F3067" s="376">
        <v>1</v>
      </c>
      <c r="G3067" s="376">
        <v>5874.0932972146502</v>
      </c>
      <c r="H3067" s="376">
        <v>0</v>
      </c>
      <c r="I3067" s="376">
        <v>1</v>
      </c>
    </row>
    <row r="3068" spans="1:9" x14ac:dyDescent="0.35">
      <c r="A3068" s="376" t="s">
        <v>1606</v>
      </c>
      <c r="B3068" s="376" t="s">
        <v>1609</v>
      </c>
      <c r="C3068" s="376" t="s">
        <v>1046</v>
      </c>
      <c r="D3068" s="376">
        <v>2026</v>
      </c>
      <c r="E3068" s="376">
        <v>2030</v>
      </c>
      <c r="F3068" s="376">
        <v>1</v>
      </c>
      <c r="G3068" s="376">
        <v>5874.0932972146502</v>
      </c>
      <c r="H3068" s="376">
        <v>0</v>
      </c>
      <c r="I3068" s="376">
        <v>1</v>
      </c>
    </row>
    <row r="3069" spans="1:9" x14ac:dyDescent="0.35">
      <c r="A3069" s="376" t="s">
        <v>1606</v>
      </c>
      <c r="B3069" s="376" t="s">
        <v>1609</v>
      </c>
      <c r="C3069" s="376" t="s">
        <v>644</v>
      </c>
      <c r="D3069" s="376">
        <v>2026</v>
      </c>
      <c r="E3069" s="376">
        <v>2030</v>
      </c>
      <c r="F3069" s="376">
        <v>1</v>
      </c>
      <c r="G3069" s="376">
        <v>5874.0932972146502</v>
      </c>
      <c r="H3069" s="376">
        <v>0</v>
      </c>
      <c r="I3069" s="376">
        <v>1</v>
      </c>
    </row>
    <row r="3070" spans="1:9" x14ac:dyDescent="0.35">
      <c r="A3070" s="376" t="s">
        <v>1606</v>
      </c>
      <c r="B3070" s="376" t="s">
        <v>1609</v>
      </c>
      <c r="C3070" s="376" t="s">
        <v>628</v>
      </c>
      <c r="D3070" s="376">
        <v>2026</v>
      </c>
      <c r="E3070" s="376">
        <v>2030</v>
      </c>
      <c r="F3070" s="376">
        <v>1</v>
      </c>
      <c r="G3070" s="376">
        <v>5874.0932972146502</v>
      </c>
      <c r="H3070" s="376">
        <v>0</v>
      </c>
      <c r="I3070" s="376">
        <v>1</v>
      </c>
    </row>
    <row r="3071" spans="1:9" x14ac:dyDescent="0.35">
      <c r="A3071" s="376" t="s">
        <v>1606</v>
      </c>
      <c r="B3071" s="376" t="s">
        <v>1609</v>
      </c>
      <c r="C3071" s="376" t="s">
        <v>1051</v>
      </c>
      <c r="D3071" s="376">
        <v>2026</v>
      </c>
      <c r="E3071" s="376">
        <v>2030</v>
      </c>
      <c r="F3071" s="376">
        <v>1</v>
      </c>
      <c r="G3071" s="376">
        <v>5874.0932972146502</v>
      </c>
      <c r="H3071" s="376">
        <v>0</v>
      </c>
      <c r="I3071" s="376">
        <v>1</v>
      </c>
    </row>
    <row r="3072" spans="1:9" x14ac:dyDescent="0.35">
      <c r="A3072" s="376" t="s">
        <v>1606</v>
      </c>
      <c r="B3072" s="376" t="s">
        <v>1609</v>
      </c>
      <c r="C3072" s="376" t="s">
        <v>1054</v>
      </c>
      <c r="D3072" s="376">
        <v>2026</v>
      </c>
      <c r="E3072" s="376">
        <v>2030</v>
      </c>
      <c r="F3072" s="376">
        <v>1</v>
      </c>
      <c r="G3072" s="376">
        <v>5874.0932972146502</v>
      </c>
      <c r="H3072" s="376">
        <v>0</v>
      </c>
      <c r="I3072" s="376">
        <v>1</v>
      </c>
    </row>
    <row r="3073" spans="1:9" x14ac:dyDescent="0.35">
      <c r="A3073" s="376" t="s">
        <v>1606</v>
      </c>
      <c r="B3073" s="376" t="s">
        <v>1609</v>
      </c>
      <c r="C3073" s="376" t="s">
        <v>1046</v>
      </c>
      <c r="D3073" s="376">
        <v>2026</v>
      </c>
      <c r="E3073" s="376">
        <v>2031</v>
      </c>
      <c r="F3073" s="376">
        <v>1</v>
      </c>
      <c r="G3073" s="376">
        <v>5874.0932972146502</v>
      </c>
      <c r="H3073" s="376">
        <v>0</v>
      </c>
      <c r="I3073" s="376">
        <v>1</v>
      </c>
    </row>
    <row r="3074" spans="1:9" x14ac:dyDescent="0.35">
      <c r="A3074" s="376" t="s">
        <v>1606</v>
      </c>
      <c r="B3074" s="376" t="s">
        <v>1609</v>
      </c>
      <c r="C3074" s="376" t="s">
        <v>644</v>
      </c>
      <c r="D3074" s="376">
        <v>2026</v>
      </c>
      <c r="E3074" s="376">
        <v>2031</v>
      </c>
      <c r="F3074" s="376">
        <v>1</v>
      </c>
      <c r="G3074" s="376">
        <v>5874.0932972146502</v>
      </c>
      <c r="H3074" s="376">
        <v>0</v>
      </c>
      <c r="I3074" s="376">
        <v>1</v>
      </c>
    </row>
    <row r="3075" spans="1:9" x14ac:dyDescent="0.35">
      <c r="A3075" s="376" t="s">
        <v>1606</v>
      </c>
      <c r="B3075" s="376" t="s">
        <v>1609</v>
      </c>
      <c r="C3075" s="376" t="s">
        <v>628</v>
      </c>
      <c r="D3075" s="376">
        <v>2026</v>
      </c>
      <c r="E3075" s="376">
        <v>2031</v>
      </c>
      <c r="F3075" s="376">
        <v>1</v>
      </c>
      <c r="G3075" s="376">
        <v>5874.0932972146502</v>
      </c>
      <c r="H3075" s="376">
        <v>0</v>
      </c>
      <c r="I3075" s="376">
        <v>1</v>
      </c>
    </row>
    <row r="3076" spans="1:9" x14ac:dyDescent="0.35">
      <c r="A3076" s="376" t="s">
        <v>1606</v>
      </c>
      <c r="B3076" s="376" t="s">
        <v>1609</v>
      </c>
      <c r="C3076" s="376" t="s">
        <v>1051</v>
      </c>
      <c r="D3076" s="376">
        <v>2026</v>
      </c>
      <c r="E3076" s="376">
        <v>2031</v>
      </c>
      <c r="F3076" s="376">
        <v>1</v>
      </c>
      <c r="G3076" s="376">
        <v>5874.0932972146502</v>
      </c>
      <c r="H3076" s="376">
        <v>0</v>
      </c>
      <c r="I3076" s="376">
        <v>1</v>
      </c>
    </row>
    <row r="3077" spans="1:9" x14ac:dyDescent="0.35">
      <c r="A3077" s="376" t="s">
        <v>1606</v>
      </c>
      <c r="B3077" s="376" t="s">
        <v>1609</v>
      </c>
      <c r="C3077" s="376" t="s">
        <v>1054</v>
      </c>
      <c r="D3077" s="376">
        <v>2026</v>
      </c>
      <c r="E3077" s="376">
        <v>2031</v>
      </c>
      <c r="F3077" s="376">
        <v>1</v>
      </c>
      <c r="G3077" s="376">
        <v>5874.0932972146502</v>
      </c>
      <c r="H3077" s="376">
        <v>0</v>
      </c>
      <c r="I3077" s="376">
        <v>1</v>
      </c>
    </row>
    <row r="3078" spans="1:9" x14ac:dyDescent="0.35">
      <c r="A3078" s="376" t="s">
        <v>1612</v>
      </c>
      <c r="B3078" s="376" t="s">
        <v>1609</v>
      </c>
      <c r="C3078" s="376" t="s">
        <v>1046</v>
      </c>
      <c r="D3078" s="376">
        <v>2027</v>
      </c>
      <c r="E3078" s="376">
        <v>2027</v>
      </c>
      <c r="F3078" s="376">
        <v>0.37384575124303709</v>
      </c>
      <c r="G3078" s="376">
        <v>9928.6887826901675</v>
      </c>
      <c r="H3078" s="376">
        <v>0.28062654711945834</v>
      </c>
      <c r="I3078" s="376">
        <v>0.85</v>
      </c>
    </row>
    <row r="3079" spans="1:9" x14ac:dyDescent="0.35">
      <c r="A3079" s="376" t="s">
        <v>1612</v>
      </c>
      <c r="B3079" s="376" t="s">
        <v>1609</v>
      </c>
      <c r="C3079" s="376" t="s">
        <v>644</v>
      </c>
      <c r="D3079" s="376">
        <v>2027</v>
      </c>
      <c r="E3079" s="376">
        <v>2027</v>
      </c>
      <c r="F3079" s="376">
        <v>0.37384575124303709</v>
      </c>
      <c r="G3079" s="376">
        <v>9928.6887826901675</v>
      </c>
      <c r="H3079" s="376">
        <v>0.28062654711945834</v>
      </c>
      <c r="I3079" s="376">
        <v>0.85</v>
      </c>
    </row>
    <row r="3080" spans="1:9" x14ac:dyDescent="0.35">
      <c r="A3080" s="376" t="s">
        <v>1612</v>
      </c>
      <c r="B3080" s="376" t="s">
        <v>1609</v>
      </c>
      <c r="C3080" s="376" t="s">
        <v>628</v>
      </c>
      <c r="D3080" s="376">
        <v>2027</v>
      </c>
      <c r="E3080" s="376">
        <v>2027</v>
      </c>
      <c r="F3080" s="376">
        <v>0.37384575124303709</v>
      </c>
      <c r="G3080" s="376">
        <v>9928.6887826901675</v>
      </c>
      <c r="H3080" s="376">
        <v>0.28062654711945834</v>
      </c>
      <c r="I3080" s="376">
        <v>0.85</v>
      </c>
    </row>
    <row r="3081" spans="1:9" x14ac:dyDescent="0.35">
      <c r="A3081" s="376" t="s">
        <v>1612</v>
      </c>
      <c r="B3081" s="376" t="s">
        <v>1609</v>
      </c>
      <c r="C3081" s="376" t="s">
        <v>1051</v>
      </c>
      <c r="D3081" s="376">
        <v>2027</v>
      </c>
      <c r="E3081" s="376">
        <v>2027</v>
      </c>
      <c r="F3081" s="376">
        <v>0.37384575124303709</v>
      </c>
      <c r="G3081" s="376">
        <v>9928.6887826901675</v>
      </c>
      <c r="H3081" s="376">
        <v>0.28062654711945834</v>
      </c>
      <c r="I3081" s="376">
        <v>0.85</v>
      </c>
    </row>
    <row r="3082" spans="1:9" x14ac:dyDescent="0.35">
      <c r="A3082" s="376" t="s">
        <v>1612</v>
      </c>
      <c r="B3082" s="376" t="s">
        <v>1609</v>
      </c>
      <c r="C3082" s="376" t="s">
        <v>1054</v>
      </c>
      <c r="D3082" s="376">
        <v>2027</v>
      </c>
      <c r="E3082" s="376">
        <v>2027</v>
      </c>
      <c r="F3082" s="376">
        <v>0.37384575124303709</v>
      </c>
      <c r="G3082" s="376">
        <v>9928.6887826901675</v>
      </c>
      <c r="H3082" s="376">
        <v>0.28062654711945834</v>
      </c>
      <c r="I3082" s="376">
        <v>0.85</v>
      </c>
    </row>
    <row r="3083" spans="1:9" x14ac:dyDescent="0.35">
      <c r="A3083" s="376" t="s">
        <v>1612</v>
      </c>
      <c r="B3083" s="376" t="s">
        <v>1609</v>
      </c>
      <c r="C3083" s="376" t="s">
        <v>1046</v>
      </c>
      <c r="D3083" s="376">
        <v>2027</v>
      </c>
      <c r="E3083" s="376">
        <v>2028</v>
      </c>
      <c r="F3083" s="376">
        <v>0.37384575124303709</v>
      </c>
      <c r="G3083" s="376">
        <v>9928.6887826901675</v>
      </c>
      <c r="H3083" s="376">
        <v>0.28062654711945834</v>
      </c>
      <c r="I3083" s="376">
        <v>0.85</v>
      </c>
    </row>
    <row r="3084" spans="1:9" x14ac:dyDescent="0.35">
      <c r="A3084" s="376" t="s">
        <v>1612</v>
      </c>
      <c r="B3084" s="376" t="s">
        <v>1609</v>
      </c>
      <c r="C3084" s="376" t="s">
        <v>644</v>
      </c>
      <c r="D3084" s="376">
        <v>2027</v>
      </c>
      <c r="E3084" s="376">
        <v>2028</v>
      </c>
      <c r="F3084" s="376">
        <v>0.37384575124303709</v>
      </c>
      <c r="G3084" s="376">
        <v>9928.6887826901675</v>
      </c>
      <c r="H3084" s="376">
        <v>0.28062654711945834</v>
      </c>
      <c r="I3084" s="376">
        <v>0.85</v>
      </c>
    </row>
    <row r="3085" spans="1:9" x14ac:dyDescent="0.35">
      <c r="A3085" s="376" t="s">
        <v>1612</v>
      </c>
      <c r="B3085" s="376" t="s">
        <v>1609</v>
      </c>
      <c r="C3085" s="376" t="s">
        <v>628</v>
      </c>
      <c r="D3085" s="376">
        <v>2027</v>
      </c>
      <c r="E3085" s="376">
        <v>2028</v>
      </c>
      <c r="F3085" s="376">
        <v>0.37384575124303709</v>
      </c>
      <c r="G3085" s="376">
        <v>9928.6887826901675</v>
      </c>
      <c r="H3085" s="376">
        <v>0.28062654711945834</v>
      </c>
      <c r="I3085" s="376">
        <v>0.85</v>
      </c>
    </row>
    <row r="3086" spans="1:9" x14ac:dyDescent="0.35">
      <c r="A3086" s="376" t="s">
        <v>1612</v>
      </c>
      <c r="B3086" s="376" t="s">
        <v>1609</v>
      </c>
      <c r="C3086" s="376" t="s">
        <v>1051</v>
      </c>
      <c r="D3086" s="376">
        <v>2027</v>
      </c>
      <c r="E3086" s="376">
        <v>2028</v>
      </c>
      <c r="F3086" s="376">
        <v>0.37384575124303709</v>
      </c>
      <c r="G3086" s="376">
        <v>9928.6887826901675</v>
      </c>
      <c r="H3086" s="376">
        <v>0.28062654711945834</v>
      </c>
      <c r="I3086" s="376">
        <v>0.85</v>
      </c>
    </row>
    <row r="3087" spans="1:9" x14ac:dyDescent="0.35">
      <c r="A3087" s="376" t="s">
        <v>1612</v>
      </c>
      <c r="B3087" s="376" t="s">
        <v>1609</v>
      </c>
      <c r="C3087" s="376" t="s">
        <v>1054</v>
      </c>
      <c r="D3087" s="376">
        <v>2027</v>
      </c>
      <c r="E3087" s="376">
        <v>2028</v>
      </c>
      <c r="F3087" s="376">
        <v>0.37384575124303709</v>
      </c>
      <c r="G3087" s="376">
        <v>9928.6887826901675</v>
      </c>
      <c r="H3087" s="376">
        <v>0.28062654711945834</v>
      </c>
      <c r="I3087" s="376">
        <v>0.85</v>
      </c>
    </row>
    <row r="3088" spans="1:9" x14ac:dyDescent="0.35">
      <c r="A3088" s="376" t="s">
        <v>1612</v>
      </c>
      <c r="B3088" s="376" t="s">
        <v>1609</v>
      </c>
      <c r="C3088" s="376" t="s">
        <v>1046</v>
      </c>
      <c r="D3088" s="376">
        <v>2027</v>
      </c>
      <c r="E3088" s="376">
        <v>2029</v>
      </c>
      <c r="F3088" s="376">
        <v>0.37384575124303709</v>
      </c>
      <c r="G3088" s="376">
        <v>9928.6887826901675</v>
      </c>
      <c r="H3088" s="376">
        <v>0.28062654711945834</v>
      </c>
      <c r="I3088" s="376">
        <v>0.85</v>
      </c>
    </row>
    <row r="3089" spans="1:9" x14ac:dyDescent="0.35">
      <c r="A3089" s="376" t="s">
        <v>1612</v>
      </c>
      <c r="B3089" s="376" t="s">
        <v>1609</v>
      </c>
      <c r="C3089" s="376" t="s">
        <v>644</v>
      </c>
      <c r="D3089" s="376">
        <v>2027</v>
      </c>
      <c r="E3089" s="376">
        <v>2029</v>
      </c>
      <c r="F3089" s="376">
        <v>0.37384575124303709</v>
      </c>
      <c r="G3089" s="376">
        <v>9928.6887826901675</v>
      </c>
      <c r="H3089" s="376">
        <v>0.28062654711945834</v>
      </c>
      <c r="I3089" s="376">
        <v>0.85</v>
      </c>
    </row>
    <row r="3090" spans="1:9" x14ac:dyDescent="0.35">
      <c r="A3090" s="376" t="s">
        <v>1612</v>
      </c>
      <c r="B3090" s="376" t="s">
        <v>1609</v>
      </c>
      <c r="C3090" s="376" t="s">
        <v>628</v>
      </c>
      <c r="D3090" s="376">
        <v>2027</v>
      </c>
      <c r="E3090" s="376">
        <v>2029</v>
      </c>
      <c r="F3090" s="376">
        <v>0.37384575124303709</v>
      </c>
      <c r="G3090" s="376">
        <v>9928.6887826901675</v>
      </c>
      <c r="H3090" s="376">
        <v>0.28062654711945834</v>
      </c>
      <c r="I3090" s="376">
        <v>0.85</v>
      </c>
    </row>
    <row r="3091" spans="1:9" x14ac:dyDescent="0.35">
      <c r="A3091" s="376" t="s">
        <v>1612</v>
      </c>
      <c r="B3091" s="376" t="s">
        <v>1609</v>
      </c>
      <c r="C3091" s="376" t="s">
        <v>1051</v>
      </c>
      <c r="D3091" s="376">
        <v>2027</v>
      </c>
      <c r="E3091" s="376">
        <v>2029</v>
      </c>
      <c r="F3091" s="376">
        <v>0.37384575124303709</v>
      </c>
      <c r="G3091" s="376">
        <v>9928.6887826901675</v>
      </c>
      <c r="H3091" s="376">
        <v>0.28062654711945834</v>
      </c>
      <c r="I3091" s="376">
        <v>0.85</v>
      </c>
    </row>
    <row r="3092" spans="1:9" x14ac:dyDescent="0.35">
      <c r="A3092" s="376" t="s">
        <v>1612</v>
      </c>
      <c r="B3092" s="376" t="s">
        <v>1609</v>
      </c>
      <c r="C3092" s="376" t="s">
        <v>1054</v>
      </c>
      <c r="D3092" s="376">
        <v>2027</v>
      </c>
      <c r="E3092" s="376">
        <v>2029</v>
      </c>
      <c r="F3092" s="376">
        <v>0.37384575124303709</v>
      </c>
      <c r="G3092" s="376">
        <v>9928.6887826901675</v>
      </c>
      <c r="H3092" s="376">
        <v>0.28062654711945834</v>
      </c>
      <c r="I3092" s="376">
        <v>0.85</v>
      </c>
    </row>
    <row r="3093" spans="1:9" x14ac:dyDescent="0.35">
      <c r="A3093" s="376" t="s">
        <v>1612</v>
      </c>
      <c r="B3093" s="376" t="s">
        <v>1609</v>
      </c>
      <c r="C3093" s="376" t="s">
        <v>1046</v>
      </c>
      <c r="D3093" s="376">
        <v>2027</v>
      </c>
      <c r="E3093" s="376">
        <v>2030</v>
      </c>
      <c r="F3093" s="376">
        <v>0.37384575124303709</v>
      </c>
      <c r="G3093" s="376">
        <v>9928.6887826901675</v>
      </c>
      <c r="H3093" s="376">
        <v>0.28062654711945834</v>
      </c>
      <c r="I3093" s="376">
        <v>0.85</v>
      </c>
    </row>
    <row r="3094" spans="1:9" x14ac:dyDescent="0.35">
      <c r="A3094" s="376" t="s">
        <v>1612</v>
      </c>
      <c r="B3094" s="376" t="s">
        <v>1609</v>
      </c>
      <c r="C3094" s="376" t="s">
        <v>644</v>
      </c>
      <c r="D3094" s="376">
        <v>2027</v>
      </c>
      <c r="E3094" s="376">
        <v>2030</v>
      </c>
      <c r="F3094" s="376">
        <v>0.37384575124303709</v>
      </c>
      <c r="G3094" s="376">
        <v>9928.6887826901675</v>
      </c>
      <c r="H3094" s="376">
        <v>0.28062654711945834</v>
      </c>
      <c r="I3094" s="376">
        <v>0.85</v>
      </c>
    </row>
    <row r="3095" spans="1:9" x14ac:dyDescent="0.35">
      <c r="A3095" s="376" t="s">
        <v>1612</v>
      </c>
      <c r="B3095" s="376" t="s">
        <v>1609</v>
      </c>
      <c r="C3095" s="376" t="s">
        <v>628</v>
      </c>
      <c r="D3095" s="376">
        <v>2027</v>
      </c>
      <c r="E3095" s="376">
        <v>2030</v>
      </c>
      <c r="F3095" s="376">
        <v>0.37384575124303709</v>
      </c>
      <c r="G3095" s="376">
        <v>9928.6887826901675</v>
      </c>
      <c r="H3095" s="376">
        <v>0.28062654711945834</v>
      </c>
      <c r="I3095" s="376">
        <v>0.85</v>
      </c>
    </row>
    <row r="3096" spans="1:9" x14ac:dyDescent="0.35">
      <c r="A3096" s="376" t="s">
        <v>1612</v>
      </c>
      <c r="B3096" s="376" t="s">
        <v>1609</v>
      </c>
      <c r="C3096" s="376" t="s">
        <v>1051</v>
      </c>
      <c r="D3096" s="376">
        <v>2027</v>
      </c>
      <c r="E3096" s="376">
        <v>2030</v>
      </c>
      <c r="F3096" s="376">
        <v>0.37384575124303709</v>
      </c>
      <c r="G3096" s="376">
        <v>9928.6887826901675</v>
      </c>
      <c r="H3096" s="376">
        <v>0.28062654711945834</v>
      </c>
      <c r="I3096" s="376">
        <v>0.85</v>
      </c>
    </row>
    <row r="3097" spans="1:9" x14ac:dyDescent="0.35">
      <c r="A3097" s="376" t="s">
        <v>1612</v>
      </c>
      <c r="B3097" s="376" t="s">
        <v>1609</v>
      </c>
      <c r="C3097" s="376" t="s">
        <v>1054</v>
      </c>
      <c r="D3097" s="376">
        <v>2027</v>
      </c>
      <c r="E3097" s="376">
        <v>2030</v>
      </c>
      <c r="F3097" s="376">
        <v>0.37384575124303709</v>
      </c>
      <c r="G3097" s="376">
        <v>9928.6887826901675</v>
      </c>
      <c r="H3097" s="376">
        <v>0.28062654711945834</v>
      </c>
      <c r="I3097" s="376">
        <v>0.85</v>
      </c>
    </row>
    <row r="3098" spans="1:9" x14ac:dyDescent="0.35">
      <c r="A3098" s="376" t="s">
        <v>1612</v>
      </c>
      <c r="B3098" s="376" t="s">
        <v>1609</v>
      </c>
      <c r="C3098" s="376" t="s">
        <v>1046</v>
      </c>
      <c r="D3098" s="376">
        <v>2027</v>
      </c>
      <c r="E3098" s="376">
        <v>2031</v>
      </c>
      <c r="F3098" s="376">
        <v>0.37384575124303709</v>
      </c>
      <c r="G3098" s="376">
        <v>9928.6887826901675</v>
      </c>
      <c r="H3098" s="376">
        <v>0.28062654711945834</v>
      </c>
      <c r="I3098" s="376">
        <v>0.85</v>
      </c>
    </row>
    <row r="3099" spans="1:9" x14ac:dyDescent="0.35">
      <c r="A3099" s="376" t="s">
        <v>1612</v>
      </c>
      <c r="B3099" s="376" t="s">
        <v>1609</v>
      </c>
      <c r="C3099" s="376" t="s">
        <v>644</v>
      </c>
      <c r="D3099" s="376">
        <v>2027</v>
      </c>
      <c r="E3099" s="376">
        <v>2031</v>
      </c>
      <c r="F3099" s="376">
        <v>0.37384575124303709</v>
      </c>
      <c r="G3099" s="376">
        <v>9928.6887826901675</v>
      </c>
      <c r="H3099" s="376">
        <v>0.28062654711945834</v>
      </c>
      <c r="I3099" s="376">
        <v>0.85</v>
      </c>
    </row>
    <row r="3100" spans="1:9" x14ac:dyDescent="0.35">
      <c r="A3100" s="376" t="s">
        <v>1612</v>
      </c>
      <c r="B3100" s="376" t="s">
        <v>1609</v>
      </c>
      <c r="C3100" s="376" t="s">
        <v>628</v>
      </c>
      <c r="D3100" s="376">
        <v>2027</v>
      </c>
      <c r="E3100" s="376">
        <v>2031</v>
      </c>
      <c r="F3100" s="376">
        <v>0.37384575124303709</v>
      </c>
      <c r="G3100" s="376">
        <v>9928.6887826901675</v>
      </c>
      <c r="H3100" s="376">
        <v>0.28062654711945834</v>
      </c>
      <c r="I3100" s="376">
        <v>0.85</v>
      </c>
    </row>
    <row r="3101" spans="1:9" x14ac:dyDescent="0.35">
      <c r="A3101" s="376" t="s">
        <v>1612</v>
      </c>
      <c r="B3101" s="376" t="s">
        <v>1609</v>
      </c>
      <c r="C3101" s="376" t="s">
        <v>1051</v>
      </c>
      <c r="D3101" s="376">
        <v>2027</v>
      </c>
      <c r="E3101" s="376">
        <v>2031</v>
      </c>
      <c r="F3101" s="376">
        <v>0.37384575124303709</v>
      </c>
      <c r="G3101" s="376">
        <v>9928.6887826901675</v>
      </c>
      <c r="H3101" s="376">
        <v>0.28062654711945834</v>
      </c>
      <c r="I3101" s="376">
        <v>0.85</v>
      </c>
    </row>
    <row r="3102" spans="1:9" x14ac:dyDescent="0.35">
      <c r="A3102" s="376" t="s">
        <v>1612</v>
      </c>
      <c r="B3102" s="376" t="s">
        <v>1609</v>
      </c>
      <c r="C3102" s="376" t="s">
        <v>1054</v>
      </c>
      <c r="D3102" s="376">
        <v>2027</v>
      </c>
      <c r="E3102" s="376">
        <v>2031</v>
      </c>
      <c r="F3102" s="376">
        <v>0.37384575124303709</v>
      </c>
      <c r="G3102" s="376">
        <v>9928.6887826901675</v>
      </c>
      <c r="H3102" s="376">
        <v>0.28062654711945834</v>
      </c>
      <c r="I3102" s="376">
        <v>0.85</v>
      </c>
    </row>
    <row r="3103" spans="1:9" x14ac:dyDescent="0.35">
      <c r="A3103" s="376" t="s">
        <v>1613</v>
      </c>
      <c r="B3103" s="376" t="s">
        <v>1609</v>
      </c>
      <c r="C3103" s="376" t="s">
        <v>1046</v>
      </c>
      <c r="D3103" s="376">
        <v>2027</v>
      </c>
      <c r="E3103" s="376">
        <v>2027</v>
      </c>
      <c r="F3103" s="376">
        <v>0.40444272241720852</v>
      </c>
      <c r="G3103" s="376">
        <v>8848.5269568257354</v>
      </c>
      <c r="H3103" s="376">
        <v>0.27170269425497151</v>
      </c>
      <c r="I3103" s="376">
        <v>0.85</v>
      </c>
    </row>
    <row r="3104" spans="1:9" x14ac:dyDescent="0.35">
      <c r="A3104" s="376" t="s">
        <v>1613</v>
      </c>
      <c r="B3104" s="376" t="s">
        <v>1609</v>
      </c>
      <c r="C3104" s="376" t="s">
        <v>644</v>
      </c>
      <c r="D3104" s="376">
        <v>2027</v>
      </c>
      <c r="E3104" s="376">
        <v>2027</v>
      </c>
      <c r="F3104" s="376">
        <v>0.40444272241720852</v>
      </c>
      <c r="G3104" s="376">
        <v>8848.5269568257354</v>
      </c>
      <c r="H3104" s="376">
        <v>0.27170269425497151</v>
      </c>
      <c r="I3104" s="376">
        <v>0.85</v>
      </c>
    </row>
    <row r="3105" spans="1:9" x14ac:dyDescent="0.35">
      <c r="A3105" s="376" t="s">
        <v>1613</v>
      </c>
      <c r="B3105" s="376" t="s">
        <v>1609</v>
      </c>
      <c r="C3105" s="376" t="s">
        <v>628</v>
      </c>
      <c r="D3105" s="376">
        <v>2027</v>
      </c>
      <c r="E3105" s="376">
        <v>2027</v>
      </c>
      <c r="F3105" s="376">
        <v>0.40444272241720852</v>
      </c>
      <c r="G3105" s="376">
        <v>8848.5269568257354</v>
      </c>
      <c r="H3105" s="376">
        <v>0.27170269425497151</v>
      </c>
      <c r="I3105" s="376">
        <v>0.85</v>
      </c>
    </row>
    <row r="3106" spans="1:9" x14ac:dyDescent="0.35">
      <c r="A3106" s="376" t="s">
        <v>1613</v>
      </c>
      <c r="B3106" s="376" t="s">
        <v>1609</v>
      </c>
      <c r="C3106" s="376" t="s">
        <v>1051</v>
      </c>
      <c r="D3106" s="376">
        <v>2027</v>
      </c>
      <c r="E3106" s="376">
        <v>2027</v>
      </c>
      <c r="F3106" s="376">
        <v>0.40444272241720852</v>
      </c>
      <c r="G3106" s="376">
        <v>8848.5269568257354</v>
      </c>
      <c r="H3106" s="376">
        <v>0.27170269425497151</v>
      </c>
      <c r="I3106" s="376">
        <v>0.85</v>
      </c>
    </row>
    <row r="3107" spans="1:9" x14ac:dyDescent="0.35">
      <c r="A3107" s="376" t="s">
        <v>1613</v>
      </c>
      <c r="B3107" s="376" t="s">
        <v>1609</v>
      </c>
      <c r="C3107" s="376" t="s">
        <v>1054</v>
      </c>
      <c r="D3107" s="376">
        <v>2027</v>
      </c>
      <c r="E3107" s="376">
        <v>2027</v>
      </c>
      <c r="F3107" s="376">
        <v>0.40444272241720852</v>
      </c>
      <c r="G3107" s="376">
        <v>8848.5269568257354</v>
      </c>
      <c r="H3107" s="376">
        <v>0.27170269425497151</v>
      </c>
      <c r="I3107" s="376">
        <v>0.85</v>
      </c>
    </row>
    <row r="3108" spans="1:9" x14ac:dyDescent="0.35">
      <c r="A3108" s="376" t="s">
        <v>1613</v>
      </c>
      <c r="B3108" s="376" t="s">
        <v>1609</v>
      </c>
      <c r="C3108" s="376" t="s">
        <v>1046</v>
      </c>
      <c r="D3108" s="376">
        <v>2027</v>
      </c>
      <c r="E3108" s="376">
        <v>2028</v>
      </c>
      <c r="F3108" s="376">
        <v>0.40444272241720852</v>
      </c>
      <c r="G3108" s="376">
        <v>8848.5269568257354</v>
      </c>
      <c r="H3108" s="376">
        <v>0.27170269425497151</v>
      </c>
      <c r="I3108" s="376">
        <v>0.85</v>
      </c>
    </row>
    <row r="3109" spans="1:9" x14ac:dyDescent="0.35">
      <c r="A3109" s="376" t="s">
        <v>1613</v>
      </c>
      <c r="B3109" s="376" t="s">
        <v>1609</v>
      </c>
      <c r="C3109" s="376" t="s">
        <v>644</v>
      </c>
      <c r="D3109" s="376">
        <v>2027</v>
      </c>
      <c r="E3109" s="376">
        <v>2028</v>
      </c>
      <c r="F3109" s="376">
        <v>0.40444272241720852</v>
      </c>
      <c r="G3109" s="376">
        <v>8848.5269568257354</v>
      </c>
      <c r="H3109" s="376">
        <v>0.27170269425497151</v>
      </c>
      <c r="I3109" s="376">
        <v>0.85</v>
      </c>
    </row>
    <row r="3110" spans="1:9" x14ac:dyDescent="0.35">
      <c r="A3110" s="376" t="s">
        <v>1613</v>
      </c>
      <c r="B3110" s="376" t="s">
        <v>1609</v>
      </c>
      <c r="C3110" s="376" t="s">
        <v>628</v>
      </c>
      <c r="D3110" s="376">
        <v>2027</v>
      </c>
      <c r="E3110" s="376">
        <v>2028</v>
      </c>
      <c r="F3110" s="376">
        <v>0.40444272241720852</v>
      </c>
      <c r="G3110" s="376">
        <v>8848.5269568257354</v>
      </c>
      <c r="H3110" s="376">
        <v>0.27170269425497151</v>
      </c>
      <c r="I3110" s="376">
        <v>0.85</v>
      </c>
    </row>
    <row r="3111" spans="1:9" x14ac:dyDescent="0.35">
      <c r="A3111" s="376" t="s">
        <v>1613</v>
      </c>
      <c r="B3111" s="376" t="s">
        <v>1609</v>
      </c>
      <c r="C3111" s="376" t="s">
        <v>1051</v>
      </c>
      <c r="D3111" s="376">
        <v>2027</v>
      </c>
      <c r="E3111" s="376">
        <v>2028</v>
      </c>
      <c r="F3111" s="376">
        <v>0.40444272241720852</v>
      </c>
      <c r="G3111" s="376">
        <v>8848.5269568257354</v>
      </c>
      <c r="H3111" s="376">
        <v>0.27170269425497151</v>
      </c>
      <c r="I3111" s="376">
        <v>0.85</v>
      </c>
    </row>
    <row r="3112" spans="1:9" x14ac:dyDescent="0.35">
      <c r="A3112" s="376" t="s">
        <v>1613</v>
      </c>
      <c r="B3112" s="376" t="s">
        <v>1609</v>
      </c>
      <c r="C3112" s="376" t="s">
        <v>1054</v>
      </c>
      <c r="D3112" s="376">
        <v>2027</v>
      </c>
      <c r="E3112" s="376">
        <v>2028</v>
      </c>
      <c r="F3112" s="376">
        <v>0.40444272241720852</v>
      </c>
      <c r="G3112" s="376">
        <v>8848.5269568257354</v>
      </c>
      <c r="H3112" s="376">
        <v>0.27170269425497151</v>
      </c>
      <c r="I3112" s="376">
        <v>0.85</v>
      </c>
    </row>
    <row r="3113" spans="1:9" x14ac:dyDescent="0.35">
      <c r="A3113" s="376" t="s">
        <v>1613</v>
      </c>
      <c r="B3113" s="376" t="s">
        <v>1609</v>
      </c>
      <c r="C3113" s="376" t="s">
        <v>1046</v>
      </c>
      <c r="D3113" s="376">
        <v>2027</v>
      </c>
      <c r="E3113" s="376">
        <v>2029</v>
      </c>
      <c r="F3113" s="376">
        <v>0.40444272241720852</v>
      </c>
      <c r="G3113" s="376">
        <v>8848.5269568257354</v>
      </c>
      <c r="H3113" s="376">
        <v>0.27170269425497151</v>
      </c>
      <c r="I3113" s="376">
        <v>0.85</v>
      </c>
    </row>
    <row r="3114" spans="1:9" x14ac:dyDescent="0.35">
      <c r="A3114" s="376" t="s">
        <v>1613</v>
      </c>
      <c r="B3114" s="376" t="s">
        <v>1609</v>
      </c>
      <c r="C3114" s="376" t="s">
        <v>644</v>
      </c>
      <c r="D3114" s="376">
        <v>2027</v>
      </c>
      <c r="E3114" s="376">
        <v>2029</v>
      </c>
      <c r="F3114" s="376">
        <v>0.40444272241720852</v>
      </c>
      <c r="G3114" s="376">
        <v>8848.5269568257354</v>
      </c>
      <c r="H3114" s="376">
        <v>0.27170269425497151</v>
      </c>
      <c r="I3114" s="376">
        <v>0.85</v>
      </c>
    </row>
    <row r="3115" spans="1:9" x14ac:dyDescent="0.35">
      <c r="A3115" s="376" t="s">
        <v>1613</v>
      </c>
      <c r="B3115" s="376" t="s">
        <v>1609</v>
      </c>
      <c r="C3115" s="376" t="s">
        <v>628</v>
      </c>
      <c r="D3115" s="376">
        <v>2027</v>
      </c>
      <c r="E3115" s="376">
        <v>2029</v>
      </c>
      <c r="F3115" s="376">
        <v>0.40444272241720852</v>
      </c>
      <c r="G3115" s="376">
        <v>8848.5269568257354</v>
      </c>
      <c r="H3115" s="376">
        <v>0.27170269425497151</v>
      </c>
      <c r="I3115" s="376">
        <v>0.85</v>
      </c>
    </row>
    <row r="3116" spans="1:9" x14ac:dyDescent="0.35">
      <c r="A3116" s="376" t="s">
        <v>1613</v>
      </c>
      <c r="B3116" s="376" t="s">
        <v>1609</v>
      </c>
      <c r="C3116" s="376" t="s">
        <v>1051</v>
      </c>
      <c r="D3116" s="376">
        <v>2027</v>
      </c>
      <c r="E3116" s="376">
        <v>2029</v>
      </c>
      <c r="F3116" s="376">
        <v>0.40444272241720852</v>
      </c>
      <c r="G3116" s="376">
        <v>8848.5269568257354</v>
      </c>
      <c r="H3116" s="376">
        <v>0.27170269425497151</v>
      </c>
      <c r="I3116" s="376">
        <v>0.85</v>
      </c>
    </row>
    <row r="3117" spans="1:9" x14ac:dyDescent="0.35">
      <c r="A3117" s="376" t="s">
        <v>1613</v>
      </c>
      <c r="B3117" s="376" t="s">
        <v>1609</v>
      </c>
      <c r="C3117" s="376" t="s">
        <v>1054</v>
      </c>
      <c r="D3117" s="376">
        <v>2027</v>
      </c>
      <c r="E3117" s="376">
        <v>2029</v>
      </c>
      <c r="F3117" s="376">
        <v>0.40444272241720852</v>
      </c>
      <c r="G3117" s="376">
        <v>8848.5269568257354</v>
      </c>
      <c r="H3117" s="376">
        <v>0.27170269425497151</v>
      </c>
      <c r="I3117" s="376">
        <v>0.85</v>
      </c>
    </row>
    <row r="3118" spans="1:9" x14ac:dyDescent="0.35">
      <c r="A3118" s="376" t="s">
        <v>1613</v>
      </c>
      <c r="B3118" s="376" t="s">
        <v>1609</v>
      </c>
      <c r="C3118" s="376" t="s">
        <v>1046</v>
      </c>
      <c r="D3118" s="376">
        <v>2027</v>
      </c>
      <c r="E3118" s="376">
        <v>2030</v>
      </c>
      <c r="F3118" s="376">
        <v>0.40444272241720852</v>
      </c>
      <c r="G3118" s="376">
        <v>8848.5269568257354</v>
      </c>
      <c r="H3118" s="376">
        <v>0.27170269425497151</v>
      </c>
      <c r="I3118" s="376">
        <v>0.85</v>
      </c>
    </row>
    <row r="3119" spans="1:9" x14ac:dyDescent="0.35">
      <c r="A3119" s="376" t="s">
        <v>1613</v>
      </c>
      <c r="B3119" s="376" t="s">
        <v>1609</v>
      </c>
      <c r="C3119" s="376" t="s">
        <v>644</v>
      </c>
      <c r="D3119" s="376">
        <v>2027</v>
      </c>
      <c r="E3119" s="376">
        <v>2030</v>
      </c>
      <c r="F3119" s="376">
        <v>0.40444272241720852</v>
      </c>
      <c r="G3119" s="376">
        <v>8848.5269568257354</v>
      </c>
      <c r="H3119" s="376">
        <v>0.27170269425497151</v>
      </c>
      <c r="I3119" s="376">
        <v>0.85</v>
      </c>
    </row>
    <row r="3120" spans="1:9" x14ac:dyDescent="0.35">
      <c r="A3120" s="376" t="s">
        <v>1613</v>
      </c>
      <c r="B3120" s="376" t="s">
        <v>1609</v>
      </c>
      <c r="C3120" s="376" t="s">
        <v>628</v>
      </c>
      <c r="D3120" s="376">
        <v>2027</v>
      </c>
      <c r="E3120" s="376">
        <v>2030</v>
      </c>
      <c r="F3120" s="376">
        <v>0.40444272241720852</v>
      </c>
      <c r="G3120" s="376">
        <v>8848.5269568257354</v>
      </c>
      <c r="H3120" s="376">
        <v>0.27170269425497151</v>
      </c>
      <c r="I3120" s="376">
        <v>0.85</v>
      </c>
    </row>
    <row r="3121" spans="1:9" x14ac:dyDescent="0.35">
      <c r="A3121" s="376" t="s">
        <v>1613</v>
      </c>
      <c r="B3121" s="376" t="s">
        <v>1609</v>
      </c>
      <c r="C3121" s="376" t="s">
        <v>1051</v>
      </c>
      <c r="D3121" s="376">
        <v>2027</v>
      </c>
      <c r="E3121" s="376">
        <v>2030</v>
      </c>
      <c r="F3121" s="376">
        <v>0.40444272241720852</v>
      </c>
      <c r="G3121" s="376">
        <v>8848.5269568257354</v>
      </c>
      <c r="H3121" s="376">
        <v>0.27170269425497151</v>
      </c>
      <c r="I3121" s="376">
        <v>0.85</v>
      </c>
    </row>
    <row r="3122" spans="1:9" x14ac:dyDescent="0.35">
      <c r="A3122" s="376" t="s">
        <v>1613</v>
      </c>
      <c r="B3122" s="376" t="s">
        <v>1609</v>
      </c>
      <c r="C3122" s="376" t="s">
        <v>1054</v>
      </c>
      <c r="D3122" s="376">
        <v>2027</v>
      </c>
      <c r="E3122" s="376">
        <v>2030</v>
      </c>
      <c r="F3122" s="376">
        <v>0.40444272241720852</v>
      </c>
      <c r="G3122" s="376">
        <v>8848.5269568257354</v>
      </c>
      <c r="H3122" s="376">
        <v>0.27170269425497151</v>
      </c>
      <c r="I3122" s="376">
        <v>0.85</v>
      </c>
    </row>
    <row r="3123" spans="1:9" x14ac:dyDescent="0.35">
      <c r="A3123" s="376" t="s">
        <v>1613</v>
      </c>
      <c r="B3123" s="376" t="s">
        <v>1609</v>
      </c>
      <c r="C3123" s="376" t="s">
        <v>1046</v>
      </c>
      <c r="D3123" s="376">
        <v>2027</v>
      </c>
      <c r="E3123" s="376">
        <v>2031</v>
      </c>
      <c r="F3123" s="376">
        <v>0.40444272241720852</v>
      </c>
      <c r="G3123" s="376">
        <v>8848.5269568257354</v>
      </c>
      <c r="H3123" s="376">
        <v>0.27170269425497151</v>
      </c>
      <c r="I3123" s="376">
        <v>0.85</v>
      </c>
    </row>
    <row r="3124" spans="1:9" x14ac:dyDescent="0.35">
      <c r="A3124" s="376" t="s">
        <v>1613</v>
      </c>
      <c r="B3124" s="376" t="s">
        <v>1609</v>
      </c>
      <c r="C3124" s="376" t="s">
        <v>644</v>
      </c>
      <c r="D3124" s="376">
        <v>2027</v>
      </c>
      <c r="E3124" s="376">
        <v>2031</v>
      </c>
      <c r="F3124" s="376">
        <v>0.40444272241720852</v>
      </c>
      <c r="G3124" s="376">
        <v>8848.5269568257354</v>
      </c>
      <c r="H3124" s="376">
        <v>0.27170269425497151</v>
      </c>
      <c r="I3124" s="376">
        <v>0.85</v>
      </c>
    </row>
    <row r="3125" spans="1:9" x14ac:dyDescent="0.35">
      <c r="A3125" s="376" t="s">
        <v>1613</v>
      </c>
      <c r="B3125" s="376" t="s">
        <v>1609</v>
      </c>
      <c r="C3125" s="376" t="s">
        <v>628</v>
      </c>
      <c r="D3125" s="376">
        <v>2027</v>
      </c>
      <c r="E3125" s="376">
        <v>2031</v>
      </c>
      <c r="F3125" s="376">
        <v>0.40444272241720852</v>
      </c>
      <c r="G3125" s="376">
        <v>8848.5269568257354</v>
      </c>
      <c r="H3125" s="376">
        <v>0.27170269425497151</v>
      </c>
      <c r="I3125" s="376">
        <v>0.85</v>
      </c>
    </row>
    <row r="3126" spans="1:9" x14ac:dyDescent="0.35">
      <c r="A3126" s="376" t="s">
        <v>1613</v>
      </c>
      <c r="B3126" s="376" t="s">
        <v>1609</v>
      </c>
      <c r="C3126" s="376" t="s">
        <v>1051</v>
      </c>
      <c r="D3126" s="376">
        <v>2027</v>
      </c>
      <c r="E3126" s="376">
        <v>2031</v>
      </c>
      <c r="F3126" s="376">
        <v>0.40444272241720852</v>
      </c>
      <c r="G3126" s="376">
        <v>8848.5269568257354</v>
      </c>
      <c r="H3126" s="376">
        <v>0.27170269425497151</v>
      </c>
      <c r="I3126" s="376">
        <v>0.85</v>
      </c>
    </row>
    <row r="3127" spans="1:9" x14ac:dyDescent="0.35">
      <c r="A3127" s="376" t="s">
        <v>1613</v>
      </c>
      <c r="B3127" s="376" t="s">
        <v>1609</v>
      </c>
      <c r="C3127" s="376" t="s">
        <v>1054</v>
      </c>
      <c r="D3127" s="376">
        <v>2027</v>
      </c>
      <c r="E3127" s="376">
        <v>2031</v>
      </c>
      <c r="F3127" s="376">
        <v>0.40444272241720852</v>
      </c>
      <c r="G3127" s="376">
        <v>8848.5269568257354</v>
      </c>
      <c r="H3127" s="376">
        <v>0.27170269425497151</v>
      </c>
      <c r="I3127" s="376">
        <v>0.85</v>
      </c>
    </row>
    <row r="3128" spans="1:9" x14ac:dyDescent="0.35">
      <c r="A3128" s="376" t="s">
        <v>1614</v>
      </c>
      <c r="B3128" s="376" t="s">
        <v>1609</v>
      </c>
      <c r="C3128" s="376" t="s">
        <v>1046</v>
      </c>
      <c r="D3128" s="376">
        <v>2027</v>
      </c>
      <c r="E3128" s="376">
        <v>2027</v>
      </c>
      <c r="F3128" s="376">
        <v>0.28070162831646173</v>
      </c>
      <c r="G3128" s="376">
        <v>6454.3984013550207</v>
      </c>
      <c r="H3128" s="376">
        <v>0.27170269425497151</v>
      </c>
      <c r="I3128" s="376">
        <v>0.85</v>
      </c>
    </row>
    <row r="3129" spans="1:9" x14ac:dyDescent="0.35">
      <c r="A3129" s="376" t="s">
        <v>1614</v>
      </c>
      <c r="B3129" s="376" t="s">
        <v>1609</v>
      </c>
      <c r="C3129" s="376" t="s">
        <v>644</v>
      </c>
      <c r="D3129" s="376">
        <v>2027</v>
      </c>
      <c r="E3129" s="376">
        <v>2027</v>
      </c>
      <c r="F3129" s="376">
        <v>0.28070162831646173</v>
      </c>
      <c r="G3129" s="376">
        <v>6454.3984013550207</v>
      </c>
      <c r="H3129" s="376">
        <v>0.27170269425497151</v>
      </c>
      <c r="I3129" s="376">
        <v>0.85</v>
      </c>
    </row>
    <row r="3130" spans="1:9" x14ac:dyDescent="0.35">
      <c r="A3130" s="376" t="s">
        <v>1614</v>
      </c>
      <c r="B3130" s="376" t="s">
        <v>1609</v>
      </c>
      <c r="C3130" s="376" t="s">
        <v>628</v>
      </c>
      <c r="D3130" s="376">
        <v>2027</v>
      </c>
      <c r="E3130" s="376">
        <v>2027</v>
      </c>
      <c r="F3130" s="376">
        <v>0.28070162831646173</v>
      </c>
      <c r="G3130" s="376">
        <v>6454.3984013550207</v>
      </c>
      <c r="H3130" s="376">
        <v>0.27170269425497151</v>
      </c>
      <c r="I3130" s="376">
        <v>0.85</v>
      </c>
    </row>
    <row r="3131" spans="1:9" x14ac:dyDescent="0.35">
      <c r="A3131" s="376" t="s">
        <v>1614</v>
      </c>
      <c r="B3131" s="376" t="s">
        <v>1609</v>
      </c>
      <c r="C3131" s="376" t="s">
        <v>1051</v>
      </c>
      <c r="D3131" s="376">
        <v>2027</v>
      </c>
      <c r="E3131" s="376">
        <v>2027</v>
      </c>
      <c r="F3131" s="376">
        <v>0.28070162831646173</v>
      </c>
      <c r="G3131" s="376">
        <v>6454.3984013550207</v>
      </c>
      <c r="H3131" s="376">
        <v>0.27170269425497151</v>
      </c>
      <c r="I3131" s="376">
        <v>0.85</v>
      </c>
    </row>
    <row r="3132" spans="1:9" x14ac:dyDescent="0.35">
      <c r="A3132" s="376" t="s">
        <v>1614</v>
      </c>
      <c r="B3132" s="376" t="s">
        <v>1609</v>
      </c>
      <c r="C3132" s="376" t="s">
        <v>1054</v>
      </c>
      <c r="D3132" s="376">
        <v>2027</v>
      </c>
      <c r="E3132" s="376">
        <v>2027</v>
      </c>
      <c r="F3132" s="376">
        <v>0.28070162831646173</v>
      </c>
      <c r="G3132" s="376">
        <v>6454.3984013550207</v>
      </c>
      <c r="H3132" s="376">
        <v>0.27170269425497151</v>
      </c>
      <c r="I3132" s="376">
        <v>0.85</v>
      </c>
    </row>
    <row r="3133" spans="1:9" x14ac:dyDescent="0.35">
      <c r="A3133" s="376" t="s">
        <v>1614</v>
      </c>
      <c r="B3133" s="376" t="s">
        <v>1609</v>
      </c>
      <c r="C3133" s="376" t="s">
        <v>1046</v>
      </c>
      <c r="D3133" s="376">
        <v>2027</v>
      </c>
      <c r="E3133" s="376">
        <v>2028</v>
      </c>
      <c r="F3133" s="376">
        <v>0.28070162831646173</v>
      </c>
      <c r="G3133" s="376">
        <v>6454.3984013550207</v>
      </c>
      <c r="H3133" s="376">
        <v>0.27170269425497151</v>
      </c>
      <c r="I3133" s="376">
        <v>0.85</v>
      </c>
    </row>
    <row r="3134" spans="1:9" x14ac:dyDescent="0.35">
      <c r="A3134" s="376" t="s">
        <v>1614</v>
      </c>
      <c r="B3134" s="376" t="s">
        <v>1609</v>
      </c>
      <c r="C3134" s="376" t="s">
        <v>644</v>
      </c>
      <c r="D3134" s="376">
        <v>2027</v>
      </c>
      <c r="E3134" s="376">
        <v>2028</v>
      </c>
      <c r="F3134" s="376">
        <v>0.28070162831646173</v>
      </c>
      <c r="G3134" s="376">
        <v>6454.3984013550207</v>
      </c>
      <c r="H3134" s="376">
        <v>0.27170269425497151</v>
      </c>
      <c r="I3134" s="376">
        <v>0.85</v>
      </c>
    </row>
    <row r="3135" spans="1:9" x14ac:dyDescent="0.35">
      <c r="A3135" s="376" t="s">
        <v>1614</v>
      </c>
      <c r="B3135" s="376" t="s">
        <v>1609</v>
      </c>
      <c r="C3135" s="376" t="s">
        <v>628</v>
      </c>
      <c r="D3135" s="376">
        <v>2027</v>
      </c>
      <c r="E3135" s="376">
        <v>2028</v>
      </c>
      <c r="F3135" s="376">
        <v>0.28070162831646173</v>
      </c>
      <c r="G3135" s="376">
        <v>6454.3984013550207</v>
      </c>
      <c r="H3135" s="376">
        <v>0.27170269425497151</v>
      </c>
      <c r="I3135" s="376">
        <v>0.85</v>
      </c>
    </row>
    <row r="3136" spans="1:9" x14ac:dyDescent="0.35">
      <c r="A3136" s="376" t="s">
        <v>1614</v>
      </c>
      <c r="B3136" s="376" t="s">
        <v>1609</v>
      </c>
      <c r="C3136" s="376" t="s">
        <v>1051</v>
      </c>
      <c r="D3136" s="376">
        <v>2027</v>
      </c>
      <c r="E3136" s="376">
        <v>2028</v>
      </c>
      <c r="F3136" s="376">
        <v>0.28070162831646173</v>
      </c>
      <c r="G3136" s="376">
        <v>6454.3984013550207</v>
      </c>
      <c r="H3136" s="376">
        <v>0.27170269425497151</v>
      </c>
      <c r="I3136" s="376">
        <v>0.85</v>
      </c>
    </row>
    <row r="3137" spans="1:9" x14ac:dyDescent="0.35">
      <c r="A3137" s="376" t="s">
        <v>1614</v>
      </c>
      <c r="B3137" s="376" t="s">
        <v>1609</v>
      </c>
      <c r="C3137" s="376" t="s">
        <v>1054</v>
      </c>
      <c r="D3137" s="376">
        <v>2027</v>
      </c>
      <c r="E3137" s="376">
        <v>2028</v>
      </c>
      <c r="F3137" s="376">
        <v>0.28070162831646173</v>
      </c>
      <c r="G3137" s="376">
        <v>6454.3984013550207</v>
      </c>
      <c r="H3137" s="376">
        <v>0.27170269425497151</v>
      </c>
      <c r="I3137" s="376">
        <v>0.85</v>
      </c>
    </row>
    <row r="3138" spans="1:9" x14ac:dyDescent="0.35">
      <c r="A3138" s="376" t="s">
        <v>1614</v>
      </c>
      <c r="B3138" s="376" t="s">
        <v>1609</v>
      </c>
      <c r="C3138" s="376" t="s">
        <v>1046</v>
      </c>
      <c r="D3138" s="376">
        <v>2027</v>
      </c>
      <c r="E3138" s="376">
        <v>2029</v>
      </c>
      <c r="F3138" s="376">
        <v>0.28070162831646173</v>
      </c>
      <c r="G3138" s="376">
        <v>6454.3984013550207</v>
      </c>
      <c r="H3138" s="376">
        <v>0.27170269425497151</v>
      </c>
      <c r="I3138" s="376">
        <v>0.85</v>
      </c>
    </row>
    <row r="3139" spans="1:9" x14ac:dyDescent="0.35">
      <c r="A3139" s="376" t="s">
        <v>1614</v>
      </c>
      <c r="B3139" s="376" t="s">
        <v>1609</v>
      </c>
      <c r="C3139" s="376" t="s">
        <v>644</v>
      </c>
      <c r="D3139" s="376">
        <v>2027</v>
      </c>
      <c r="E3139" s="376">
        <v>2029</v>
      </c>
      <c r="F3139" s="376">
        <v>0.28070162831646173</v>
      </c>
      <c r="G3139" s="376">
        <v>6454.3984013550207</v>
      </c>
      <c r="H3139" s="376">
        <v>0.27170269425497151</v>
      </c>
      <c r="I3139" s="376">
        <v>0.85</v>
      </c>
    </row>
    <row r="3140" spans="1:9" x14ac:dyDescent="0.35">
      <c r="A3140" s="376" t="s">
        <v>1614</v>
      </c>
      <c r="B3140" s="376" t="s">
        <v>1609</v>
      </c>
      <c r="C3140" s="376" t="s">
        <v>628</v>
      </c>
      <c r="D3140" s="376">
        <v>2027</v>
      </c>
      <c r="E3140" s="376">
        <v>2029</v>
      </c>
      <c r="F3140" s="376">
        <v>0.28070162831646173</v>
      </c>
      <c r="G3140" s="376">
        <v>6454.3984013550207</v>
      </c>
      <c r="H3140" s="376">
        <v>0.27170269425497151</v>
      </c>
      <c r="I3140" s="376">
        <v>0.85</v>
      </c>
    </row>
    <row r="3141" spans="1:9" x14ac:dyDescent="0.35">
      <c r="A3141" s="376" t="s">
        <v>1614</v>
      </c>
      <c r="B3141" s="376" t="s">
        <v>1609</v>
      </c>
      <c r="C3141" s="376" t="s">
        <v>1051</v>
      </c>
      <c r="D3141" s="376">
        <v>2027</v>
      </c>
      <c r="E3141" s="376">
        <v>2029</v>
      </c>
      <c r="F3141" s="376">
        <v>0.28070162831646173</v>
      </c>
      <c r="G3141" s="376">
        <v>6454.3984013550207</v>
      </c>
      <c r="H3141" s="376">
        <v>0.27170269425497151</v>
      </c>
      <c r="I3141" s="376">
        <v>0.85</v>
      </c>
    </row>
    <row r="3142" spans="1:9" x14ac:dyDescent="0.35">
      <c r="A3142" s="376" t="s">
        <v>1614</v>
      </c>
      <c r="B3142" s="376" t="s">
        <v>1609</v>
      </c>
      <c r="C3142" s="376" t="s">
        <v>1054</v>
      </c>
      <c r="D3142" s="376">
        <v>2027</v>
      </c>
      <c r="E3142" s="376">
        <v>2029</v>
      </c>
      <c r="F3142" s="376">
        <v>0.28070162831646173</v>
      </c>
      <c r="G3142" s="376">
        <v>6454.3984013550207</v>
      </c>
      <c r="H3142" s="376">
        <v>0.27170269425497151</v>
      </c>
      <c r="I3142" s="376">
        <v>0.85</v>
      </c>
    </row>
    <row r="3143" spans="1:9" x14ac:dyDescent="0.35">
      <c r="A3143" s="376" t="s">
        <v>1614</v>
      </c>
      <c r="B3143" s="376" t="s">
        <v>1609</v>
      </c>
      <c r="C3143" s="376" t="s">
        <v>1046</v>
      </c>
      <c r="D3143" s="376">
        <v>2027</v>
      </c>
      <c r="E3143" s="376">
        <v>2030</v>
      </c>
      <c r="F3143" s="376">
        <v>0.28070162831646173</v>
      </c>
      <c r="G3143" s="376">
        <v>6454.3984013550207</v>
      </c>
      <c r="H3143" s="376">
        <v>0.27170269425497151</v>
      </c>
      <c r="I3143" s="376">
        <v>0.85</v>
      </c>
    </row>
    <row r="3144" spans="1:9" x14ac:dyDescent="0.35">
      <c r="A3144" s="376" t="s">
        <v>1614</v>
      </c>
      <c r="B3144" s="376" t="s">
        <v>1609</v>
      </c>
      <c r="C3144" s="376" t="s">
        <v>644</v>
      </c>
      <c r="D3144" s="376">
        <v>2027</v>
      </c>
      <c r="E3144" s="376">
        <v>2030</v>
      </c>
      <c r="F3144" s="376">
        <v>0.28070162831646173</v>
      </c>
      <c r="G3144" s="376">
        <v>6454.3984013550207</v>
      </c>
      <c r="H3144" s="376">
        <v>0.27170269425497151</v>
      </c>
      <c r="I3144" s="376">
        <v>0.85</v>
      </c>
    </row>
    <row r="3145" spans="1:9" x14ac:dyDescent="0.35">
      <c r="A3145" s="376" t="s">
        <v>1614</v>
      </c>
      <c r="B3145" s="376" t="s">
        <v>1609</v>
      </c>
      <c r="C3145" s="376" t="s">
        <v>628</v>
      </c>
      <c r="D3145" s="376">
        <v>2027</v>
      </c>
      <c r="E3145" s="376">
        <v>2030</v>
      </c>
      <c r="F3145" s="376">
        <v>0.28070162831646173</v>
      </c>
      <c r="G3145" s="376">
        <v>6454.3984013550207</v>
      </c>
      <c r="H3145" s="376">
        <v>0.27170269425497151</v>
      </c>
      <c r="I3145" s="376">
        <v>0.85</v>
      </c>
    </row>
    <row r="3146" spans="1:9" x14ac:dyDescent="0.35">
      <c r="A3146" s="376" t="s">
        <v>1614</v>
      </c>
      <c r="B3146" s="376" t="s">
        <v>1609</v>
      </c>
      <c r="C3146" s="376" t="s">
        <v>1051</v>
      </c>
      <c r="D3146" s="376">
        <v>2027</v>
      </c>
      <c r="E3146" s="376">
        <v>2030</v>
      </c>
      <c r="F3146" s="376">
        <v>0.28070162831646173</v>
      </c>
      <c r="G3146" s="376">
        <v>6454.3984013550207</v>
      </c>
      <c r="H3146" s="376">
        <v>0.27170269425497151</v>
      </c>
      <c r="I3146" s="376">
        <v>0.85</v>
      </c>
    </row>
    <row r="3147" spans="1:9" x14ac:dyDescent="0.35">
      <c r="A3147" s="376" t="s">
        <v>1614</v>
      </c>
      <c r="B3147" s="376" t="s">
        <v>1609</v>
      </c>
      <c r="C3147" s="376" t="s">
        <v>1054</v>
      </c>
      <c r="D3147" s="376">
        <v>2027</v>
      </c>
      <c r="E3147" s="376">
        <v>2030</v>
      </c>
      <c r="F3147" s="376">
        <v>0.28070162831646173</v>
      </c>
      <c r="G3147" s="376">
        <v>6454.3984013550207</v>
      </c>
      <c r="H3147" s="376">
        <v>0.27170269425497151</v>
      </c>
      <c r="I3147" s="376">
        <v>0.85</v>
      </c>
    </row>
    <row r="3148" spans="1:9" x14ac:dyDescent="0.35">
      <c r="A3148" s="376" t="s">
        <v>1614</v>
      </c>
      <c r="B3148" s="376" t="s">
        <v>1609</v>
      </c>
      <c r="C3148" s="376" t="s">
        <v>1046</v>
      </c>
      <c r="D3148" s="376">
        <v>2027</v>
      </c>
      <c r="E3148" s="376">
        <v>2031</v>
      </c>
      <c r="F3148" s="376">
        <v>0.28070162831646173</v>
      </c>
      <c r="G3148" s="376">
        <v>6454.3984013550207</v>
      </c>
      <c r="H3148" s="376">
        <v>0.27170269425497151</v>
      </c>
      <c r="I3148" s="376">
        <v>0.85</v>
      </c>
    </row>
    <row r="3149" spans="1:9" x14ac:dyDescent="0.35">
      <c r="A3149" s="376" t="s">
        <v>1614</v>
      </c>
      <c r="B3149" s="376" t="s">
        <v>1609</v>
      </c>
      <c r="C3149" s="376" t="s">
        <v>644</v>
      </c>
      <c r="D3149" s="376">
        <v>2027</v>
      </c>
      <c r="E3149" s="376">
        <v>2031</v>
      </c>
      <c r="F3149" s="376">
        <v>0.28070162831646173</v>
      </c>
      <c r="G3149" s="376">
        <v>6454.3984013550207</v>
      </c>
      <c r="H3149" s="376">
        <v>0.27170269425497151</v>
      </c>
      <c r="I3149" s="376">
        <v>0.85</v>
      </c>
    </row>
    <row r="3150" spans="1:9" x14ac:dyDescent="0.35">
      <c r="A3150" s="376" t="s">
        <v>1614</v>
      </c>
      <c r="B3150" s="376" t="s">
        <v>1609</v>
      </c>
      <c r="C3150" s="376" t="s">
        <v>628</v>
      </c>
      <c r="D3150" s="376">
        <v>2027</v>
      </c>
      <c r="E3150" s="376">
        <v>2031</v>
      </c>
      <c r="F3150" s="376">
        <v>0.28070162831646173</v>
      </c>
      <c r="G3150" s="376">
        <v>6454.3984013550207</v>
      </c>
      <c r="H3150" s="376">
        <v>0.27170269425497151</v>
      </c>
      <c r="I3150" s="376">
        <v>0.85</v>
      </c>
    </row>
    <row r="3151" spans="1:9" x14ac:dyDescent="0.35">
      <c r="A3151" s="376" t="s">
        <v>1614</v>
      </c>
      <c r="B3151" s="376" t="s">
        <v>1609</v>
      </c>
      <c r="C3151" s="376" t="s">
        <v>1051</v>
      </c>
      <c r="D3151" s="376">
        <v>2027</v>
      </c>
      <c r="E3151" s="376">
        <v>2031</v>
      </c>
      <c r="F3151" s="376">
        <v>0.28070162831646173</v>
      </c>
      <c r="G3151" s="376">
        <v>6454.3984013550207</v>
      </c>
      <c r="H3151" s="376">
        <v>0.27170269425497151</v>
      </c>
      <c r="I3151" s="376">
        <v>0.85</v>
      </c>
    </row>
    <row r="3152" spans="1:9" x14ac:dyDescent="0.35">
      <c r="A3152" s="376" t="s">
        <v>1614</v>
      </c>
      <c r="B3152" s="376" t="s">
        <v>1609</v>
      </c>
      <c r="C3152" s="376" t="s">
        <v>1054</v>
      </c>
      <c r="D3152" s="376">
        <v>2027</v>
      </c>
      <c r="E3152" s="376">
        <v>2031</v>
      </c>
      <c r="F3152" s="376">
        <v>0.28070162831646173</v>
      </c>
      <c r="G3152" s="376">
        <v>6454.3984013550207</v>
      </c>
      <c r="H3152" s="376">
        <v>0.27170269425497151</v>
      </c>
      <c r="I3152" s="376">
        <v>0.85</v>
      </c>
    </row>
    <row r="3153" spans="1:9" x14ac:dyDescent="0.35">
      <c r="A3153" s="376" t="s">
        <v>1604</v>
      </c>
      <c r="B3153" s="376" t="s">
        <v>1609</v>
      </c>
      <c r="C3153" s="376" t="s">
        <v>1046</v>
      </c>
      <c r="D3153" s="376">
        <v>2027</v>
      </c>
      <c r="E3153" s="376">
        <v>2027</v>
      </c>
      <c r="F3153" s="376">
        <v>1</v>
      </c>
      <c r="G3153" s="376">
        <v>10872.741503138899</v>
      </c>
      <c r="H3153" s="376">
        <v>0</v>
      </c>
      <c r="I3153" s="376">
        <v>1</v>
      </c>
    </row>
    <row r="3154" spans="1:9" x14ac:dyDescent="0.35">
      <c r="A3154" s="376" t="s">
        <v>1604</v>
      </c>
      <c r="B3154" s="376" t="s">
        <v>1609</v>
      </c>
      <c r="C3154" s="376" t="s">
        <v>644</v>
      </c>
      <c r="D3154" s="376">
        <v>2027</v>
      </c>
      <c r="E3154" s="376">
        <v>2027</v>
      </c>
      <c r="F3154" s="376">
        <v>1</v>
      </c>
      <c r="G3154" s="376">
        <v>10872.741503138899</v>
      </c>
      <c r="H3154" s="376">
        <v>0</v>
      </c>
      <c r="I3154" s="376">
        <v>1</v>
      </c>
    </row>
    <row r="3155" spans="1:9" x14ac:dyDescent="0.35">
      <c r="A3155" s="376" t="s">
        <v>1604</v>
      </c>
      <c r="B3155" s="376" t="s">
        <v>1609</v>
      </c>
      <c r="C3155" s="376" t="s">
        <v>628</v>
      </c>
      <c r="D3155" s="376">
        <v>2027</v>
      </c>
      <c r="E3155" s="376">
        <v>2027</v>
      </c>
      <c r="F3155" s="376">
        <v>1</v>
      </c>
      <c r="G3155" s="376">
        <v>10872.741503138899</v>
      </c>
      <c r="H3155" s="376">
        <v>0</v>
      </c>
      <c r="I3155" s="376">
        <v>1</v>
      </c>
    </row>
    <row r="3156" spans="1:9" x14ac:dyDescent="0.35">
      <c r="A3156" s="376" t="s">
        <v>1604</v>
      </c>
      <c r="B3156" s="376" t="s">
        <v>1609</v>
      </c>
      <c r="C3156" s="376" t="s">
        <v>1051</v>
      </c>
      <c r="D3156" s="376">
        <v>2027</v>
      </c>
      <c r="E3156" s="376">
        <v>2027</v>
      </c>
      <c r="F3156" s="376">
        <v>1</v>
      </c>
      <c r="G3156" s="376">
        <v>10872.741503138899</v>
      </c>
      <c r="H3156" s="376">
        <v>0</v>
      </c>
      <c r="I3156" s="376">
        <v>1</v>
      </c>
    </row>
    <row r="3157" spans="1:9" x14ac:dyDescent="0.35">
      <c r="A3157" s="376" t="s">
        <v>1604</v>
      </c>
      <c r="B3157" s="376" t="s">
        <v>1609</v>
      </c>
      <c r="C3157" s="376" t="s">
        <v>1054</v>
      </c>
      <c r="D3157" s="376">
        <v>2027</v>
      </c>
      <c r="E3157" s="376">
        <v>2027</v>
      </c>
      <c r="F3157" s="376">
        <v>1</v>
      </c>
      <c r="G3157" s="376">
        <v>10872.741503138899</v>
      </c>
      <c r="H3157" s="376">
        <v>0</v>
      </c>
      <c r="I3157" s="376">
        <v>1</v>
      </c>
    </row>
    <row r="3158" spans="1:9" x14ac:dyDescent="0.35">
      <c r="A3158" s="376" t="s">
        <v>1604</v>
      </c>
      <c r="B3158" s="376" t="s">
        <v>1609</v>
      </c>
      <c r="C3158" s="376" t="s">
        <v>1046</v>
      </c>
      <c r="D3158" s="376">
        <v>2027</v>
      </c>
      <c r="E3158" s="376">
        <v>2028</v>
      </c>
      <c r="F3158" s="376">
        <v>1</v>
      </c>
      <c r="G3158" s="376">
        <v>10872.741503138899</v>
      </c>
      <c r="H3158" s="376">
        <v>0</v>
      </c>
      <c r="I3158" s="376">
        <v>1</v>
      </c>
    </row>
    <row r="3159" spans="1:9" x14ac:dyDescent="0.35">
      <c r="A3159" s="376" t="s">
        <v>1604</v>
      </c>
      <c r="B3159" s="376" t="s">
        <v>1609</v>
      </c>
      <c r="C3159" s="376" t="s">
        <v>644</v>
      </c>
      <c r="D3159" s="376">
        <v>2027</v>
      </c>
      <c r="E3159" s="376">
        <v>2028</v>
      </c>
      <c r="F3159" s="376">
        <v>1</v>
      </c>
      <c r="G3159" s="376">
        <v>10872.741503138899</v>
      </c>
      <c r="H3159" s="376">
        <v>0</v>
      </c>
      <c r="I3159" s="376">
        <v>1</v>
      </c>
    </row>
    <row r="3160" spans="1:9" x14ac:dyDescent="0.35">
      <c r="A3160" s="376" t="s">
        <v>1604</v>
      </c>
      <c r="B3160" s="376" t="s">
        <v>1609</v>
      </c>
      <c r="C3160" s="376" t="s">
        <v>628</v>
      </c>
      <c r="D3160" s="376">
        <v>2027</v>
      </c>
      <c r="E3160" s="376">
        <v>2028</v>
      </c>
      <c r="F3160" s="376">
        <v>1</v>
      </c>
      <c r="G3160" s="376">
        <v>10872.741503138899</v>
      </c>
      <c r="H3160" s="376">
        <v>0</v>
      </c>
      <c r="I3160" s="376">
        <v>1</v>
      </c>
    </row>
    <row r="3161" spans="1:9" x14ac:dyDescent="0.35">
      <c r="A3161" s="376" t="s">
        <v>1604</v>
      </c>
      <c r="B3161" s="376" t="s">
        <v>1609</v>
      </c>
      <c r="C3161" s="376" t="s">
        <v>1051</v>
      </c>
      <c r="D3161" s="376">
        <v>2027</v>
      </c>
      <c r="E3161" s="376">
        <v>2028</v>
      </c>
      <c r="F3161" s="376">
        <v>1</v>
      </c>
      <c r="G3161" s="376">
        <v>10872.741503138899</v>
      </c>
      <c r="H3161" s="376">
        <v>0</v>
      </c>
      <c r="I3161" s="376">
        <v>1</v>
      </c>
    </row>
    <row r="3162" spans="1:9" x14ac:dyDescent="0.35">
      <c r="A3162" s="376" t="s">
        <v>1604</v>
      </c>
      <c r="B3162" s="376" t="s">
        <v>1609</v>
      </c>
      <c r="C3162" s="376" t="s">
        <v>1054</v>
      </c>
      <c r="D3162" s="376">
        <v>2027</v>
      </c>
      <c r="E3162" s="376">
        <v>2028</v>
      </c>
      <c r="F3162" s="376">
        <v>1</v>
      </c>
      <c r="G3162" s="376">
        <v>10872.741503138899</v>
      </c>
      <c r="H3162" s="376">
        <v>0</v>
      </c>
      <c r="I3162" s="376">
        <v>1</v>
      </c>
    </row>
    <row r="3163" spans="1:9" x14ac:dyDescent="0.35">
      <c r="A3163" s="376" t="s">
        <v>1604</v>
      </c>
      <c r="B3163" s="376" t="s">
        <v>1609</v>
      </c>
      <c r="C3163" s="376" t="s">
        <v>1046</v>
      </c>
      <c r="D3163" s="376">
        <v>2027</v>
      </c>
      <c r="E3163" s="376">
        <v>2029</v>
      </c>
      <c r="F3163" s="376">
        <v>1</v>
      </c>
      <c r="G3163" s="376">
        <v>10872.741503138899</v>
      </c>
      <c r="H3163" s="376">
        <v>0</v>
      </c>
      <c r="I3163" s="376">
        <v>1</v>
      </c>
    </row>
    <row r="3164" spans="1:9" x14ac:dyDescent="0.35">
      <c r="A3164" s="376" t="s">
        <v>1604</v>
      </c>
      <c r="B3164" s="376" t="s">
        <v>1609</v>
      </c>
      <c r="C3164" s="376" t="s">
        <v>644</v>
      </c>
      <c r="D3164" s="376">
        <v>2027</v>
      </c>
      <c r="E3164" s="376">
        <v>2029</v>
      </c>
      <c r="F3164" s="376">
        <v>1</v>
      </c>
      <c r="G3164" s="376">
        <v>10872.741503138899</v>
      </c>
      <c r="H3164" s="376">
        <v>0</v>
      </c>
      <c r="I3164" s="376">
        <v>1</v>
      </c>
    </row>
    <row r="3165" spans="1:9" x14ac:dyDescent="0.35">
      <c r="A3165" s="376" t="s">
        <v>1604</v>
      </c>
      <c r="B3165" s="376" t="s">
        <v>1609</v>
      </c>
      <c r="C3165" s="376" t="s">
        <v>628</v>
      </c>
      <c r="D3165" s="376">
        <v>2027</v>
      </c>
      <c r="E3165" s="376">
        <v>2029</v>
      </c>
      <c r="F3165" s="376">
        <v>1</v>
      </c>
      <c r="G3165" s="376">
        <v>10872.741503138899</v>
      </c>
      <c r="H3165" s="376">
        <v>0</v>
      </c>
      <c r="I3165" s="376">
        <v>1</v>
      </c>
    </row>
    <row r="3166" spans="1:9" x14ac:dyDescent="0.35">
      <c r="A3166" s="376" t="s">
        <v>1604</v>
      </c>
      <c r="B3166" s="376" t="s">
        <v>1609</v>
      </c>
      <c r="C3166" s="376" t="s">
        <v>1051</v>
      </c>
      <c r="D3166" s="376">
        <v>2027</v>
      </c>
      <c r="E3166" s="376">
        <v>2029</v>
      </c>
      <c r="F3166" s="376">
        <v>1</v>
      </c>
      <c r="G3166" s="376">
        <v>10872.741503138899</v>
      </c>
      <c r="H3166" s="376">
        <v>0</v>
      </c>
      <c r="I3166" s="376">
        <v>1</v>
      </c>
    </row>
    <row r="3167" spans="1:9" x14ac:dyDescent="0.35">
      <c r="A3167" s="376" t="s">
        <v>1604</v>
      </c>
      <c r="B3167" s="376" t="s">
        <v>1609</v>
      </c>
      <c r="C3167" s="376" t="s">
        <v>1054</v>
      </c>
      <c r="D3167" s="376">
        <v>2027</v>
      </c>
      <c r="E3167" s="376">
        <v>2029</v>
      </c>
      <c r="F3167" s="376">
        <v>1</v>
      </c>
      <c r="G3167" s="376">
        <v>10872.741503138899</v>
      </c>
      <c r="H3167" s="376">
        <v>0</v>
      </c>
      <c r="I3167" s="376">
        <v>1</v>
      </c>
    </row>
    <row r="3168" spans="1:9" x14ac:dyDescent="0.35">
      <c r="A3168" s="376" t="s">
        <v>1604</v>
      </c>
      <c r="B3168" s="376" t="s">
        <v>1609</v>
      </c>
      <c r="C3168" s="376" t="s">
        <v>1046</v>
      </c>
      <c r="D3168" s="376">
        <v>2027</v>
      </c>
      <c r="E3168" s="376">
        <v>2030</v>
      </c>
      <c r="F3168" s="376">
        <v>1</v>
      </c>
      <c r="G3168" s="376">
        <v>10872.741503138899</v>
      </c>
      <c r="H3168" s="376">
        <v>0</v>
      </c>
      <c r="I3168" s="376">
        <v>1</v>
      </c>
    </row>
    <row r="3169" spans="1:9" x14ac:dyDescent="0.35">
      <c r="A3169" s="376" t="s">
        <v>1604</v>
      </c>
      <c r="B3169" s="376" t="s">
        <v>1609</v>
      </c>
      <c r="C3169" s="376" t="s">
        <v>644</v>
      </c>
      <c r="D3169" s="376">
        <v>2027</v>
      </c>
      <c r="E3169" s="376">
        <v>2030</v>
      </c>
      <c r="F3169" s="376">
        <v>1</v>
      </c>
      <c r="G3169" s="376">
        <v>10872.741503138899</v>
      </c>
      <c r="H3169" s="376">
        <v>0</v>
      </c>
      <c r="I3169" s="376">
        <v>1</v>
      </c>
    </row>
    <row r="3170" spans="1:9" x14ac:dyDescent="0.35">
      <c r="A3170" s="376" t="s">
        <v>1604</v>
      </c>
      <c r="B3170" s="376" t="s">
        <v>1609</v>
      </c>
      <c r="C3170" s="376" t="s">
        <v>628</v>
      </c>
      <c r="D3170" s="376">
        <v>2027</v>
      </c>
      <c r="E3170" s="376">
        <v>2030</v>
      </c>
      <c r="F3170" s="376">
        <v>1</v>
      </c>
      <c r="G3170" s="376">
        <v>10872.741503138899</v>
      </c>
      <c r="H3170" s="376">
        <v>0</v>
      </c>
      <c r="I3170" s="376">
        <v>1</v>
      </c>
    </row>
    <row r="3171" spans="1:9" x14ac:dyDescent="0.35">
      <c r="A3171" s="376" t="s">
        <v>1604</v>
      </c>
      <c r="B3171" s="376" t="s">
        <v>1609</v>
      </c>
      <c r="C3171" s="376" t="s">
        <v>1051</v>
      </c>
      <c r="D3171" s="376">
        <v>2027</v>
      </c>
      <c r="E3171" s="376">
        <v>2030</v>
      </c>
      <c r="F3171" s="376">
        <v>1</v>
      </c>
      <c r="G3171" s="376">
        <v>10872.741503138899</v>
      </c>
      <c r="H3171" s="376">
        <v>0</v>
      </c>
      <c r="I3171" s="376">
        <v>1</v>
      </c>
    </row>
    <row r="3172" spans="1:9" x14ac:dyDescent="0.35">
      <c r="A3172" s="376" t="s">
        <v>1604</v>
      </c>
      <c r="B3172" s="376" t="s">
        <v>1609</v>
      </c>
      <c r="C3172" s="376" t="s">
        <v>1054</v>
      </c>
      <c r="D3172" s="376">
        <v>2027</v>
      </c>
      <c r="E3172" s="376">
        <v>2030</v>
      </c>
      <c r="F3172" s="376">
        <v>1</v>
      </c>
      <c r="G3172" s="376">
        <v>10872.741503138899</v>
      </c>
      <c r="H3172" s="376">
        <v>0</v>
      </c>
      <c r="I3172" s="376">
        <v>1</v>
      </c>
    </row>
    <row r="3173" spans="1:9" x14ac:dyDescent="0.35">
      <c r="A3173" s="376" t="s">
        <v>1604</v>
      </c>
      <c r="B3173" s="376" t="s">
        <v>1609</v>
      </c>
      <c r="C3173" s="376" t="s">
        <v>1046</v>
      </c>
      <c r="D3173" s="376">
        <v>2027</v>
      </c>
      <c r="E3173" s="376">
        <v>2031</v>
      </c>
      <c r="F3173" s="376">
        <v>1</v>
      </c>
      <c r="G3173" s="376">
        <v>10872.741503138899</v>
      </c>
      <c r="H3173" s="376">
        <v>0</v>
      </c>
      <c r="I3173" s="376">
        <v>1</v>
      </c>
    </row>
    <row r="3174" spans="1:9" x14ac:dyDescent="0.35">
      <c r="A3174" s="376" t="s">
        <v>1604</v>
      </c>
      <c r="B3174" s="376" t="s">
        <v>1609</v>
      </c>
      <c r="C3174" s="376" t="s">
        <v>644</v>
      </c>
      <c r="D3174" s="376">
        <v>2027</v>
      </c>
      <c r="E3174" s="376">
        <v>2031</v>
      </c>
      <c r="F3174" s="376">
        <v>1</v>
      </c>
      <c r="G3174" s="376">
        <v>10872.741503138899</v>
      </c>
      <c r="H3174" s="376">
        <v>0</v>
      </c>
      <c r="I3174" s="376">
        <v>1</v>
      </c>
    </row>
    <row r="3175" spans="1:9" x14ac:dyDescent="0.35">
      <c r="A3175" s="376" t="s">
        <v>1604</v>
      </c>
      <c r="B3175" s="376" t="s">
        <v>1609</v>
      </c>
      <c r="C3175" s="376" t="s">
        <v>628</v>
      </c>
      <c r="D3175" s="376">
        <v>2027</v>
      </c>
      <c r="E3175" s="376">
        <v>2031</v>
      </c>
      <c r="F3175" s="376">
        <v>1</v>
      </c>
      <c r="G3175" s="376">
        <v>10872.741503138899</v>
      </c>
      <c r="H3175" s="376">
        <v>0</v>
      </c>
      <c r="I3175" s="376">
        <v>1</v>
      </c>
    </row>
    <row r="3176" spans="1:9" x14ac:dyDescent="0.35">
      <c r="A3176" s="376" t="s">
        <v>1604</v>
      </c>
      <c r="B3176" s="376" t="s">
        <v>1609</v>
      </c>
      <c r="C3176" s="376" t="s">
        <v>1051</v>
      </c>
      <c r="D3176" s="376">
        <v>2027</v>
      </c>
      <c r="E3176" s="376">
        <v>2031</v>
      </c>
      <c r="F3176" s="376">
        <v>1</v>
      </c>
      <c r="G3176" s="376">
        <v>10872.741503138899</v>
      </c>
      <c r="H3176" s="376">
        <v>0</v>
      </c>
      <c r="I3176" s="376">
        <v>1</v>
      </c>
    </row>
    <row r="3177" spans="1:9" x14ac:dyDescent="0.35">
      <c r="A3177" s="376" t="s">
        <v>1604</v>
      </c>
      <c r="B3177" s="376" t="s">
        <v>1609</v>
      </c>
      <c r="C3177" s="376" t="s">
        <v>1054</v>
      </c>
      <c r="D3177" s="376">
        <v>2027</v>
      </c>
      <c r="E3177" s="376">
        <v>2031</v>
      </c>
      <c r="F3177" s="376">
        <v>1</v>
      </c>
      <c r="G3177" s="376">
        <v>10872.741503138899</v>
      </c>
      <c r="H3177" s="376">
        <v>0</v>
      </c>
      <c r="I3177" s="376">
        <v>1</v>
      </c>
    </row>
    <row r="3178" spans="1:9" x14ac:dyDescent="0.35">
      <c r="A3178" s="376" t="s">
        <v>1615</v>
      </c>
      <c r="B3178" s="376" t="s">
        <v>1609</v>
      </c>
      <c r="C3178" s="376" t="s">
        <v>1046</v>
      </c>
      <c r="D3178" s="376">
        <v>2027</v>
      </c>
      <c r="E3178" s="376">
        <v>2027</v>
      </c>
      <c r="F3178" s="376">
        <v>1</v>
      </c>
      <c r="G3178" s="376">
        <v>20148.813739673951</v>
      </c>
      <c r="H3178" s="376">
        <v>0</v>
      </c>
      <c r="I3178" s="376">
        <v>0.65716939790195539</v>
      </c>
    </row>
    <row r="3179" spans="1:9" x14ac:dyDescent="0.35">
      <c r="A3179" s="376" t="s">
        <v>1615</v>
      </c>
      <c r="B3179" s="376" t="s">
        <v>1609</v>
      </c>
      <c r="C3179" s="376" t="s">
        <v>644</v>
      </c>
      <c r="D3179" s="376">
        <v>2027</v>
      </c>
      <c r="E3179" s="376">
        <v>2027</v>
      </c>
      <c r="F3179" s="376">
        <v>1</v>
      </c>
      <c r="G3179" s="376">
        <v>20148.813739673951</v>
      </c>
      <c r="H3179" s="376">
        <v>0</v>
      </c>
      <c r="I3179" s="376">
        <v>0.65716939790195539</v>
      </c>
    </row>
    <row r="3180" spans="1:9" x14ac:dyDescent="0.35">
      <c r="A3180" s="376" t="s">
        <v>1615</v>
      </c>
      <c r="B3180" s="376" t="s">
        <v>1609</v>
      </c>
      <c r="C3180" s="376" t="s">
        <v>628</v>
      </c>
      <c r="D3180" s="376">
        <v>2027</v>
      </c>
      <c r="E3180" s="376">
        <v>2027</v>
      </c>
      <c r="F3180" s="376">
        <v>1</v>
      </c>
      <c r="G3180" s="376">
        <v>20148.813739673951</v>
      </c>
      <c r="H3180" s="376">
        <v>0</v>
      </c>
      <c r="I3180" s="376">
        <v>0.65716939790195539</v>
      </c>
    </row>
    <row r="3181" spans="1:9" x14ac:dyDescent="0.35">
      <c r="A3181" s="376" t="s">
        <v>1615</v>
      </c>
      <c r="B3181" s="376" t="s">
        <v>1609</v>
      </c>
      <c r="C3181" s="376" t="s">
        <v>1051</v>
      </c>
      <c r="D3181" s="376">
        <v>2027</v>
      </c>
      <c r="E3181" s="376">
        <v>2027</v>
      </c>
      <c r="F3181" s="376">
        <v>1</v>
      </c>
      <c r="G3181" s="376">
        <v>20148.813739673951</v>
      </c>
      <c r="H3181" s="376">
        <v>0</v>
      </c>
      <c r="I3181" s="376">
        <v>0.65716939790195539</v>
      </c>
    </row>
    <row r="3182" spans="1:9" x14ac:dyDescent="0.35">
      <c r="A3182" s="376" t="s">
        <v>1615</v>
      </c>
      <c r="B3182" s="376" t="s">
        <v>1609</v>
      </c>
      <c r="C3182" s="376" t="s">
        <v>1054</v>
      </c>
      <c r="D3182" s="376">
        <v>2027</v>
      </c>
      <c r="E3182" s="376">
        <v>2027</v>
      </c>
      <c r="F3182" s="376">
        <v>1</v>
      </c>
      <c r="G3182" s="376">
        <v>20148.813739673951</v>
      </c>
      <c r="H3182" s="376">
        <v>0</v>
      </c>
      <c r="I3182" s="376">
        <v>0.65716939790195539</v>
      </c>
    </row>
    <row r="3183" spans="1:9" x14ac:dyDescent="0.35">
      <c r="A3183" s="376" t="s">
        <v>1615</v>
      </c>
      <c r="B3183" s="376" t="s">
        <v>1609</v>
      </c>
      <c r="C3183" s="376" t="s">
        <v>1046</v>
      </c>
      <c r="D3183" s="376">
        <v>2027</v>
      </c>
      <c r="E3183" s="376">
        <v>2028</v>
      </c>
      <c r="F3183" s="376">
        <v>1</v>
      </c>
      <c r="G3183" s="376">
        <v>20148.813739673951</v>
      </c>
      <c r="H3183" s="376">
        <v>0</v>
      </c>
      <c r="I3183" s="376">
        <v>0.65716939790195539</v>
      </c>
    </row>
    <row r="3184" spans="1:9" x14ac:dyDescent="0.35">
      <c r="A3184" s="376" t="s">
        <v>1615</v>
      </c>
      <c r="B3184" s="376" t="s">
        <v>1609</v>
      </c>
      <c r="C3184" s="376" t="s">
        <v>644</v>
      </c>
      <c r="D3184" s="376">
        <v>2027</v>
      </c>
      <c r="E3184" s="376">
        <v>2028</v>
      </c>
      <c r="F3184" s="376">
        <v>1</v>
      </c>
      <c r="G3184" s="376">
        <v>20148.813739673951</v>
      </c>
      <c r="H3184" s="376">
        <v>0</v>
      </c>
      <c r="I3184" s="376">
        <v>0.65716939790195539</v>
      </c>
    </row>
    <row r="3185" spans="1:9" x14ac:dyDescent="0.35">
      <c r="A3185" s="376" t="s">
        <v>1615</v>
      </c>
      <c r="B3185" s="376" t="s">
        <v>1609</v>
      </c>
      <c r="C3185" s="376" t="s">
        <v>628</v>
      </c>
      <c r="D3185" s="376">
        <v>2027</v>
      </c>
      <c r="E3185" s="376">
        <v>2028</v>
      </c>
      <c r="F3185" s="376">
        <v>1</v>
      </c>
      <c r="G3185" s="376">
        <v>20148.813739673951</v>
      </c>
      <c r="H3185" s="376">
        <v>0</v>
      </c>
      <c r="I3185" s="376">
        <v>0.65716939790195539</v>
      </c>
    </row>
    <row r="3186" spans="1:9" x14ac:dyDescent="0.35">
      <c r="A3186" s="376" t="s">
        <v>1615</v>
      </c>
      <c r="B3186" s="376" t="s">
        <v>1609</v>
      </c>
      <c r="C3186" s="376" t="s">
        <v>1051</v>
      </c>
      <c r="D3186" s="376">
        <v>2027</v>
      </c>
      <c r="E3186" s="376">
        <v>2028</v>
      </c>
      <c r="F3186" s="376">
        <v>1</v>
      </c>
      <c r="G3186" s="376">
        <v>20148.813739673951</v>
      </c>
      <c r="H3186" s="376">
        <v>0</v>
      </c>
      <c r="I3186" s="376">
        <v>0.65716939790195539</v>
      </c>
    </row>
    <row r="3187" spans="1:9" x14ac:dyDescent="0.35">
      <c r="A3187" s="376" t="s">
        <v>1615</v>
      </c>
      <c r="B3187" s="376" t="s">
        <v>1609</v>
      </c>
      <c r="C3187" s="376" t="s">
        <v>1054</v>
      </c>
      <c r="D3187" s="376">
        <v>2027</v>
      </c>
      <c r="E3187" s="376">
        <v>2028</v>
      </c>
      <c r="F3187" s="376">
        <v>1</v>
      </c>
      <c r="G3187" s="376">
        <v>20148.813739673951</v>
      </c>
      <c r="H3187" s="376">
        <v>0</v>
      </c>
      <c r="I3187" s="376">
        <v>0.65716939790195539</v>
      </c>
    </row>
    <row r="3188" spans="1:9" x14ac:dyDescent="0.35">
      <c r="A3188" s="376" t="s">
        <v>1615</v>
      </c>
      <c r="B3188" s="376" t="s">
        <v>1609</v>
      </c>
      <c r="C3188" s="376" t="s">
        <v>1046</v>
      </c>
      <c r="D3188" s="376">
        <v>2027</v>
      </c>
      <c r="E3188" s="376">
        <v>2029</v>
      </c>
      <c r="F3188" s="376">
        <v>1</v>
      </c>
      <c r="G3188" s="376">
        <v>20148.813739673951</v>
      </c>
      <c r="H3188" s="376">
        <v>0</v>
      </c>
      <c r="I3188" s="376">
        <v>0.65716939790195539</v>
      </c>
    </row>
    <row r="3189" spans="1:9" x14ac:dyDescent="0.35">
      <c r="A3189" s="376" t="s">
        <v>1615</v>
      </c>
      <c r="B3189" s="376" t="s">
        <v>1609</v>
      </c>
      <c r="C3189" s="376" t="s">
        <v>644</v>
      </c>
      <c r="D3189" s="376">
        <v>2027</v>
      </c>
      <c r="E3189" s="376">
        <v>2029</v>
      </c>
      <c r="F3189" s="376">
        <v>1</v>
      </c>
      <c r="G3189" s="376">
        <v>20148.813739673951</v>
      </c>
      <c r="H3189" s="376">
        <v>0</v>
      </c>
      <c r="I3189" s="376">
        <v>0.65716939790195539</v>
      </c>
    </row>
    <row r="3190" spans="1:9" x14ac:dyDescent="0.35">
      <c r="A3190" s="376" t="s">
        <v>1615</v>
      </c>
      <c r="B3190" s="376" t="s">
        <v>1609</v>
      </c>
      <c r="C3190" s="376" t="s">
        <v>628</v>
      </c>
      <c r="D3190" s="376">
        <v>2027</v>
      </c>
      <c r="E3190" s="376">
        <v>2029</v>
      </c>
      <c r="F3190" s="376">
        <v>1</v>
      </c>
      <c r="G3190" s="376">
        <v>20148.813739673951</v>
      </c>
      <c r="H3190" s="376">
        <v>0</v>
      </c>
      <c r="I3190" s="376">
        <v>0.65716939790195539</v>
      </c>
    </row>
    <row r="3191" spans="1:9" x14ac:dyDescent="0.35">
      <c r="A3191" s="376" t="s">
        <v>1615</v>
      </c>
      <c r="B3191" s="376" t="s">
        <v>1609</v>
      </c>
      <c r="C3191" s="376" t="s">
        <v>1051</v>
      </c>
      <c r="D3191" s="376">
        <v>2027</v>
      </c>
      <c r="E3191" s="376">
        <v>2029</v>
      </c>
      <c r="F3191" s="376">
        <v>1</v>
      </c>
      <c r="G3191" s="376">
        <v>20148.813739673951</v>
      </c>
      <c r="H3191" s="376">
        <v>0</v>
      </c>
      <c r="I3191" s="376">
        <v>0.65716939790195539</v>
      </c>
    </row>
    <row r="3192" spans="1:9" x14ac:dyDescent="0.35">
      <c r="A3192" s="376" t="s">
        <v>1615</v>
      </c>
      <c r="B3192" s="376" t="s">
        <v>1609</v>
      </c>
      <c r="C3192" s="376" t="s">
        <v>1054</v>
      </c>
      <c r="D3192" s="376">
        <v>2027</v>
      </c>
      <c r="E3192" s="376">
        <v>2029</v>
      </c>
      <c r="F3192" s="376">
        <v>1</v>
      </c>
      <c r="G3192" s="376">
        <v>20148.813739673951</v>
      </c>
      <c r="H3192" s="376">
        <v>0</v>
      </c>
      <c r="I3192" s="376">
        <v>0.65716939790195539</v>
      </c>
    </row>
    <row r="3193" spans="1:9" x14ac:dyDescent="0.35">
      <c r="A3193" s="376" t="s">
        <v>1615</v>
      </c>
      <c r="B3193" s="376" t="s">
        <v>1609</v>
      </c>
      <c r="C3193" s="376" t="s">
        <v>1046</v>
      </c>
      <c r="D3193" s="376">
        <v>2027</v>
      </c>
      <c r="E3193" s="376">
        <v>2030</v>
      </c>
      <c r="F3193" s="376">
        <v>1</v>
      </c>
      <c r="G3193" s="376">
        <v>20148.813739673951</v>
      </c>
      <c r="H3193" s="376">
        <v>0</v>
      </c>
      <c r="I3193" s="376">
        <v>0.65716939790195539</v>
      </c>
    </row>
    <row r="3194" spans="1:9" x14ac:dyDescent="0.35">
      <c r="A3194" s="376" t="s">
        <v>1615</v>
      </c>
      <c r="B3194" s="376" t="s">
        <v>1609</v>
      </c>
      <c r="C3194" s="376" t="s">
        <v>644</v>
      </c>
      <c r="D3194" s="376">
        <v>2027</v>
      </c>
      <c r="E3194" s="376">
        <v>2030</v>
      </c>
      <c r="F3194" s="376">
        <v>1</v>
      </c>
      <c r="G3194" s="376">
        <v>20148.813739673951</v>
      </c>
      <c r="H3194" s="376">
        <v>0</v>
      </c>
      <c r="I3194" s="376">
        <v>0.65716939790195539</v>
      </c>
    </row>
    <row r="3195" spans="1:9" x14ac:dyDescent="0.35">
      <c r="A3195" s="376" t="s">
        <v>1615</v>
      </c>
      <c r="B3195" s="376" t="s">
        <v>1609</v>
      </c>
      <c r="C3195" s="376" t="s">
        <v>628</v>
      </c>
      <c r="D3195" s="376">
        <v>2027</v>
      </c>
      <c r="E3195" s="376">
        <v>2030</v>
      </c>
      <c r="F3195" s="376">
        <v>1</v>
      </c>
      <c r="G3195" s="376">
        <v>20148.813739673951</v>
      </c>
      <c r="H3195" s="376">
        <v>0</v>
      </c>
      <c r="I3195" s="376">
        <v>0.65716939790195539</v>
      </c>
    </row>
    <row r="3196" spans="1:9" x14ac:dyDescent="0.35">
      <c r="A3196" s="376" t="s">
        <v>1615</v>
      </c>
      <c r="B3196" s="376" t="s">
        <v>1609</v>
      </c>
      <c r="C3196" s="376" t="s">
        <v>1051</v>
      </c>
      <c r="D3196" s="376">
        <v>2027</v>
      </c>
      <c r="E3196" s="376">
        <v>2030</v>
      </c>
      <c r="F3196" s="376">
        <v>1</v>
      </c>
      <c r="G3196" s="376">
        <v>20148.813739673951</v>
      </c>
      <c r="H3196" s="376">
        <v>0</v>
      </c>
      <c r="I3196" s="376">
        <v>0.65716939790195539</v>
      </c>
    </row>
    <row r="3197" spans="1:9" x14ac:dyDescent="0.35">
      <c r="A3197" s="376" t="s">
        <v>1615</v>
      </c>
      <c r="B3197" s="376" t="s">
        <v>1609</v>
      </c>
      <c r="C3197" s="376" t="s">
        <v>1054</v>
      </c>
      <c r="D3197" s="376">
        <v>2027</v>
      </c>
      <c r="E3197" s="376">
        <v>2030</v>
      </c>
      <c r="F3197" s="376">
        <v>1</v>
      </c>
      <c r="G3197" s="376">
        <v>20148.813739673951</v>
      </c>
      <c r="H3197" s="376">
        <v>0</v>
      </c>
      <c r="I3197" s="376">
        <v>0.65716939790195539</v>
      </c>
    </row>
    <row r="3198" spans="1:9" x14ac:dyDescent="0.35">
      <c r="A3198" s="376" t="s">
        <v>1615</v>
      </c>
      <c r="B3198" s="376" t="s">
        <v>1609</v>
      </c>
      <c r="C3198" s="376" t="s">
        <v>1046</v>
      </c>
      <c r="D3198" s="376">
        <v>2027</v>
      </c>
      <c r="E3198" s="376">
        <v>2031</v>
      </c>
      <c r="F3198" s="376">
        <v>1</v>
      </c>
      <c r="G3198" s="376">
        <v>20148.813739673951</v>
      </c>
      <c r="H3198" s="376">
        <v>0</v>
      </c>
      <c r="I3198" s="376">
        <v>0.65716939790195539</v>
      </c>
    </row>
    <row r="3199" spans="1:9" x14ac:dyDescent="0.35">
      <c r="A3199" s="376" t="s">
        <v>1615</v>
      </c>
      <c r="B3199" s="376" t="s">
        <v>1609</v>
      </c>
      <c r="C3199" s="376" t="s">
        <v>644</v>
      </c>
      <c r="D3199" s="376">
        <v>2027</v>
      </c>
      <c r="E3199" s="376">
        <v>2031</v>
      </c>
      <c r="F3199" s="376">
        <v>1</v>
      </c>
      <c r="G3199" s="376">
        <v>20148.813739673951</v>
      </c>
      <c r="H3199" s="376">
        <v>0</v>
      </c>
      <c r="I3199" s="376">
        <v>0.65716939790195539</v>
      </c>
    </row>
    <row r="3200" spans="1:9" x14ac:dyDescent="0.35">
      <c r="A3200" s="376" t="s">
        <v>1615</v>
      </c>
      <c r="B3200" s="376" t="s">
        <v>1609</v>
      </c>
      <c r="C3200" s="376" t="s">
        <v>628</v>
      </c>
      <c r="D3200" s="376">
        <v>2027</v>
      </c>
      <c r="E3200" s="376">
        <v>2031</v>
      </c>
      <c r="F3200" s="376">
        <v>1</v>
      </c>
      <c r="G3200" s="376">
        <v>20148.813739673951</v>
      </c>
      <c r="H3200" s="376">
        <v>0</v>
      </c>
      <c r="I3200" s="376">
        <v>0.65716939790195539</v>
      </c>
    </row>
    <row r="3201" spans="1:9" x14ac:dyDescent="0.35">
      <c r="A3201" s="376" t="s">
        <v>1615</v>
      </c>
      <c r="B3201" s="376" t="s">
        <v>1609</v>
      </c>
      <c r="C3201" s="376" t="s">
        <v>1051</v>
      </c>
      <c r="D3201" s="376">
        <v>2027</v>
      </c>
      <c r="E3201" s="376">
        <v>2031</v>
      </c>
      <c r="F3201" s="376">
        <v>1</v>
      </c>
      <c r="G3201" s="376">
        <v>20148.813739673951</v>
      </c>
      <c r="H3201" s="376">
        <v>0</v>
      </c>
      <c r="I3201" s="376">
        <v>0.65716939790195539</v>
      </c>
    </row>
    <row r="3202" spans="1:9" x14ac:dyDescent="0.35">
      <c r="A3202" s="376" t="s">
        <v>1615</v>
      </c>
      <c r="B3202" s="376" t="s">
        <v>1609</v>
      </c>
      <c r="C3202" s="376" t="s">
        <v>1054</v>
      </c>
      <c r="D3202" s="376">
        <v>2027</v>
      </c>
      <c r="E3202" s="376">
        <v>2031</v>
      </c>
      <c r="F3202" s="376">
        <v>1</v>
      </c>
      <c r="G3202" s="376">
        <v>20148.813739673951</v>
      </c>
      <c r="H3202" s="376">
        <v>0</v>
      </c>
      <c r="I3202" s="376">
        <v>0.65716939790195539</v>
      </c>
    </row>
    <row r="3203" spans="1:9" x14ac:dyDescent="0.35">
      <c r="A3203" s="376" t="s">
        <v>1603</v>
      </c>
      <c r="B3203" s="376" t="s">
        <v>1609</v>
      </c>
      <c r="C3203" s="376" t="s">
        <v>1046</v>
      </c>
      <c r="D3203" s="376">
        <v>2027</v>
      </c>
      <c r="E3203" s="376">
        <v>2027</v>
      </c>
      <c r="F3203" s="376">
        <v>1</v>
      </c>
      <c r="G3203" s="376">
        <v>6101.463203368502</v>
      </c>
      <c r="H3203" s="376">
        <v>0</v>
      </c>
      <c r="I3203" s="376">
        <v>1</v>
      </c>
    </row>
    <row r="3204" spans="1:9" x14ac:dyDescent="0.35">
      <c r="A3204" s="376" t="s">
        <v>1603</v>
      </c>
      <c r="B3204" s="376" t="s">
        <v>1609</v>
      </c>
      <c r="C3204" s="376" t="s">
        <v>644</v>
      </c>
      <c r="D3204" s="376">
        <v>2027</v>
      </c>
      <c r="E3204" s="376">
        <v>2027</v>
      </c>
      <c r="F3204" s="376">
        <v>1</v>
      </c>
      <c r="G3204" s="376">
        <v>6101.463203368502</v>
      </c>
      <c r="H3204" s="376">
        <v>0</v>
      </c>
      <c r="I3204" s="376">
        <v>1</v>
      </c>
    </row>
    <row r="3205" spans="1:9" x14ac:dyDescent="0.35">
      <c r="A3205" s="376" t="s">
        <v>1603</v>
      </c>
      <c r="B3205" s="376" t="s">
        <v>1609</v>
      </c>
      <c r="C3205" s="376" t="s">
        <v>628</v>
      </c>
      <c r="D3205" s="376">
        <v>2027</v>
      </c>
      <c r="E3205" s="376">
        <v>2027</v>
      </c>
      <c r="F3205" s="376">
        <v>1</v>
      </c>
      <c r="G3205" s="376">
        <v>6101.463203368502</v>
      </c>
      <c r="H3205" s="376">
        <v>0</v>
      </c>
      <c r="I3205" s="376">
        <v>1</v>
      </c>
    </row>
    <row r="3206" spans="1:9" x14ac:dyDescent="0.35">
      <c r="A3206" s="376" t="s">
        <v>1603</v>
      </c>
      <c r="B3206" s="376" t="s">
        <v>1609</v>
      </c>
      <c r="C3206" s="376" t="s">
        <v>1051</v>
      </c>
      <c r="D3206" s="376">
        <v>2027</v>
      </c>
      <c r="E3206" s="376">
        <v>2027</v>
      </c>
      <c r="F3206" s="376">
        <v>1</v>
      </c>
      <c r="G3206" s="376">
        <v>6101.463203368502</v>
      </c>
      <c r="H3206" s="376">
        <v>0</v>
      </c>
      <c r="I3206" s="376">
        <v>1</v>
      </c>
    </row>
    <row r="3207" spans="1:9" x14ac:dyDescent="0.35">
      <c r="A3207" s="376" t="s">
        <v>1603</v>
      </c>
      <c r="B3207" s="376" t="s">
        <v>1609</v>
      </c>
      <c r="C3207" s="376" t="s">
        <v>1054</v>
      </c>
      <c r="D3207" s="376">
        <v>2027</v>
      </c>
      <c r="E3207" s="376">
        <v>2027</v>
      </c>
      <c r="F3207" s="376">
        <v>1</v>
      </c>
      <c r="G3207" s="376">
        <v>6101.463203368502</v>
      </c>
      <c r="H3207" s="376">
        <v>0</v>
      </c>
      <c r="I3207" s="376">
        <v>1</v>
      </c>
    </row>
    <row r="3208" spans="1:9" x14ac:dyDescent="0.35">
      <c r="A3208" s="376" t="s">
        <v>1603</v>
      </c>
      <c r="B3208" s="376" t="s">
        <v>1609</v>
      </c>
      <c r="C3208" s="376" t="s">
        <v>1046</v>
      </c>
      <c r="D3208" s="376">
        <v>2027</v>
      </c>
      <c r="E3208" s="376">
        <v>2028</v>
      </c>
      <c r="F3208" s="376">
        <v>1</v>
      </c>
      <c r="G3208" s="376">
        <v>6101.463203368502</v>
      </c>
      <c r="H3208" s="376">
        <v>0</v>
      </c>
      <c r="I3208" s="376">
        <v>1</v>
      </c>
    </row>
    <row r="3209" spans="1:9" x14ac:dyDescent="0.35">
      <c r="A3209" s="376" t="s">
        <v>1603</v>
      </c>
      <c r="B3209" s="376" t="s">
        <v>1609</v>
      </c>
      <c r="C3209" s="376" t="s">
        <v>644</v>
      </c>
      <c r="D3209" s="376">
        <v>2027</v>
      </c>
      <c r="E3209" s="376">
        <v>2028</v>
      </c>
      <c r="F3209" s="376">
        <v>1</v>
      </c>
      <c r="G3209" s="376">
        <v>6101.463203368502</v>
      </c>
      <c r="H3209" s="376">
        <v>0</v>
      </c>
      <c r="I3209" s="376">
        <v>1</v>
      </c>
    </row>
    <row r="3210" spans="1:9" x14ac:dyDescent="0.35">
      <c r="A3210" s="376" t="s">
        <v>1603</v>
      </c>
      <c r="B3210" s="376" t="s">
        <v>1609</v>
      </c>
      <c r="C3210" s="376" t="s">
        <v>628</v>
      </c>
      <c r="D3210" s="376">
        <v>2027</v>
      </c>
      <c r="E3210" s="376">
        <v>2028</v>
      </c>
      <c r="F3210" s="376">
        <v>1</v>
      </c>
      <c r="G3210" s="376">
        <v>6101.463203368502</v>
      </c>
      <c r="H3210" s="376">
        <v>0</v>
      </c>
      <c r="I3210" s="376">
        <v>1</v>
      </c>
    </row>
    <row r="3211" spans="1:9" x14ac:dyDescent="0.35">
      <c r="A3211" s="376" t="s">
        <v>1603</v>
      </c>
      <c r="B3211" s="376" t="s">
        <v>1609</v>
      </c>
      <c r="C3211" s="376" t="s">
        <v>1051</v>
      </c>
      <c r="D3211" s="376">
        <v>2027</v>
      </c>
      <c r="E3211" s="376">
        <v>2028</v>
      </c>
      <c r="F3211" s="376">
        <v>1</v>
      </c>
      <c r="G3211" s="376">
        <v>6101.463203368502</v>
      </c>
      <c r="H3211" s="376">
        <v>0</v>
      </c>
      <c r="I3211" s="376">
        <v>1</v>
      </c>
    </row>
    <row r="3212" spans="1:9" x14ac:dyDescent="0.35">
      <c r="A3212" s="376" t="s">
        <v>1603</v>
      </c>
      <c r="B3212" s="376" t="s">
        <v>1609</v>
      </c>
      <c r="C3212" s="376" t="s">
        <v>1054</v>
      </c>
      <c r="D3212" s="376">
        <v>2027</v>
      </c>
      <c r="E3212" s="376">
        <v>2028</v>
      </c>
      <c r="F3212" s="376">
        <v>1</v>
      </c>
      <c r="G3212" s="376">
        <v>6101.463203368502</v>
      </c>
      <c r="H3212" s="376">
        <v>0</v>
      </c>
      <c r="I3212" s="376">
        <v>1</v>
      </c>
    </row>
    <row r="3213" spans="1:9" x14ac:dyDescent="0.35">
      <c r="A3213" s="376" t="s">
        <v>1603</v>
      </c>
      <c r="B3213" s="376" t="s">
        <v>1609</v>
      </c>
      <c r="C3213" s="376" t="s">
        <v>1046</v>
      </c>
      <c r="D3213" s="376">
        <v>2027</v>
      </c>
      <c r="E3213" s="376">
        <v>2029</v>
      </c>
      <c r="F3213" s="376">
        <v>1</v>
      </c>
      <c r="G3213" s="376">
        <v>6101.463203368502</v>
      </c>
      <c r="H3213" s="376">
        <v>0</v>
      </c>
      <c r="I3213" s="376">
        <v>1</v>
      </c>
    </row>
    <row r="3214" spans="1:9" x14ac:dyDescent="0.35">
      <c r="A3214" s="376" t="s">
        <v>1603</v>
      </c>
      <c r="B3214" s="376" t="s">
        <v>1609</v>
      </c>
      <c r="C3214" s="376" t="s">
        <v>644</v>
      </c>
      <c r="D3214" s="376">
        <v>2027</v>
      </c>
      <c r="E3214" s="376">
        <v>2029</v>
      </c>
      <c r="F3214" s="376">
        <v>1</v>
      </c>
      <c r="G3214" s="376">
        <v>6101.463203368502</v>
      </c>
      <c r="H3214" s="376">
        <v>0</v>
      </c>
      <c r="I3214" s="376">
        <v>1</v>
      </c>
    </row>
    <row r="3215" spans="1:9" x14ac:dyDescent="0.35">
      <c r="A3215" s="376" t="s">
        <v>1603</v>
      </c>
      <c r="B3215" s="376" t="s">
        <v>1609</v>
      </c>
      <c r="C3215" s="376" t="s">
        <v>628</v>
      </c>
      <c r="D3215" s="376">
        <v>2027</v>
      </c>
      <c r="E3215" s="376">
        <v>2029</v>
      </c>
      <c r="F3215" s="376">
        <v>1</v>
      </c>
      <c r="G3215" s="376">
        <v>6101.463203368502</v>
      </c>
      <c r="H3215" s="376">
        <v>0</v>
      </c>
      <c r="I3215" s="376">
        <v>1</v>
      </c>
    </row>
    <row r="3216" spans="1:9" x14ac:dyDescent="0.35">
      <c r="A3216" s="376" t="s">
        <v>1603</v>
      </c>
      <c r="B3216" s="376" t="s">
        <v>1609</v>
      </c>
      <c r="C3216" s="376" t="s">
        <v>1051</v>
      </c>
      <c r="D3216" s="376">
        <v>2027</v>
      </c>
      <c r="E3216" s="376">
        <v>2029</v>
      </c>
      <c r="F3216" s="376">
        <v>1</v>
      </c>
      <c r="G3216" s="376">
        <v>6101.463203368502</v>
      </c>
      <c r="H3216" s="376">
        <v>0</v>
      </c>
      <c r="I3216" s="376">
        <v>1</v>
      </c>
    </row>
    <row r="3217" spans="1:9" x14ac:dyDescent="0.35">
      <c r="A3217" s="376" t="s">
        <v>1603</v>
      </c>
      <c r="B3217" s="376" t="s">
        <v>1609</v>
      </c>
      <c r="C3217" s="376" t="s">
        <v>1054</v>
      </c>
      <c r="D3217" s="376">
        <v>2027</v>
      </c>
      <c r="E3217" s="376">
        <v>2029</v>
      </c>
      <c r="F3217" s="376">
        <v>1</v>
      </c>
      <c r="G3217" s="376">
        <v>6101.463203368502</v>
      </c>
      <c r="H3217" s="376">
        <v>0</v>
      </c>
      <c r="I3217" s="376">
        <v>1</v>
      </c>
    </row>
    <row r="3218" spans="1:9" x14ac:dyDescent="0.35">
      <c r="A3218" s="376" t="s">
        <v>1603</v>
      </c>
      <c r="B3218" s="376" t="s">
        <v>1609</v>
      </c>
      <c r="C3218" s="376" t="s">
        <v>1046</v>
      </c>
      <c r="D3218" s="376">
        <v>2027</v>
      </c>
      <c r="E3218" s="376">
        <v>2030</v>
      </c>
      <c r="F3218" s="376">
        <v>1</v>
      </c>
      <c r="G3218" s="376">
        <v>6101.463203368502</v>
      </c>
      <c r="H3218" s="376">
        <v>0</v>
      </c>
      <c r="I3218" s="376">
        <v>1</v>
      </c>
    </row>
    <row r="3219" spans="1:9" x14ac:dyDescent="0.35">
      <c r="A3219" s="376" t="s">
        <v>1603</v>
      </c>
      <c r="B3219" s="376" t="s">
        <v>1609</v>
      </c>
      <c r="C3219" s="376" t="s">
        <v>644</v>
      </c>
      <c r="D3219" s="376">
        <v>2027</v>
      </c>
      <c r="E3219" s="376">
        <v>2030</v>
      </c>
      <c r="F3219" s="376">
        <v>1</v>
      </c>
      <c r="G3219" s="376">
        <v>6101.463203368502</v>
      </c>
      <c r="H3219" s="376">
        <v>0</v>
      </c>
      <c r="I3219" s="376">
        <v>1</v>
      </c>
    </row>
    <row r="3220" spans="1:9" x14ac:dyDescent="0.35">
      <c r="A3220" s="376" t="s">
        <v>1603</v>
      </c>
      <c r="B3220" s="376" t="s">
        <v>1609</v>
      </c>
      <c r="C3220" s="376" t="s">
        <v>628</v>
      </c>
      <c r="D3220" s="376">
        <v>2027</v>
      </c>
      <c r="E3220" s="376">
        <v>2030</v>
      </c>
      <c r="F3220" s="376">
        <v>1</v>
      </c>
      <c r="G3220" s="376">
        <v>6101.463203368502</v>
      </c>
      <c r="H3220" s="376">
        <v>0</v>
      </c>
      <c r="I3220" s="376">
        <v>1</v>
      </c>
    </row>
    <row r="3221" spans="1:9" x14ac:dyDescent="0.35">
      <c r="A3221" s="376" t="s">
        <v>1603</v>
      </c>
      <c r="B3221" s="376" t="s">
        <v>1609</v>
      </c>
      <c r="C3221" s="376" t="s">
        <v>1051</v>
      </c>
      <c r="D3221" s="376">
        <v>2027</v>
      </c>
      <c r="E3221" s="376">
        <v>2030</v>
      </c>
      <c r="F3221" s="376">
        <v>1</v>
      </c>
      <c r="G3221" s="376">
        <v>6101.463203368502</v>
      </c>
      <c r="H3221" s="376">
        <v>0</v>
      </c>
      <c r="I3221" s="376">
        <v>1</v>
      </c>
    </row>
    <row r="3222" spans="1:9" x14ac:dyDescent="0.35">
      <c r="A3222" s="376" t="s">
        <v>1603</v>
      </c>
      <c r="B3222" s="376" t="s">
        <v>1609</v>
      </c>
      <c r="C3222" s="376" t="s">
        <v>1054</v>
      </c>
      <c r="D3222" s="376">
        <v>2027</v>
      </c>
      <c r="E3222" s="376">
        <v>2030</v>
      </c>
      <c r="F3222" s="376">
        <v>1</v>
      </c>
      <c r="G3222" s="376">
        <v>6101.463203368502</v>
      </c>
      <c r="H3222" s="376">
        <v>0</v>
      </c>
      <c r="I3222" s="376">
        <v>1</v>
      </c>
    </row>
    <row r="3223" spans="1:9" x14ac:dyDescent="0.35">
      <c r="A3223" s="376" t="s">
        <v>1603</v>
      </c>
      <c r="B3223" s="376" t="s">
        <v>1609</v>
      </c>
      <c r="C3223" s="376" t="s">
        <v>1046</v>
      </c>
      <c r="D3223" s="376">
        <v>2027</v>
      </c>
      <c r="E3223" s="376">
        <v>2031</v>
      </c>
      <c r="F3223" s="376">
        <v>1</v>
      </c>
      <c r="G3223" s="376">
        <v>6101.463203368502</v>
      </c>
      <c r="H3223" s="376">
        <v>0</v>
      </c>
      <c r="I3223" s="376">
        <v>1</v>
      </c>
    </row>
    <row r="3224" spans="1:9" x14ac:dyDescent="0.35">
      <c r="A3224" s="376" t="s">
        <v>1603</v>
      </c>
      <c r="B3224" s="376" t="s">
        <v>1609</v>
      </c>
      <c r="C3224" s="376" t="s">
        <v>644</v>
      </c>
      <c r="D3224" s="376">
        <v>2027</v>
      </c>
      <c r="E3224" s="376">
        <v>2031</v>
      </c>
      <c r="F3224" s="376">
        <v>1</v>
      </c>
      <c r="G3224" s="376">
        <v>6101.463203368502</v>
      </c>
      <c r="H3224" s="376">
        <v>0</v>
      </c>
      <c r="I3224" s="376">
        <v>1</v>
      </c>
    </row>
    <row r="3225" spans="1:9" x14ac:dyDescent="0.35">
      <c r="A3225" s="376" t="s">
        <v>1603</v>
      </c>
      <c r="B3225" s="376" t="s">
        <v>1609</v>
      </c>
      <c r="C3225" s="376" t="s">
        <v>628</v>
      </c>
      <c r="D3225" s="376">
        <v>2027</v>
      </c>
      <c r="E3225" s="376">
        <v>2031</v>
      </c>
      <c r="F3225" s="376">
        <v>1</v>
      </c>
      <c r="G3225" s="376">
        <v>6101.463203368502</v>
      </c>
      <c r="H3225" s="376">
        <v>0</v>
      </c>
      <c r="I3225" s="376">
        <v>1</v>
      </c>
    </row>
    <row r="3226" spans="1:9" x14ac:dyDescent="0.35">
      <c r="A3226" s="376" t="s">
        <v>1603</v>
      </c>
      <c r="B3226" s="376" t="s">
        <v>1609</v>
      </c>
      <c r="C3226" s="376" t="s">
        <v>1051</v>
      </c>
      <c r="D3226" s="376">
        <v>2027</v>
      </c>
      <c r="E3226" s="376">
        <v>2031</v>
      </c>
      <c r="F3226" s="376">
        <v>1</v>
      </c>
      <c r="G3226" s="376">
        <v>6101.463203368502</v>
      </c>
      <c r="H3226" s="376">
        <v>0</v>
      </c>
      <c r="I3226" s="376">
        <v>1</v>
      </c>
    </row>
    <row r="3227" spans="1:9" x14ac:dyDescent="0.35">
      <c r="A3227" s="376" t="s">
        <v>1603</v>
      </c>
      <c r="B3227" s="376" t="s">
        <v>1609</v>
      </c>
      <c r="C3227" s="376" t="s">
        <v>1054</v>
      </c>
      <c r="D3227" s="376">
        <v>2027</v>
      </c>
      <c r="E3227" s="376">
        <v>2031</v>
      </c>
      <c r="F3227" s="376">
        <v>1</v>
      </c>
      <c r="G3227" s="376">
        <v>6101.463203368502</v>
      </c>
      <c r="H3227" s="376">
        <v>0</v>
      </c>
      <c r="I3227" s="376">
        <v>1</v>
      </c>
    </row>
    <row r="3228" spans="1:9" x14ac:dyDescent="0.35">
      <c r="A3228" s="376" t="s">
        <v>1605</v>
      </c>
      <c r="B3228" s="376" t="s">
        <v>1609</v>
      </c>
      <c r="C3228" s="376" t="s">
        <v>1046</v>
      </c>
      <c r="D3228" s="376">
        <v>2027</v>
      </c>
      <c r="E3228" s="376">
        <v>2027</v>
      </c>
      <c r="F3228" s="376">
        <v>0.23884589662749595</v>
      </c>
      <c r="G3228" s="376">
        <v>10426.102375692073</v>
      </c>
      <c r="H3228" s="376">
        <v>0</v>
      </c>
      <c r="I3228" s="376">
        <v>1</v>
      </c>
    </row>
    <row r="3229" spans="1:9" x14ac:dyDescent="0.35">
      <c r="A3229" s="376" t="s">
        <v>1605</v>
      </c>
      <c r="B3229" s="376" t="s">
        <v>1609</v>
      </c>
      <c r="C3229" s="376" t="s">
        <v>644</v>
      </c>
      <c r="D3229" s="376">
        <v>2027</v>
      </c>
      <c r="E3229" s="376">
        <v>2027</v>
      </c>
      <c r="F3229" s="376">
        <v>0.23884589662749595</v>
      </c>
      <c r="G3229" s="376">
        <v>10426.102375692073</v>
      </c>
      <c r="H3229" s="376">
        <v>0</v>
      </c>
      <c r="I3229" s="376">
        <v>1</v>
      </c>
    </row>
    <row r="3230" spans="1:9" x14ac:dyDescent="0.35">
      <c r="A3230" s="376" t="s">
        <v>1605</v>
      </c>
      <c r="B3230" s="376" t="s">
        <v>1609</v>
      </c>
      <c r="C3230" s="376" t="s">
        <v>628</v>
      </c>
      <c r="D3230" s="376">
        <v>2027</v>
      </c>
      <c r="E3230" s="376">
        <v>2027</v>
      </c>
      <c r="F3230" s="376">
        <v>0.23884589662749595</v>
      </c>
      <c r="G3230" s="376">
        <v>10426.102375692073</v>
      </c>
      <c r="H3230" s="376">
        <v>0</v>
      </c>
      <c r="I3230" s="376">
        <v>1</v>
      </c>
    </row>
    <row r="3231" spans="1:9" x14ac:dyDescent="0.35">
      <c r="A3231" s="376" t="s">
        <v>1605</v>
      </c>
      <c r="B3231" s="376" t="s">
        <v>1609</v>
      </c>
      <c r="C3231" s="376" t="s">
        <v>1051</v>
      </c>
      <c r="D3231" s="376">
        <v>2027</v>
      </c>
      <c r="E3231" s="376">
        <v>2027</v>
      </c>
      <c r="F3231" s="376">
        <v>0.23884589662749595</v>
      </c>
      <c r="G3231" s="376">
        <v>10426.102375692073</v>
      </c>
      <c r="H3231" s="376">
        <v>0</v>
      </c>
      <c r="I3231" s="376">
        <v>1</v>
      </c>
    </row>
    <row r="3232" spans="1:9" x14ac:dyDescent="0.35">
      <c r="A3232" s="376" t="s">
        <v>1605</v>
      </c>
      <c r="B3232" s="376" t="s">
        <v>1609</v>
      </c>
      <c r="C3232" s="376" t="s">
        <v>1054</v>
      </c>
      <c r="D3232" s="376">
        <v>2027</v>
      </c>
      <c r="E3232" s="376">
        <v>2027</v>
      </c>
      <c r="F3232" s="376">
        <v>0.23884589662749595</v>
      </c>
      <c r="G3232" s="376">
        <v>10426.102375692073</v>
      </c>
      <c r="H3232" s="376">
        <v>0</v>
      </c>
      <c r="I3232" s="376">
        <v>1</v>
      </c>
    </row>
    <row r="3233" spans="1:9" x14ac:dyDescent="0.35">
      <c r="A3233" s="376" t="s">
        <v>1605</v>
      </c>
      <c r="B3233" s="376" t="s">
        <v>1609</v>
      </c>
      <c r="C3233" s="376" t="s">
        <v>1046</v>
      </c>
      <c r="D3233" s="376">
        <v>2027</v>
      </c>
      <c r="E3233" s="376">
        <v>2028</v>
      </c>
      <c r="F3233" s="376">
        <v>0.23884589662749595</v>
      </c>
      <c r="G3233" s="376">
        <v>10426.102375692073</v>
      </c>
      <c r="H3233" s="376">
        <v>0</v>
      </c>
      <c r="I3233" s="376">
        <v>1</v>
      </c>
    </row>
    <row r="3234" spans="1:9" x14ac:dyDescent="0.35">
      <c r="A3234" s="376" t="s">
        <v>1605</v>
      </c>
      <c r="B3234" s="376" t="s">
        <v>1609</v>
      </c>
      <c r="C3234" s="376" t="s">
        <v>644</v>
      </c>
      <c r="D3234" s="376">
        <v>2027</v>
      </c>
      <c r="E3234" s="376">
        <v>2028</v>
      </c>
      <c r="F3234" s="376">
        <v>0.23884589662749595</v>
      </c>
      <c r="G3234" s="376">
        <v>10426.102375692073</v>
      </c>
      <c r="H3234" s="376">
        <v>0</v>
      </c>
      <c r="I3234" s="376">
        <v>1</v>
      </c>
    </row>
    <row r="3235" spans="1:9" x14ac:dyDescent="0.35">
      <c r="A3235" s="376" t="s">
        <v>1605</v>
      </c>
      <c r="B3235" s="376" t="s">
        <v>1609</v>
      </c>
      <c r="C3235" s="376" t="s">
        <v>628</v>
      </c>
      <c r="D3235" s="376">
        <v>2027</v>
      </c>
      <c r="E3235" s="376">
        <v>2028</v>
      </c>
      <c r="F3235" s="376">
        <v>0.23884589662749595</v>
      </c>
      <c r="G3235" s="376">
        <v>10426.102375692073</v>
      </c>
      <c r="H3235" s="376">
        <v>0</v>
      </c>
      <c r="I3235" s="376">
        <v>1</v>
      </c>
    </row>
    <row r="3236" spans="1:9" x14ac:dyDescent="0.35">
      <c r="A3236" s="376" t="s">
        <v>1605</v>
      </c>
      <c r="B3236" s="376" t="s">
        <v>1609</v>
      </c>
      <c r="C3236" s="376" t="s">
        <v>1051</v>
      </c>
      <c r="D3236" s="376">
        <v>2027</v>
      </c>
      <c r="E3236" s="376">
        <v>2028</v>
      </c>
      <c r="F3236" s="376">
        <v>0.23884589662749595</v>
      </c>
      <c r="G3236" s="376">
        <v>10426.102375692073</v>
      </c>
      <c r="H3236" s="376">
        <v>0</v>
      </c>
      <c r="I3236" s="376">
        <v>1</v>
      </c>
    </row>
    <row r="3237" spans="1:9" x14ac:dyDescent="0.35">
      <c r="A3237" s="376" t="s">
        <v>1605</v>
      </c>
      <c r="B3237" s="376" t="s">
        <v>1609</v>
      </c>
      <c r="C3237" s="376" t="s">
        <v>1054</v>
      </c>
      <c r="D3237" s="376">
        <v>2027</v>
      </c>
      <c r="E3237" s="376">
        <v>2028</v>
      </c>
      <c r="F3237" s="376">
        <v>0.23884589662749595</v>
      </c>
      <c r="G3237" s="376">
        <v>10426.102375692073</v>
      </c>
      <c r="H3237" s="376">
        <v>0</v>
      </c>
      <c r="I3237" s="376">
        <v>1</v>
      </c>
    </row>
    <row r="3238" spans="1:9" x14ac:dyDescent="0.35">
      <c r="A3238" s="376" t="s">
        <v>1605</v>
      </c>
      <c r="B3238" s="376" t="s">
        <v>1609</v>
      </c>
      <c r="C3238" s="376" t="s">
        <v>1046</v>
      </c>
      <c r="D3238" s="376">
        <v>2027</v>
      </c>
      <c r="E3238" s="376">
        <v>2029</v>
      </c>
      <c r="F3238" s="376">
        <v>0.23884589662749595</v>
      </c>
      <c r="G3238" s="376">
        <v>10426.102375692073</v>
      </c>
      <c r="H3238" s="376">
        <v>0</v>
      </c>
      <c r="I3238" s="376">
        <v>1</v>
      </c>
    </row>
    <row r="3239" spans="1:9" x14ac:dyDescent="0.35">
      <c r="A3239" s="376" t="s">
        <v>1605</v>
      </c>
      <c r="B3239" s="376" t="s">
        <v>1609</v>
      </c>
      <c r="C3239" s="376" t="s">
        <v>644</v>
      </c>
      <c r="D3239" s="376">
        <v>2027</v>
      </c>
      <c r="E3239" s="376">
        <v>2029</v>
      </c>
      <c r="F3239" s="376">
        <v>0.23884589662749595</v>
      </c>
      <c r="G3239" s="376">
        <v>10426.102375692073</v>
      </c>
      <c r="H3239" s="376">
        <v>0</v>
      </c>
      <c r="I3239" s="376">
        <v>1</v>
      </c>
    </row>
    <row r="3240" spans="1:9" x14ac:dyDescent="0.35">
      <c r="A3240" s="376" t="s">
        <v>1605</v>
      </c>
      <c r="B3240" s="376" t="s">
        <v>1609</v>
      </c>
      <c r="C3240" s="376" t="s">
        <v>628</v>
      </c>
      <c r="D3240" s="376">
        <v>2027</v>
      </c>
      <c r="E3240" s="376">
        <v>2029</v>
      </c>
      <c r="F3240" s="376">
        <v>0.23884589662749595</v>
      </c>
      <c r="G3240" s="376">
        <v>10426.102375692073</v>
      </c>
      <c r="H3240" s="376">
        <v>0</v>
      </c>
      <c r="I3240" s="376">
        <v>1</v>
      </c>
    </row>
    <row r="3241" spans="1:9" x14ac:dyDescent="0.35">
      <c r="A3241" s="376" t="s">
        <v>1605</v>
      </c>
      <c r="B3241" s="376" t="s">
        <v>1609</v>
      </c>
      <c r="C3241" s="376" t="s">
        <v>1051</v>
      </c>
      <c r="D3241" s="376">
        <v>2027</v>
      </c>
      <c r="E3241" s="376">
        <v>2029</v>
      </c>
      <c r="F3241" s="376">
        <v>0.23884589662749595</v>
      </c>
      <c r="G3241" s="376">
        <v>10426.102375692073</v>
      </c>
      <c r="H3241" s="376">
        <v>0</v>
      </c>
      <c r="I3241" s="376">
        <v>1</v>
      </c>
    </row>
    <row r="3242" spans="1:9" x14ac:dyDescent="0.35">
      <c r="A3242" s="376" t="s">
        <v>1605</v>
      </c>
      <c r="B3242" s="376" t="s">
        <v>1609</v>
      </c>
      <c r="C3242" s="376" t="s">
        <v>1054</v>
      </c>
      <c r="D3242" s="376">
        <v>2027</v>
      </c>
      <c r="E3242" s="376">
        <v>2029</v>
      </c>
      <c r="F3242" s="376">
        <v>0.23884589662749595</v>
      </c>
      <c r="G3242" s="376">
        <v>10426.102375692073</v>
      </c>
      <c r="H3242" s="376">
        <v>0</v>
      </c>
      <c r="I3242" s="376">
        <v>1</v>
      </c>
    </row>
    <row r="3243" spans="1:9" x14ac:dyDescent="0.35">
      <c r="A3243" s="376" t="s">
        <v>1605</v>
      </c>
      <c r="B3243" s="376" t="s">
        <v>1609</v>
      </c>
      <c r="C3243" s="376" t="s">
        <v>1046</v>
      </c>
      <c r="D3243" s="376">
        <v>2027</v>
      </c>
      <c r="E3243" s="376">
        <v>2030</v>
      </c>
      <c r="F3243" s="376">
        <v>0.23884589662749595</v>
      </c>
      <c r="G3243" s="376">
        <v>10426.102375692073</v>
      </c>
      <c r="H3243" s="376">
        <v>0</v>
      </c>
      <c r="I3243" s="376">
        <v>1</v>
      </c>
    </row>
    <row r="3244" spans="1:9" x14ac:dyDescent="0.35">
      <c r="A3244" s="376" t="s">
        <v>1605</v>
      </c>
      <c r="B3244" s="376" t="s">
        <v>1609</v>
      </c>
      <c r="C3244" s="376" t="s">
        <v>644</v>
      </c>
      <c r="D3244" s="376">
        <v>2027</v>
      </c>
      <c r="E3244" s="376">
        <v>2030</v>
      </c>
      <c r="F3244" s="376">
        <v>0.23884589662749595</v>
      </c>
      <c r="G3244" s="376">
        <v>10426.102375692073</v>
      </c>
      <c r="H3244" s="376">
        <v>0</v>
      </c>
      <c r="I3244" s="376">
        <v>1</v>
      </c>
    </row>
    <row r="3245" spans="1:9" x14ac:dyDescent="0.35">
      <c r="A3245" s="376" t="s">
        <v>1605</v>
      </c>
      <c r="B3245" s="376" t="s">
        <v>1609</v>
      </c>
      <c r="C3245" s="376" t="s">
        <v>628</v>
      </c>
      <c r="D3245" s="376">
        <v>2027</v>
      </c>
      <c r="E3245" s="376">
        <v>2030</v>
      </c>
      <c r="F3245" s="376">
        <v>0.23884589662749595</v>
      </c>
      <c r="G3245" s="376">
        <v>10426.102375692073</v>
      </c>
      <c r="H3245" s="376">
        <v>0</v>
      </c>
      <c r="I3245" s="376">
        <v>1</v>
      </c>
    </row>
    <row r="3246" spans="1:9" x14ac:dyDescent="0.35">
      <c r="A3246" s="376" t="s">
        <v>1605</v>
      </c>
      <c r="B3246" s="376" t="s">
        <v>1609</v>
      </c>
      <c r="C3246" s="376" t="s">
        <v>1051</v>
      </c>
      <c r="D3246" s="376">
        <v>2027</v>
      </c>
      <c r="E3246" s="376">
        <v>2030</v>
      </c>
      <c r="F3246" s="376">
        <v>0.23884589662749595</v>
      </c>
      <c r="G3246" s="376">
        <v>10426.102375692073</v>
      </c>
      <c r="H3246" s="376">
        <v>0</v>
      </c>
      <c r="I3246" s="376">
        <v>1</v>
      </c>
    </row>
    <row r="3247" spans="1:9" x14ac:dyDescent="0.35">
      <c r="A3247" s="376" t="s">
        <v>1605</v>
      </c>
      <c r="B3247" s="376" t="s">
        <v>1609</v>
      </c>
      <c r="C3247" s="376" t="s">
        <v>1054</v>
      </c>
      <c r="D3247" s="376">
        <v>2027</v>
      </c>
      <c r="E3247" s="376">
        <v>2030</v>
      </c>
      <c r="F3247" s="376">
        <v>0.23884589662749595</v>
      </c>
      <c r="G3247" s="376">
        <v>10426.102375692073</v>
      </c>
      <c r="H3247" s="376">
        <v>0</v>
      </c>
      <c r="I3247" s="376">
        <v>1</v>
      </c>
    </row>
    <row r="3248" spans="1:9" x14ac:dyDescent="0.35">
      <c r="A3248" s="376" t="s">
        <v>1605</v>
      </c>
      <c r="B3248" s="376" t="s">
        <v>1609</v>
      </c>
      <c r="C3248" s="376" t="s">
        <v>1046</v>
      </c>
      <c r="D3248" s="376">
        <v>2027</v>
      </c>
      <c r="E3248" s="376">
        <v>2031</v>
      </c>
      <c r="F3248" s="376">
        <v>0.23884589662749595</v>
      </c>
      <c r="G3248" s="376">
        <v>10426.102375692073</v>
      </c>
      <c r="H3248" s="376">
        <v>0</v>
      </c>
      <c r="I3248" s="376">
        <v>1</v>
      </c>
    </row>
    <row r="3249" spans="1:9" x14ac:dyDescent="0.35">
      <c r="A3249" s="376" t="s">
        <v>1605</v>
      </c>
      <c r="B3249" s="376" t="s">
        <v>1609</v>
      </c>
      <c r="C3249" s="376" t="s">
        <v>644</v>
      </c>
      <c r="D3249" s="376">
        <v>2027</v>
      </c>
      <c r="E3249" s="376">
        <v>2031</v>
      </c>
      <c r="F3249" s="376">
        <v>0.23884589662749595</v>
      </c>
      <c r="G3249" s="376">
        <v>10426.102375692073</v>
      </c>
      <c r="H3249" s="376">
        <v>0</v>
      </c>
      <c r="I3249" s="376">
        <v>1</v>
      </c>
    </row>
    <row r="3250" spans="1:9" x14ac:dyDescent="0.35">
      <c r="A3250" s="376" t="s">
        <v>1605</v>
      </c>
      <c r="B3250" s="376" t="s">
        <v>1609</v>
      </c>
      <c r="C3250" s="376" t="s">
        <v>628</v>
      </c>
      <c r="D3250" s="376">
        <v>2027</v>
      </c>
      <c r="E3250" s="376">
        <v>2031</v>
      </c>
      <c r="F3250" s="376">
        <v>0.23884589662749595</v>
      </c>
      <c r="G3250" s="376">
        <v>10426.102375692073</v>
      </c>
      <c r="H3250" s="376">
        <v>0</v>
      </c>
      <c r="I3250" s="376">
        <v>1</v>
      </c>
    </row>
    <row r="3251" spans="1:9" x14ac:dyDescent="0.35">
      <c r="A3251" s="376" t="s">
        <v>1605</v>
      </c>
      <c r="B3251" s="376" t="s">
        <v>1609</v>
      </c>
      <c r="C3251" s="376" t="s">
        <v>1051</v>
      </c>
      <c r="D3251" s="376">
        <v>2027</v>
      </c>
      <c r="E3251" s="376">
        <v>2031</v>
      </c>
      <c r="F3251" s="376">
        <v>0.23884589662749595</v>
      </c>
      <c r="G3251" s="376">
        <v>10426.102375692073</v>
      </c>
      <c r="H3251" s="376">
        <v>0</v>
      </c>
      <c r="I3251" s="376">
        <v>1</v>
      </c>
    </row>
    <row r="3252" spans="1:9" x14ac:dyDescent="0.35">
      <c r="A3252" s="376" t="s">
        <v>1605</v>
      </c>
      <c r="B3252" s="376" t="s">
        <v>1609</v>
      </c>
      <c r="C3252" s="376" t="s">
        <v>1054</v>
      </c>
      <c r="D3252" s="376">
        <v>2027</v>
      </c>
      <c r="E3252" s="376">
        <v>2031</v>
      </c>
      <c r="F3252" s="376">
        <v>0.23884589662749595</v>
      </c>
      <c r="G3252" s="376">
        <v>10426.102375692073</v>
      </c>
      <c r="H3252" s="376">
        <v>0</v>
      </c>
      <c r="I3252" s="376">
        <v>1</v>
      </c>
    </row>
    <row r="3253" spans="1:9" x14ac:dyDescent="0.35">
      <c r="A3253" s="376" t="s">
        <v>1636</v>
      </c>
      <c r="B3253" s="376" t="s">
        <v>1609</v>
      </c>
      <c r="C3253" s="376" t="s">
        <v>1046</v>
      </c>
      <c r="D3253" s="376">
        <v>2027</v>
      </c>
      <c r="E3253" s="376">
        <v>2027</v>
      </c>
      <c r="F3253" s="376">
        <v>1</v>
      </c>
      <c r="G3253" s="376">
        <v>3381.3025762555003</v>
      </c>
      <c r="H3253" s="376">
        <v>0</v>
      </c>
      <c r="I3253" s="376">
        <v>1</v>
      </c>
    </row>
    <row r="3254" spans="1:9" x14ac:dyDescent="0.35">
      <c r="A3254" s="376" t="s">
        <v>1636</v>
      </c>
      <c r="B3254" s="376" t="s">
        <v>1609</v>
      </c>
      <c r="C3254" s="376" t="s">
        <v>644</v>
      </c>
      <c r="D3254" s="376">
        <v>2027</v>
      </c>
      <c r="E3254" s="376">
        <v>2027</v>
      </c>
      <c r="F3254" s="376">
        <v>1</v>
      </c>
      <c r="G3254" s="376">
        <v>3381.3025762555003</v>
      </c>
      <c r="H3254" s="376">
        <v>0</v>
      </c>
      <c r="I3254" s="376">
        <v>1</v>
      </c>
    </row>
    <row r="3255" spans="1:9" x14ac:dyDescent="0.35">
      <c r="A3255" s="376" t="s">
        <v>1636</v>
      </c>
      <c r="B3255" s="376" t="s">
        <v>1609</v>
      </c>
      <c r="C3255" s="376" t="s">
        <v>628</v>
      </c>
      <c r="D3255" s="376">
        <v>2027</v>
      </c>
      <c r="E3255" s="376">
        <v>2027</v>
      </c>
      <c r="F3255" s="376">
        <v>1</v>
      </c>
      <c r="G3255" s="376">
        <v>3381.3025762555003</v>
      </c>
      <c r="H3255" s="376">
        <v>0</v>
      </c>
      <c r="I3255" s="376">
        <v>1</v>
      </c>
    </row>
    <row r="3256" spans="1:9" x14ac:dyDescent="0.35">
      <c r="A3256" s="376" t="s">
        <v>1636</v>
      </c>
      <c r="B3256" s="376" t="s">
        <v>1609</v>
      </c>
      <c r="C3256" s="376" t="s">
        <v>1051</v>
      </c>
      <c r="D3256" s="376">
        <v>2027</v>
      </c>
      <c r="E3256" s="376">
        <v>2027</v>
      </c>
      <c r="F3256" s="376">
        <v>1</v>
      </c>
      <c r="G3256" s="376">
        <v>3381.3025762555003</v>
      </c>
      <c r="H3256" s="376">
        <v>0</v>
      </c>
      <c r="I3256" s="376">
        <v>1</v>
      </c>
    </row>
    <row r="3257" spans="1:9" x14ac:dyDescent="0.35">
      <c r="A3257" s="376" t="s">
        <v>1636</v>
      </c>
      <c r="B3257" s="376" t="s">
        <v>1609</v>
      </c>
      <c r="C3257" s="376" t="s">
        <v>1054</v>
      </c>
      <c r="D3257" s="376">
        <v>2027</v>
      </c>
      <c r="E3257" s="376">
        <v>2027</v>
      </c>
      <c r="F3257" s="376">
        <v>1</v>
      </c>
      <c r="G3257" s="376">
        <v>3381.3025762555003</v>
      </c>
      <c r="H3257" s="376">
        <v>0</v>
      </c>
      <c r="I3257" s="376">
        <v>1</v>
      </c>
    </row>
    <row r="3258" spans="1:9" x14ac:dyDescent="0.35">
      <c r="A3258" s="376" t="s">
        <v>1636</v>
      </c>
      <c r="B3258" s="376" t="s">
        <v>1609</v>
      </c>
      <c r="C3258" s="376" t="s">
        <v>1046</v>
      </c>
      <c r="D3258" s="376">
        <v>2027</v>
      </c>
      <c r="E3258" s="376">
        <v>2028</v>
      </c>
      <c r="F3258" s="376">
        <v>1</v>
      </c>
      <c r="G3258" s="376">
        <v>3381.3025762555003</v>
      </c>
      <c r="H3258" s="376">
        <v>0</v>
      </c>
      <c r="I3258" s="376">
        <v>1</v>
      </c>
    </row>
    <row r="3259" spans="1:9" x14ac:dyDescent="0.35">
      <c r="A3259" s="376" t="s">
        <v>1636</v>
      </c>
      <c r="B3259" s="376" t="s">
        <v>1609</v>
      </c>
      <c r="C3259" s="376" t="s">
        <v>644</v>
      </c>
      <c r="D3259" s="376">
        <v>2027</v>
      </c>
      <c r="E3259" s="376">
        <v>2028</v>
      </c>
      <c r="F3259" s="376">
        <v>1</v>
      </c>
      <c r="G3259" s="376">
        <v>3381.3025762555003</v>
      </c>
      <c r="H3259" s="376">
        <v>0</v>
      </c>
      <c r="I3259" s="376">
        <v>1</v>
      </c>
    </row>
    <row r="3260" spans="1:9" x14ac:dyDescent="0.35">
      <c r="A3260" s="376" t="s">
        <v>1636</v>
      </c>
      <c r="B3260" s="376" t="s">
        <v>1609</v>
      </c>
      <c r="C3260" s="376" t="s">
        <v>628</v>
      </c>
      <c r="D3260" s="376">
        <v>2027</v>
      </c>
      <c r="E3260" s="376">
        <v>2028</v>
      </c>
      <c r="F3260" s="376">
        <v>1</v>
      </c>
      <c r="G3260" s="376">
        <v>3381.3025762555003</v>
      </c>
      <c r="H3260" s="376">
        <v>0</v>
      </c>
      <c r="I3260" s="376">
        <v>1</v>
      </c>
    </row>
    <row r="3261" spans="1:9" x14ac:dyDescent="0.35">
      <c r="A3261" s="376" t="s">
        <v>1636</v>
      </c>
      <c r="B3261" s="376" t="s">
        <v>1609</v>
      </c>
      <c r="C3261" s="376" t="s">
        <v>1051</v>
      </c>
      <c r="D3261" s="376">
        <v>2027</v>
      </c>
      <c r="E3261" s="376">
        <v>2028</v>
      </c>
      <c r="F3261" s="376">
        <v>1</v>
      </c>
      <c r="G3261" s="376">
        <v>3381.3025762555003</v>
      </c>
      <c r="H3261" s="376">
        <v>0</v>
      </c>
      <c r="I3261" s="376">
        <v>1</v>
      </c>
    </row>
    <row r="3262" spans="1:9" x14ac:dyDescent="0.35">
      <c r="A3262" s="376" t="s">
        <v>1636</v>
      </c>
      <c r="B3262" s="376" t="s">
        <v>1609</v>
      </c>
      <c r="C3262" s="376" t="s">
        <v>1054</v>
      </c>
      <c r="D3262" s="376">
        <v>2027</v>
      </c>
      <c r="E3262" s="376">
        <v>2028</v>
      </c>
      <c r="F3262" s="376">
        <v>1</v>
      </c>
      <c r="G3262" s="376">
        <v>3381.3025762555003</v>
      </c>
      <c r="H3262" s="376">
        <v>0</v>
      </c>
      <c r="I3262" s="376">
        <v>1</v>
      </c>
    </row>
    <row r="3263" spans="1:9" x14ac:dyDescent="0.35">
      <c r="A3263" s="376" t="s">
        <v>1636</v>
      </c>
      <c r="B3263" s="376" t="s">
        <v>1609</v>
      </c>
      <c r="C3263" s="376" t="s">
        <v>1046</v>
      </c>
      <c r="D3263" s="376">
        <v>2027</v>
      </c>
      <c r="E3263" s="376">
        <v>2029</v>
      </c>
      <c r="F3263" s="376">
        <v>1</v>
      </c>
      <c r="G3263" s="376">
        <v>3381.3025762555003</v>
      </c>
      <c r="H3263" s="376">
        <v>0</v>
      </c>
      <c r="I3263" s="376">
        <v>1</v>
      </c>
    </row>
    <row r="3264" spans="1:9" x14ac:dyDescent="0.35">
      <c r="A3264" s="376" t="s">
        <v>1636</v>
      </c>
      <c r="B3264" s="376" t="s">
        <v>1609</v>
      </c>
      <c r="C3264" s="376" t="s">
        <v>644</v>
      </c>
      <c r="D3264" s="376">
        <v>2027</v>
      </c>
      <c r="E3264" s="376">
        <v>2029</v>
      </c>
      <c r="F3264" s="376">
        <v>1</v>
      </c>
      <c r="G3264" s="376">
        <v>3381.3025762555003</v>
      </c>
      <c r="H3264" s="376">
        <v>0</v>
      </c>
      <c r="I3264" s="376">
        <v>1</v>
      </c>
    </row>
    <row r="3265" spans="1:9" x14ac:dyDescent="0.35">
      <c r="A3265" s="376" t="s">
        <v>1636</v>
      </c>
      <c r="B3265" s="376" t="s">
        <v>1609</v>
      </c>
      <c r="C3265" s="376" t="s">
        <v>628</v>
      </c>
      <c r="D3265" s="376">
        <v>2027</v>
      </c>
      <c r="E3265" s="376">
        <v>2029</v>
      </c>
      <c r="F3265" s="376">
        <v>1</v>
      </c>
      <c r="G3265" s="376">
        <v>3381.3025762555003</v>
      </c>
      <c r="H3265" s="376">
        <v>0</v>
      </c>
      <c r="I3265" s="376">
        <v>1</v>
      </c>
    </row>
    <row r="3266" spans="1:9" x14ac:dyDescent="0.35">
      <c r="A3266" s="376" t="s">
        <v>1636</v>
      </c>
      <c r="B3266" s="376" t="s">
        <v>1609</v>
      </c>
      <c r="C3266" s="376" t="s">
        <v>1051</v>
      </c>
      <c r="D3266" s="376">
        <v>2027</v>
      </c>
      <c r="E3266" s="376">
        <v>2029</v>
      </c>
      <c r="F3266" s="376">
        <v>1</v>
      </c>
      <c r="G3266" s="376">
        <v>3381.3025762555003</v>
      </c>
      <c r="H3266" s="376">
        <v>0</v>
      </c>
      <c r="I3266" s="376">
        <v>1</v>
      </c>
    </row>
    <row r="3267" spans="1:9" x14ac:dyDescent="0.35">
      <c r="A3267" s="376" t="s">
        <v>1636</v>
      </c>
      <c r="B3267" s="376" t="s">
        <v>1609</v>
      </c>
      <c r="C3267" s="376" t="s">
        <v>1054</v>
      </c>
      <c r="D3267" s="376">
        <v>2027</v>
      </c>
      <c r="E3267" s="376">
        <v>2029</v>
      </c>
      <c r="F3267" s="376">
        <v>1</v>
      </c>
      <c r="G3267" s="376">
        <v>3381.3025762555003</v>
      </c>
      <c r="H3267" s="376">
        <v>0</v>
      </c>
      <c r="I3267" s="376">
        <v>1</v>
      </c>
    </row>
    <row r="3268" spans="1:9" x14ac:dyDescent="0.35">
      <c r="A3268" s="376" t="s">
        <v>1636</v>
      </c>
      <c r="B3268" s="376" t="s">
        <v>1609</v>
      </c>
      <c r="C3268" s="376" t="s">
        <v>1046</v>
      </c>
      <c r="D3268" s="376">
        <v>2027</v>
      </c>
      <c r="E3268" s="376">
        <v>2030</v>
      </c>
      <c r="F3268" s="376">
        <v>1</v>
      </c>
      <c r="G3268" s="376">
        <v>3381.3025762555003</v>
      </c>
      <c r="H3268" s="376">
        <v>0</v>
      </c>
      <c r="I3268" s="376">
        <v>1</v>
      </c>
    </row>
    <row r="3269" spans="1:9" x14ac:dyDescent="0.35">
      <c r="A3269" s="376" t="s">
        <v>1636</v>
      </c>
      <c r="B3269" s="376" t="s">
        <v>1609</v>
      </c>
      <c r="C3269" s="376" t="s">
        <v>644</v>
      </c>
      <c r="D3269" s="376">
        <v>2027</v>
      </c>
      <c r="E3269" s="376">
        <v>2030</v>
      </c>
      <c r="F3269" s="376">
        <v>1</v>
      </c>
      <c r="G3269" s="376">
        <v>3381.3025762555003</v>
      </c>
      <c r="H3269" s="376">
        <v>0</v>
      </c>
      <c r="I3269" s="376">
        <v>1</v>
      </c>
    </row>
    <row r="3270" spans="1:9" x14ac:dyDescent="0.35">
      <c r="A3270" s="376" t="s">
        <v>1636</v>
      </c>
      <c r="B3270" s="376" t="s">
        <v>1609</v>
      </c>
      <c r="C3270" s="376" t="s">
        <v>628</v>
      </c>
      <c r="D3270" s="376">
        <v>2027</v>
      </c>
      <c r="E3270" s="376">
        <v>2030</v>
      </c>
      <c r="F3270" s="376">
        <v>1</v>
      </c>
      <c r="G3270" s="376">
        <v>3381.3025762555003</v>
      </c>
      <c r="H3270" s="376">
        <v>0</v>
      </c>
      <c r="I3270" s="376">
        <v>1</v>
      </c>
    </row>
    <row r="3271" spans="1:9" x14ac:dyDescent="0.35">
      <c r="A3271" s="376" t="s">
        <v>1636</v>
      </c>
      <c r="B3271" s="376" t="s">
        <v>1609</v>
      </c>
      <c r="C3271" s="376" t="s">
        <v>1051</v>
      </c>
      <c r="D3271" s="376">
        <v>2027</v>
      </c>
      <c r="E3271" s="376">
        <v>2030</v>
      </c>
      <c r="F3271" s="376">
        <v>1</v>
      </c>
      <c r="G3271" s="376">
        <v>3381.3025762555003</v>
      </c>
      <c r="H3271" s="376">
        <v>0</v>
      </c>
      <c r="I3271" s="376">
        <v>1</v>
      </c>
    </row>
    <row r="3272" spans="1:9" x14ac:dyDescent="0.35">
      <c r="A3272" s="376" t="s">
        <v>1636</v>
      </c>
      <c r="B3272" s="376" t="s">
        <v>1609</v>
      </c>
      <c r="C3272" s="376" t="s">
        <v>1054</v>
      </c>
      <c r="D3272" s="376">
        <v>2027</v>
      </c>
      <c r="E3272" s="376">
        <v>2030</v>
      </c>
      <c r="F3272" s="376">
        <v>1</v>
      </c>
      <c r="G3272" s="376">
        <v>3381.3025762555003</v>
      </c>
      <c r="H3272" s="376">
        <v>0</v>
      </c>
      <c r="I3272" s="376">
        <v>1</v>
      </c>
    </row>
    <row r="3273" spans="1:9" x14ac:dyDescent="0.35">
      <c r="A3273" s="376" t="s">
        <v>1636</v>
      </c>
      <c r="B3273" s="376" t="s">
        <v>1609</v>
      </c>
      <c r="C3273" s="376" t="s">
        <v>1046</v>
      </c>
      <c r="D3273" s="376">
        <v>2027</v>
      </c>
      <c r="E3273" s="376">
        <v>2031</v>
      </c>
      <c r="F3273" s="376">
        <v>1</v>
      </c>
      <c r="G3273" s="376">
        <v>3381.3025762555003</v>
      </c>
      <c r="H3273" s="376">
        <v>0</v>
      </c>
      <c r="I3273" s="376">
        <v>1</v>
      </c>
    </row>
    <row r="3274" spans="1:9" x14ac:dyDescent="0.35">
      <c r="A3274" s="376" t="s">
        <v>1636</v>
      </c>
      <c r="B3274" s="376" t="s">
        <v>1609</v>
      </c>
      <c r="C3274" s="376" t="s">
        <v>644</v>
      </c>
      <c r="D3274" s="376">
        <v>2027</v>
      </c>
      <c r="E3274" s="376">
        <v>2031</v>
      </c>
      <c r="F3274" s="376">
        <v>1</v>
      </c>
      <c r="G3274" s="376">
        <v>3381.3025762555003</v>
      </c>
      <c r="H3274" s="376">
        <v>0</v>
      </c>
      <c r="I3274" s="376">
        <v>1</v>
      </c>
    </row>
    <row r="3275" spans="1:9" x14ac:dyDescent="0.35">
      <c r="A3275" s="376" t="s">
        <v>1636</v>
      </c>
      <c r="B3275" s="376" t="s">
        <v>1609</v>
      </c>
      <c r="C3275" s="376" t="s">
        <v>628</v>
      </c>
      <c r="D3275" s="376">
        <v>2027</v>
      </c>
      <c r="E3275" s="376">
        <v>2031</v>
      </c>
      <c r="F3275" s="376">
        <v>1</v>
      </c>
      <c r="G3275" s="376">
        <v>3381.3025762555003</v>
      </c>
      <c r="H3275" s="376">
        <v>0</v>
      </c>
      <c r="I3275" s="376">
        <v>1</v>
      </c>
    </row>
    <row r="3276" spans="1:9" x14ac:dyDescent="0.35">
      <c r="A3276" s="376" t="s">
        <v>1636</v>
      </c>
      <c r="B3276" s="376" t="s">
        <v>1609</v>
      </c>
      <c r="C3276" s="376" t="s">
        <v>1051</v>
      </c>
      <c r="D3276" s="376">
        <v>2027</v>
      </c>
      <c r="E3276" s="376">
        <v>2031</v>
      </c>
      <c r="F3276" s="376">
        <v>1</v>
      </c>
      <c r="G3276" s="376">
        <v>3381.3025762555003</v>
      </c>
      <c r="H3276" s="376">
        <v>0</v>
      </c>
      <c r="I3276" s="376">
        <v>1</v>
      </c>
    </row>
    <row r="3277" spans="1:9" x14ac:dyDescent="0.35">
      <c r="A3277" s="376" t="s">
        <v>1636</v>
      </c>
      <c r="B3277" s="376" t="s">
        <v>1609</v>
      </c>
      <c r="C3277" s="376" t="s">
        <v>1054</v>
      </c>
      <c r="D3277" s="376">
        <v>2027</v>
      </c>
      <c r="E3277" s="376">
        <v>2031</v>
      </c>
      <c r="F3277" s="376">
        <v>1</v>
      </c>
      <c r="G3277" s="376">
        <v>3381.3025762555003</v>
      </c>
      <c r="H3277" s="376">
        <v>0</v>
      </c>
      <c r="I3277" s="376">
        <v>1</v>
      </c>
    </row>
    <row r="3278" spans="1:9" x14ac:dyDescent="0.35">
      <c r="A3278" s="376" t="s">
        <v>1606</v>
      </c>
      <c r="B3278" s="376" t="s">
        <v>1609</v>
      </c>
      <c r="C3278" s="376" t="s">
        <v>1046</v>
      </c>
      <c r="D3278" s="376">
        <v>2027</v>
      </c>
      <c r="E3278" s="376">
        <v>2027</v>
      </c>
      <c r="F3278" s="376">
        <v>1</v>
      </c>
      <c r="G3278" s="376">
        <v>5815.3523642425034</v>
      </c>
      <c r="H3278" s="376">
        <v>0</v>
      </c>
      <c r="I3278" s="376">
        <v>1</v>
      </c>
    </row>
    <row r="3279" spans="1:9" x14ac:dyDescent="0.35">
      <c r="A3279" s="376" t="s">
        <v>1606</v>
      </c>
      <c r="B3279" s="376" t="s">
        <v>1609</v>
      </c>
      <c r="C3279" s="376" t="s">
        <v>644</v>
      </c>
      <c r="D3279" s="376">
        <v>2027</v>
      </c>
      <c r="E3279" s="376">
        <v>2027</v>
      </c>
      <c r="F3279" s="376">
        <v>1</v>
      </c>
      <c r="G3279" s="376">
        <v>5815.3523642425034</v>
      </c>
      <c r="H3279" s="376">
        <v>0</v>
      </c>
      <c r="I3279" s="376">
        <v>1</v>
      </c>
    </row>
    <row r="3280" spans="1:9" x14ac:dyDescent="0.35">
      <c r="A3280" s="376" t="s">
        <v>1606</v>
      </c>
      <c r="B3280" s="376" t="s">
        <v>1609</v>
      </c>
      <c r="C3280" s="376" t="s">
        <v>628</v>
      </c>
      <c r="D3280" s="376">
        <v>2027</v>
      </c>
      <c r="E3280" s="376">
        <v>2027</v>
      </c>
      <c r="F3280" s="376">
        <v>1</v>
      </c>
      <c r="G3280" s="376">
        <v>5815.3523642425034</v>
      </c>
      <c r="H3280" s="376">
        <v>0</v>
      </c>
      <c r="I3280" s="376">
        <v>1</v>
      </c>
    </row>
    <row r="3281" spans="1:9" x14ac:dyDescent="0.35">
      <c r="A3281" s="376" t="s">
        <v>1606</v>
      </c>
      <c r="B3281" s="376" t="s">
        <v>1609</v>
      </c>
      <c r="C3281" s="376" t="s">
        <v>1051</v>
      </c>
      <c r="D3281" s="376">
        <v>2027</v>
      </c>
      <c r="E3281" s="376">
        <v>2027</v>
      </c>
      <c r="F3281" s="376">
        <v>1</v>
      </c>
      <c r="G3281" s="376">
        <v>5815.3523642425034</v>
      </c>
      <c r="H3281" s="376">
        <v>0</v>
      </c>
      <c r="I3281" s="376">
        <v>1</v>
      </c>
    </row>
    <row r="3282" spans="1:9" x14ac:dyDescent="0.35">
      <c r="A3282" s="376" t="s">
        <v>1606</v>
      </c>
      <c r="B3282" s="376" t="s">
        <v>1609</v>
      </c>
      <c r="C3282" s="376" t="s">
        <v>1054</v>
      </c>
      <c r="D3282" s="376">
        <v>2027</v>
      </c>
      <c r="E3282" s="376">
        <v>2027</v>
      </c>
      <c r="F3282" s="376">
        <v>1</v>
      </c>
      <c r="G3282" s="376">
        <v>5815.3523642425034</v>
      </c>
      <c r="H3282" s="376">
        <v>0</v>
      </c>
      <c r="I3282" s="376">
        <v>1</v>
      </c>
    </row>
    <row r="3283" spans="1:9" x14ac:dyDescent="0.35">
      <c r="A3283" s="376" t="s">
        <v>1606</v>
      </c>
      <c r="B3283" s="376" t="s">
        <v>1609</v>
      </c>
      <c r="C3283" s="376" t="s">
        <v>1046</v>
      </c>
      <c r="D3283" s="376">
        <v>2027</v>
      </c>
      <c r="E3283" s="376">
        <v>2028</v>
      </c>
      <c r="F3283" s="376">
        <v>1</v>
      </c>
      <c r="G3283" s="376">
        <v>5815.3523642425034</v>
      </c>
      <c r="H3283" s="376">
        <v>0</v>
      </c>
      <c r="I3283" s="376">
        <v>1</v>
      </c>
    </row>
    <row r="3284" spans="1:9" x14ac:dyDescent="0.35">
      <c r="A3284" s="376" t="s">
        <v>1606</v>
      </c>
      <c r="B3284" s="376" t="s">
        <v>1609</v>
      </c>
      <c r="C3284" s="376" t="s">
        <v>644</v>
      </c>
      <c r="D3284" s="376">
        <v>2027</v>
      </c>
      <c r="E3284" s="376">
        <v>2028</v>
      </c>
      <c r="F3284" s="376">
        <v>1</v>
      </c>
      <c r="G3284" s="376">
        <v>5815.3523642425034</v>
      </c>
      <c r="H3284" s="376">
        <v>0</v>
      </c>
      <c r="I3284" s="376">
        <v>1</v>
      </c>
    </row>
    <row r="3285" spans="1:9" x14ac:dyDescent="0.35">
      <c r="A3285" s="376" t="s">
        <v>1606</v>
      </c>
      <c r="B3285" s="376" t="s">
        <v>1609</v>
      </c>
      <c r="C3285" s="376" t="s">
        <v>628</v>
      </c>
      <c r="D3285" s="376">
        <v>2027</v>
      </c>
      <c r="E3285" s="376">
        <v>2028</v>
      </c>
      <c r="F3285" s="376">
        <v>1</v>
      </c>
      <c r="G3285" s="376">
        <v>5815.3523642425034</v>
      </c>
      <c r="H3285" s="376">
        <v>0</v>
      </c>
      <c r="I3285" s="376">
        <v>1</v>
      </c>
    </row>
    <row r="3286" spans="1:9" x14ac:dyDescent="0.35">
      <c r="A3286" s="376" t="s">
        <v>1606</v>
      </c>
      <c r="B3286" s="376" t="s">
        <v>1609</v>
      </c>
      <c r="C3286" s="376" t="s">
        <v>1051</v>
      </c>
      <c r="D3286" s="376">
        <v>2027</v>
      </c>
      <c r="E3286" s="376">
        <v>2028</v>
      </c>
      <c r="F3286" s="376">
        <v>1</v>
      </c>
      <c r="G3286" s="376">
        <v>5815.3523642425034</v>
      </c>
      <c r="H3286" s="376">
        <v>0</v>
      </c>
      <c r="I3286" s="376">
        <v>1</v>
      </c>
    </row>
    <row r="3287" spans="1:9" x14ac:dyDescent="0.35">
      <c r="A3287" s="376" t="s">
        <v>1606</v>
      </c>
      <c r="B3287" s="376" t="s">
        <v>1609</v>
      </c>
      <c r="C3287" s="376" t="s">
        <v>1054</v>
      </c>
      <c r="D3287" s="376">
        <v>2027</v>
      </c>
      <c r="E3287" s="376">
        <v>2028</v>
      </c>
      <c r="F3287" s="376">
        <v>1</v>
      </c>
      <c r="G3287" s="376">
        <v>5815.3523642425034</v>
      </c>
      <c r="H3287" s="376">
        <v>0</v>
      </c>
      <c r="I3287" s="376">
        <v>1</v>
      </c>
    </row>
    <row r="3288" spans="1:9" x14ac:dyDescent="0.35">
      <c r="A3288" s="376" t="s">
        <v>1606</v>
      </c>
      <c r="B3288" s="376" t="s">
        <v>1609</v>
      </c>
      <c r="C3288" s="376" t="s">
        <v>1046</v>
      </c>
      <c r="D3288" s="376">
        <v>2027</v>
      </c>
      <c r="E3288" s="376">
        <v>2029</v>
      </c>
      <c r="F3288" s="376">
        <v>1</v>
      </c>
      <c r="G3288" s="376">
        <v>5815.3523642425034</v>
      </c>
      <c r="H3288" s="376">
        <v>0</v>
      </c>
      <c r="I3288" s="376">
        <v>1</v>
      </c>
    </row>
    <row r="3289" spans="1:9" x14ac:dyDescent="0.35">
      <c r="A3289" s="376" t="s">
        <v>1606</v>
      </c>
      <c r="B3289" s="376" t="s">
        <v>1609</v>
      </c>
      <c r="C3289" s="376" t="s">
        <v>644</v>
      </c>
      <c r="D3289" s="376">
        <v>2027</v>
      </c>
      <c r="E3289" s="376">
        <v>2029</v>
      </c>
      <c r="F3289" s="376">
        <v>1</v>
      </c>
      <c r="G3289" s="376">
        <v>5815.3523642425034</v>
      </c>
      <c r="H3289" s="376">
        <v>0</v>
      </c>
      <c r="I3289" s="376">
        <v>1</v>
      </c>
    </row>
    <row r="3290" spans="1:9" x14ac:dyDescent="0.35">
      <c r="A3290" s="376" t="s">
        <v>1606</v>
      </c>
      <c r="B3290" s="376" t="s">
        <v>1609</v>
      </c>
      <c r="C3290" s="376" t="s">
        <v>628</v>
      </c>
      <c r="D3290" s="376">
        <v>2027</v>
      </c>
      <c r="E3290" s="376">
        <v>2029</v>
      </c>
      <c r="F3290" s="376">
        <v>1</v>
      </c>
      <c r="G3290" s="376">
        <v>5815.3523642425034</v>
      </c>
      <c r="H3290" s="376">
        <v>0</v>
      </c>
      <c r="I3290" s="376">
        <v>1</v>
      </c>
    </row>
    <row r="3291" spans="1:9" x14ac:dyDescent="0.35">
      <c r="A3291" s="376" t="s">
        <v>1606</v>
      </c>
      <c r="B3291" s="376" t="s">
        <v>1609</v>
      </c>
      <c r="C3291" s="376" t="s">
        <v>1051</v>
      </c>
      <c r="D3291" s="376">
        <v>2027</v>
      </c>
      <c r="E3291" s="376">
        <v>2029</v>
      </c>
      <c r="F3291" s="376">
        <v>1</v>
      </c>
      <c r="G3291" s="376">
        <v>5815.3523642425034</v>
      </c>
      <c r="H3291" s="376">
        <v>0</v>
      </c>
      <c r="I3291" s="376">
        <v>1</v>
      </c>
    </row>
    <row r="3292" spans="1:9" x14ac:dyDescent="0.35">
      <c r="A3292" s="376" t="s">
        <v>1606</v>
      </c>
      <c r="B3292" s="376" t="s">
        <v>1609</v>
      </c>
      <c r="C3292" s="376" t="s">
        <v>1054</v>
      </c>
      <c r="D3292" s="376">
        <v>2027</v>
      </c>
      <c r="E3292" s="376">
        <v>2029</v>
      </c>
      <c r="F3292" s="376">
        <v>1</v>
      </c>
      <c r="G3292" s="376">
        <v>5815.3523642425034</v>
      </c>
      <c r="H3292" s="376">
        <v>0</v>
      </c>
      <c r="I3292" s="376">
        <v>1</v>
      </c>
    </row>
    <row r="3293" spans="1:9" x14ac:dyDescent="0.35">
      <c r="A3293" s="376" t="s">
        <v>1606</v>
      </c>
      <c r="B3293" s="376" t="s">
        <v>1609</v>
      </c>
      <c r="C3293" s="376" t="s">
        <v>1046</v>
      </c>
      <c r="D3293" s="376">
        <v>2027</v>
      </c>
      <c r="E3293" s="376">
        <v>2030</v>
      </c>
      <c r="F3293" s="376">
        <v>1</v>
      </c>
      <c r="G3293" s="376">
        <v>5815.3523642425034</v>
      </c>
      <c r="H3293" s="376">
        <v>0</v>
      </c>
      <c r="I3293" s="376">
        <v>1</v>
      </c>
    </row>
    <row r="3294" spans="1:9" x14ac:dyDescent="0.35">
      <c r="A3294" s="376" t="s">
        <v>1606</v>
      </c>
      <c r="B3294" s="376" t="s">
        <v>1609</v>
      </c>
      <c r="C3294" s="376" t="s">
        <v>644</v>
      </c>
      <c r="D3294" s="376">
        <v>2027</v>
      </c>
      <c r="E3294" s="376">
        <v>2030</v>
      </c>
      <c r="F3294" s="376">
        <v>1</v>
      </c>
      <c r="G3294" s="376">
        <v>5815.3523642425034</v>
      </c>
      <c r="H3294" s="376">
        <v>0</v>
      </c>
      <c r="I3294" s="376">
        <v>1</v>
      </c>
    </row>
    <row r="3295" spans="1:9" x14ac:dyDescent="0.35">
      <c r="A3295" s="376" t="s">
        <v>1606</v>
      </c>
      <c r="B3295" s="376" t="s">
        <v>1609</v>
      </c>
      <c r="C3295" s="376" t="s">
        <v>628</v>
      </c>
      <c r="D3295" s="376">
        <v>2027</v>
      </c>
      <c r="E3295" s="376">
        <v>2030</v>
      </c>
      <c r="F3295" s="376">
        <v>1</v>
      </c>
      <c r="G3295" s="376">
        <v>5815.3523642425034</v>
      </c>
      <c r="H3295" s="376">
        <v>0</v>
      </c>
      <c r="I3295" s="376">
        <v>1</v>
      </c>
    </row>
    <row r="3296" spans="1:9" x14ac:dyDescent="0.35">
      <c r="A3296" s="376" t="s">
        <v>1606</v>
      </c>
      <c r="B3296" s="376" t="s">
        <v>1609</v>
      </c>
      <c r="C3296" s="376" t="s">
        <v>1051</v>
      </c>
      <c r="D3296" s="376">
        <v>2027</v>
      </c>
      <c r="E3296" s="376">
        <v>2030</v>
      </c>
      <c r="F3296" s="376">
        <v>1</v>
      </c>
      <c r="G3296" s="376">
        <v>5815.3523642425034</v>
      </c>
      <c r="H3296" s="376">
        <v>0</v>
      </c>
      <c r="I3296" s="376">
        <v>1</v>
      </c>
    </row>
    <row r="3297" spans="1:9" x14ac:dyDescent="0.35">
      <c r="A3297" s="376" t="s">
        <v>1606</v>
      </c>
      <c r="B3297" s="376" t="s">
        <v>1609</v>
      </c>
      <c r="C3297" s="376" t="s">
        <v>1054</v>
      </c>
      <c r="D3297" s="376">
        <v>2027</v>
      </c>
      <c r="E3297" s="376">
        <v>2030</v>
      </c>
      <c r="F3297" s="376">
        <v>1</v>
      </c>
      <c r="G3297" s="376">
        <v>5815.3523642425034</v>
      </c>
      <c r="H3297" s="376">
        <v>0</v>
      </c>
      <c r="I3297" s="376">
        <v>1</v>
      </c>
    </row>
    <row r="3298" spans="1:9" x14ac:dyDescent="0.35">
      <c r="A3298" s="376" t="s">
        <v>1606</v>
      </c>
      <c r="B3298" s="376" t="s">
        <v>1609</v>
      </c>
      <c r="C3298" s="376" t="s">
        <v>1046</v>
      </c>
      <c r="D3298" s="376">
        <v>2027</v>
      </c>
      <c r="E3298" s="376">
        <v>2031</v>
      </c>
      <c r="F3298" s="376">
        <v>1</v>
      </c>
      <c r="G3298" s="376">
        <v>5815.3523642425034</v>
      </c>
      <c r="H3298" s="376">
        <v>0</v>
      </c>
      <c r="I3298" s="376">
        <v>1</v>
      </c>
    </row>
    <row r="3299" spans="1:9" x14ac:dyDescent="0.35">
      <c r="A3299" s="376" t="s">
        <v>1606</v>
      </c>
      <c r="B3299" s="376" t="s">
        <v>1609</v>
      </c>
      <c r="C3299" s="376" t="s">
        <v>644</v>
      </c>
      <c r="D3299" s="376">
        <v>2027</v>
      </c>
      <c r="E3299" s="376">
        <v>2031</v>
      </c>
      <c r="F3299" s="376">
        <v>1</v>
      </c>
      <c r="G3299" s="376">
        <v>5815.3523642425034</v>
      </c>
      <c r="H3299" s="376">
        <v>0</v>
      </c>
      <c r="I3299" s="376">
        <v>1</v>
      </c>
    </row>
    <row r="3300" spans="1:9" x14ac:dyDescent="0.35">
      <c r="A3300" s="376" t="s">
        <v>1606</v>
      </c>
      <c r="B3300" s="376" t="s">
        <v>1609</v>
      </c>
      <c r="C3300" s="376" t="s">
        <v>628</v>
      </c>
      <c r="D3300" s="376">
        <v>2027</v>
      </c>
      <c r="E3300" s="376">
        <v>2031</v>
      </c>
      <c r="F3300" s="376">
        <v>1</v>
      </c>
      <c r="G3300" s="376">
        <v>5815.3523642425034</v>
      </c>
      <c r="H3300" s="376">
        <v>0</v>
      </c>
      <c r="I3300" s="376">
        <v>1</v>
      </c>
    </row>
    <row r="3301" spans="1:9" x14ac:dyDescent="0.35">
      <c r="A3301" s="376" t="s">
        <v>1606</v>
      </c>
      <c r="B3301" s="376" t="s">
        <v>1609</v>
      </c>
      <c r="C3301" s="376" t="s">
        <v>1051</v>
      </c>
      <c r="D3301" s="376">
        <v>2027</v>
      </c>
      <c r="E3301" s="376">
        <v>2031</v>
      </c>
      <c r="F3301" s="376">
        <v>1</v>
      </c>
      <c r="G3301" s="376">
        <v>5815.3523642425034</v>
      </c>
      <c r="H3301" s="376">
        <v>0</v>
      </c>
      <c r="I3301" s="376">
        <v>1</v>
      </c>
    </row>
    <row r="3302" spans="1:9" x14ac:dyDescent="0.35">
      <c r="A3302" s="376" t="s">
        <v>1606</v>
      </c>
      <c r="B3302" s="376" t="s">
        <v>1609</v>
      </c>
      <c r="C3302" s="376" t="s">
        <v>1054</v>
      </c>
      <c r="D3302" s="376">
        <v>2027</v>
      </c>
      <c r="E3302" s="376">
        <v>2031</v>
      </c>
      <c r="F3302" s="376">
        <v>1</v>
      </c>
      <c r="G3302" s="376">
        <v>5815.3523642425034</v>
      </c>
      <c r="H3302" s="376">
        <v>0</v>
      </c>
      <c r="I3302" s="376">
        <v>1</v>
      </c>
    </row>
    <row r="3303" spans="1:9" x14ac:dyDescent="0.35">
      <c r="A3303" s="376" t="s">
        <v>1612</v>
      </c>
      <c r="B3303" s="376" t="s">
        <v>1609</v>
      </c>
      <c r="C3303" s="376" t="s">
        <v>1046</v>
      </c>
      <c r="D3303" s="376">
        <v>2028</v>
      </c>
      <c r="E3303" s="376">
        <v>2028</v>
      </c>
      <c r="F3303" s="376">
        <v>0.37384575124303709</v>
      </c>
      <c r="G3303" s="376">
        <v>9928.6887826901675</v>
      </c>
      <c r="H3303" s="376">
        <v>0.28529789887173318</v>
      </c>
      <c r="I3303" s="376">
        <v>0.85</v>
      </c>
    </row>
    <row r="3304" spans="1:9" x14ac:dyDescent="0.35">
      <c r="A3304" s="376" t="s">
        <v>1612</v>
      </c>
      <c r="B3304" s="376" t="s">
        <v>1609</v>
      </c>
      <c r="C3304" s="376" t="s">
        <v>644</v>
      </c>
      <c r="D3304" s="376">
        <v>2028</v>
      </c>
      <c r="E3304" s="376">
        <v>2028</v>
      </c>
      <c r="F3304" s="376">
        <v>0.37384575124303709</v>
      </c>
      <c r="G3304" s="376">
        <v>9928.6887826901675</v>
      </c>
      <c r="H3304" s="376">
        <v>0.28529789887173318</v>
      </c>
      <c r="I3304" s="376">
        <v>0.85</v>
      </c>
    </row>
    <row r="3305" spans="1:9" x14ac:dyDescent="0.35">
      <c r="A3305" s="376" t="s">
        <v>1612</v>
      </c>
      <c r="B3305" s="376" t="s">
        <v>1609</v>
      </c>
      <c r="C3305" s="376" t="s">
        <v>628</v>
      </c>
      <c r="D3305" s="376">
        <v>2028</v>
      </c>
      <c r="E3305" s="376">
        <v>2028</v>
      </c>
      <c r="F3305" s="376">
        <v>0.37384575124303709</v>
      </c>
      <c r="G3305" s="376">
        <v>9928.6887826901675</v>
      </c>
      <c r="H3305" s="376">
        <v>0.28529789887173318</v>
      </c>
      <c r="I3305" s="376">
        <v>0.85</v>
      </c>
    </row>
    <row r="3306" spans="1:9" x14ac:dyDescent="0.35">
      <c r="A3306" s="376" t="s">
        <v>1612</v>
      </c>
      <c r="B3306" s="376" t="s">
        <v>1609</v>
      </c>
      <c r="C3306" s="376" t="s">
        <v>1051</v>
      </c>
      <c r="D3306" s="376">
        <v>2028</v>
      </c>
      <c r="E3306" s="376">
        <v>2028</v>
      </c>
      <c r="F3306" s="376">
        <v>0.37384575124303709</v>
      </c>
      <c r="G3306" s="376">
        <v>9928.6887826901675</v>
      </c>
      <c r="H3306" s="376">
        <v>0.28529789887173318</v>
      </c>
      <c r="I3306" s="376">
        <v>0.85</v>
      </c>
    </row>
    <row r="3307" spans="1:9" x14ac:dyDescent="0.35">
      <c r="A3307" s="376" t="s">
        <v>1612</v>
      </c>
      <c r="B3307" s="376" t="s">
        <v>1609</v>
      </c>
      <c r="C3307" s="376" t="s">
        <v>1054</v>
      </c>
      <c r="D3307" s="376">
        <v>2028</v>
      </c>
      <c r="E3307" s="376">
        <v>2028</v>
      </c>
      <c r="F3307" s="376">
        <v>0.37384575124303709</v>
      </c>
      <c r="G3307" s="376">
        <v>9928.6887826901675</v>
      </c>
      <c r="H3307" s="376">
        <v>0.28529789887173318</v>
      </c>
      <c r="I3307" s="376">
        <v>0.85</v>
      </c>
    </row>
    <row r="3308" spans="1:9" x14ac:dyDescent="0.35">
      <c r="A3308" s="376" t="s">
        <v>1612</v>
      </c>
      <c r="B3308" s="376" t="s">
        <v>1609</v>
      </c>
      <c r="C3308" s="376" t="s">
        <v>1046</v>
      </c>
      <c r="D3308" s="376">
        <v>2028</v>
      </c>
      <c r="E3308" s="376">
        <v>2029</v>
      </c>
      <c r="F3308" s="376">
        <v>0.37384575124303709</v>
      </c>
      <c r="G3308" s="376">
        <v>9928.6887826901675</v>
      </c>
      <c r="H3308" s="376">
        <v>0.28529789887173318</v>
      </c>
      <c r="I3308" s="376">
        <v>0.85</v>
      </c>
    </row>
    <row r="3309" spans="1:9" x14ac:dyDescent="0.35">
      <c r="A3309" s="376" t="s">
        <v>1612</v>
      </c>
      <c r="B3309" s="376" t="s">
        <v>1609</v>
      </c>
      <c r="C3309" s="376" t="s">
        <v>644</v>
      </c>
      <c r="D3309" s="376">
        <v>2028</v>
      </c>
      <c r="E3309" s="376">
        <v>2029</v>
      </c>
      <c r="F3309" s="376">
        <v>0.37384575124303709</v>
      </c>
      <c r="G3309" s="376">
        <v>9928.6887826901675</v>
      </c>
      <c r="H3309" s="376">
        <v>0.28529789887173318</v>
      </c>
      <c r="I3309" s="376">
        <v>0.85</v>
      </c>
    </row>
    <row r="3310" spans="1:9" x14ac:dyDescent="0.35">
      <c r="A3310" s="376" t="s">
        <v>1612</v>
      </c>
      <c r="B3310" s="376" t="s">
        <v>1609</v>
      </c>
      <c r="C3310" s="376" t="s">
        <v>628</v>
      </c>
      <c r="D3310" s="376">
        <v>2028</v>
      </c>
      <c r="E3310" s="376">
        <v>2029</v>
      </c>
      <c r="F3310" s="376">
        <v>0.37384575124303709</v>
      </c>
      <c r="G3310" s="376">
        <v>9928.6887826901675</v>
      </c>
      <c r="H3310" s="376">
        <v>0.28529789887173318</v>
      </c>
      <c r="I3310" s="376">
        <v>0.85</v>
      </c>
    </row>
    <row r="3311" spans="1:9" x14ac:dyDescent="0.35">
      <c r="A3311" s="376" t="s">
        <v>1612</v>
      </c>
      <c r="B3311" s="376" t="s">
        <v>1609</v>
      </c>
      <c r="C3311" s="376" t="s">
        <v>1051</v>
      </c>
      <c r="D3311" s="376">
        <v>2028</v>
      </c>
      <c r="E3311" s="376">
        <v>2029</v>
      </c>
      <c r="F3311" s="376">
        <v>0.37384575124303709</v>
      </c>
      <c r="G3311" s="376">
        <v>9928.6887826901675</v>
      </c>
      <c r="H3311" s="376">
        <v>0.28529789887173318</v>
      </c>
      <c r="I3311" s="376">
        <v>0.85</v>
      </c>
    </row>
    <row r="3312" spans="1:9" x14ac:dyDescent="0.35">
      <c r="A3312" s="376" t="s">
        <v>1612</v>
      </c>
      <c r="B3312" s="376" t="s">
        <v>1609</v>
      </c>
      <c r="C3312" s="376" t="s">
        <v>1054</v>
      </c>
      <c r="D3312" s="376">
        <v>2028</v>
      </c>
      <c r="E3312" s="376">
        <v>2029</v>
      </c>
      <c r="F3312" s="376">
        <v>0.37384575124303709</v>
      </c>
      <c r="G3312" s="376">
        <v>9928.6887826901675</v>
      </c>
      <c r="H3312" s="376">
        <v>0.28529789887173318</v>
      </c>
      <c r="I3312" s="376">
        <v>0.85</v>
      </c>
    </row>
    <row r="3313" spans="1:9" x14ac:dyDescent="0.35">
      <c r="A3313" s="376" t="s">
        <v>1612</v>
      </c>
      <c r="B3313" s="376" t="s">
        <v>1609</v>
      </c>
      <c r="C3313" s="376" t="s">
        <v>1046</v>
      </c>
      <c r="D3313" s="376">
        <v>2028</v>
      </c>
      <c r="E3313" s="376">
        <v>2030</v>
      </c>
      <c r="F3313" s="376">
        <v>0.37384575124303709</v>
      </c>
      <c r="G3313" s="376">
        <v>9928.6887826901675</v>
      </c>
      <c r="H3313" s="376">
        <v>0.28529789887173318</v>
      </c>
      <c r="I3313" s="376">
        <v>0.85</v>
      </c>
    </row>
    <row r="3314" spans="1:9" x14ac:dyDescent="0.35">
      <c r="A3314" s="376" t="s">
        <v>1612</v>
      </c>
      <c r="B3314" s="376" t="s">
        <v>1609</v>
      </c>
      <c r="C3314" s="376" t="s">
        <v>644</v>
      </c>
      <c r="D3314" s="376">
        <v>2028</v>
      </c>
      <c r="E3314" s="376">
        <v>2030</v>
      </c>
      <c r="F3314" s="376">
        <v>0.37384575124303709</v>
      </c>
      <c r="G3314" s="376">
        <v>9928.6887826901675</v>
      </c>
      <c r="H3314" s="376">
        <v>0.28529789887173318</v>
      </c>
      <c r="I3314" s="376">
        <v>0.85</v>
      </c>
    </row>
    <row r="3315" spans="1:9" x14ac:dyDescent="0.35">
      <c r="A3315" s="376" t="s">
        <v>1612</v>
      </c>
      <c r="B3315" s="376" t="s">
        <v>1609</v>
      </c>
      <c r="C3315" s="376" t="s">
        <v>628</v>
      </c>
      <c r="D3315" s="376">
        <v>2028</v>
      </c>
      <c r="E3315" s="376">
        <v>2030</v>
      </c>
      <c r="F3315" s="376">
        <v>0.37384575124303709</v>
      </c>
      <c r="G3315" s="376">
        <v>9928.6887826901675</v>
      </c>
      <c r="H3315" s="376">
        <v>0.28529789887173318</v>
      </c>
      <c r="I3315" s="376">
        <v>0.85</v>
      </c>
    </row>
    <row r="3316" spans="1:9" x14ac:dyDescent="0.35">
      <c r="A3316" s="376" t="s">
        <v>1612</v>
      </c>
      <c r="B3316" s="376" t="s">
        <v>1609</v>
      </c>
      <c r="C3316" s="376" t="s">
        <v>1051</v>
      </c>
      <c r="D3316" s="376">
        <v>2028</v>
      </c>
      <c r="E3316" s="376">
        <v>2030</v>
      </c>
      <c r="F3316" s="376">
        <v>0.37384575124303709</v>
      </c>
      <c r="G3316" s="376">
        <v>9928.6887826901675</v>
      </c>
      <c r="H3316" s="376">
        <v>0.28529789887173318</v>
      </c>
      <c r="I3316" s="376">
        <v>0.85</v>
      </c>
    </row>
    <row r="3317" spans="1:9" x14ac:dyDescent="0.35">
      <c r="A3317" s="376" t="s">
        <v>1612</v>
      </c>
      <c r="B3317" s="376" t="s">
        <v>1609</v>
      </c>
      <c r="C3317" s="376" t="s">
        <v>1054</v>
      </c>
      <c r="D3317" s="376">
        <v>2028</v>
      </c>
      <c r="E3317" s="376">
        <v>2030</v>
      </c>
      <c r="F3317" s="376">
        <v>0.37384575124303709</v>
      </c>
      <c r="G3317" s="376">
        <v>9928.6887826901675</v>
      </c>
      <c r="H3317" s="376">
        <v>0.28529789887173318</v>
      </c>
      <c r="I3317" s="376">
        <v>0.85</v>
      </c>
    </row>
    <row r="3318" spans="1:9" x14ac:dyDescent="0.35">
      <c r="A3318" s="376" t="s">
        <v>1612</v>
      </c>
      <c r="B3318" s="376" t="s">
        <v>1609</v>
      </c>
      <c r="C3318" s="376" t="s">
        <v>1046</v>
      </c>
      <c r="D3318" s="376">
        <v>2028</v>
      </c>
      <c r="E3318" s="376">
        <v>2031</v>
      </c>
      <c r="F3318" s="376">
        <v>0.37384575124303709</v>
      </c>
      <c r="G3318" s="376">
        <v>9928.6887826901675</v>
      </c>
      <c r="H3318" s="376">
        <v>0.28529789887173318</v>
      </c>
      <c r="I3318" s="376">
        <v>0.85</v>
      </c>
    </row>
    <row r="3319" spans="1:9" x14ac:dyDescent="0.35">
      <c r="A3319" s="376" t="s">
        <v>1612</v>
      </c>
      <c r="B3319" s="376" t="s">
        <v>1609</v>
      </c>
      <c r="C3319" s="376" t="s">
        <v>644</v>
      </c>
      <c r="D3319" s="376">
        <v>2028</v>
      </c>
      <c r="E3319" s="376">
        <v>2031</v>
      </c>
      <c r="F3319" s="376">
        <v>0.37384575124303709</v>
      </c>
      <c r="G3319" s="376">
        <v>9928.6887826901675</v>
      </c>
      <c r="H3319" s="376">
        <v>0.28529789887173318</v>
      </c>
      <c r="I3319" s="376">
        <v>0.85</v>
      </c>
    </row>
    <row r="3320" spans="1:9" x14ac:dyDescent="0.35">
      <c r="A3320" s="376" t="s">
        <v>1612</v>
      </c>
      <c r="B3320" s="376" t="s">
        <v>1609</v>
      </c>
      <c r="C3320" s="376" t="s">
        <v>628</v>
      </c>
      <c r="D3320" s="376">
        <v>2028</v>
      </c>
      <c r="E3320" s="376">
        <v>2031</v>
      </c>
      <c r="F3320" s="376">
        <v>0.37384575124303709</v>
      </c>
      <c r="G3320" s="376">
        <v>9928.6887826901675</v>
      </c>
      <c r="H3320" s="376">
        <v>0.28529789887173318</v>
      </c>
      <c r="I3320" s="376">
        <v>0.85</v>
      </c>
    </row>
    <row r="3321" spans="1:9" x14ac:dyDescent="0.35">
      <c r="A3321" s="376" t="s">
        <v>1612</v>
      </c>
      <c r="B3321" s="376" t="s">
        <v>1609</v>
      </c>
      <c r="C3321" s="376" t="s">
        <v>1051</v>
      </c>
      <c r="D3321" s="376">
        <v>2028</v>
      </c>
      <c r="E3321" s="376">
        <v>2031</v>
      </c>
      <c r="F3321" s="376">
        <v>0.37384575124303709</v>
      </c>
      <c r="G3321" s="376">
        <v>9928.6887826901675</v>
      </c>
      <c r="H3321" s="376">
        <v>0.28529789887173318</v>
      </c>
      <c r="I3321" s="376">
        <v>0.85</v>
      </c>
    </row>
    <row r="3322" spans="1:9" x14ac:dyDescent="0.35">
      <c r="A3322" s="376" t="s">
        <v>1612</v>
      </c>
      <c r="B3322" s="376" t="s">
        <v>1609</v>
      </c>
      <c r="C3322" s="376" t="s">
        <v>1054</v>
      </c>
      <c r="D3322" s="376">
        <v>2028</v>
      </c>
      <c r="E3322" s="376">
        <v>2031</v>
      </c>
      <c r="F3322" s="376">
        <v>0.37384575124303709</v>
      </c>
      <c r="G3322" s="376">
        <v>9928.6887826901675</v>
      </c>
      <c r="H3322" s="376">
        <v>0.28529789887173318</v>
      </c>
      <c r="I3322" s="376">
        <v>0.85</v>
      </c>
    </row>
    <row r="3323" spans="1:9" x14ac:dyDescent="0.35">
      <c r="A3323" s="376" t="s">
        <v>1613</v>
      </c>
      <c r="B3323" s="376" t="s">
        <v>1609</v>
      </c>
      <c r="C3323" s="376" t="s">
        <v>1046</v>
      </c>
      <c r="D3323" s="376">
        <v>2028</v>
      </c>
      <c r="E3323" s="376">
        <v>2028</v>
      </c>
      <c r="F3323" s="376">
        <v>0.40444272241720852</v>
      </c>
      <c r="G3323" s="376">
        <v>8848.5269568257354</v>
      </c>
      <c r="H3323" s="376">
        <v>0.27495320918862265</v>
      </c>
      <c r="I3323" s="376">
        <v>0.85</v>
      </c>
    </row>
    <row r="3324" spans="1:9" x14ac:dyDescent="0.35">
      <c r="A3324" s="376" t="s">
        <v>1613</v>
      </c>
      <c r="B3324" s="376" t="s">
        <v>1609</v>
      </c>
      <c r="C3324" s="376" t="s">
        <v>644</v>
      </c>
      <c r="D3324" s="376">
        <v>2028</v>
      </c>
      <c r="E3324" s="376">
        <v>2028</v>
      </c>
      <c r="F3324" s="376">
        <v>0.40444272241720852</v>
      </c>
      <c r="G3324" s="376">
        <v>8848.5269568257354</v>
      </c>
      <c r="H3324" s="376">
        <v>0.27495320918862265</v>
      </c>
      <c r="I3324" s="376">
        <v>0.85</v>
      </c>
    </row>
    <row r="3325" spans="1:9" x14ac:dyDescent="0.35">
      <c r="A3325" s="376" t="s">
        <v>1613</v>
      </c>
      <c r="B3325" s="376" t="s">
        <v>1609</v>
      </c>
      <c r="C3325" s="376" t="s">
        <v>628</v>
      </c>
      <c r="D3325" s="376">
        <v>2028</v>
      </c>
      <c r="E3325" s="376">
        <v>2028</v>
      </c>
      <c r="F3325" s="376">
        <v>0.40444272241720852</v>
      </c>
      <c r="G3325" s="376">
        <v>8848.5269568257354</v>
      </c>
      <c r="H3325" s="376">
        <v>0.27495320918862265</v>
      </c>
      <c r="I3325" s="376">
        <v>0.85</v>
      </c>
    </row>
    <row r="3326" spans="1:9" x14ac:dyDescent="0.35">
      <c r="A3326" s="376" t="s">
        <v>1613</v>
      </c>
      <c r="B3326" s="376" t="s">
        <v>1609</v>
      </c>
      <c r="C3326" s="376" t="s">
        <v>1051</v>
      </c>
      <c r="D3326" s="376">
        <v>2028</v>
      </c>
      <c r="E3326" s="376">
        <v>2028</v>
      </c>
      <c r="F3326" s="376">
        <v>0.40444272241720852</v>
      </c>
      <c r="G3326" s="376">
        <v>8848.5269568257354</v>
      </c>
      <c r="H3326" s="376">
        <v>0.27495320918862265</v>
      </c>
      <c r="I3326" s="376">
        <v>0.85</v>
      </c>
    </row>
    <row r="3327" spans="1:9" x14ac:dyDescent="0.35">
      <c r="A3327" s="376" t="s">
        <v>1613</v>
      </c>
      <c r="B3327" s="376" t="s">
        <v>1609</v>
      </c>
      <c r="C3327" s="376" t="s">
        <v>1054</v>
      </c>
      <c r="D3327" s="376">
        <v>2028</v>
      </c>
      <c r="E3327" s="376">
        <v>2028</v>
      </c>
      <c r="F3327" s="376">
        <v>0.40444272241720852</v>
      </c>
      <c r="G3327" s="376">
        <v>8848.5269568257354</v>
      </c>
      <c r="H3327" s="376">
        <v>0.27495320918862265</v>
      </c>
      <c r="I3327" s="376">
        <v>0.85</v>
      </c>
    </row>
    <row r="3328" spans="1:9" x14ac:dyDescent="0.35">
      <c r="A3328" s="376" t="s">
        <v>1613</v>
      </c>
      <c r="B3328" s="376" t="s">
        <v>1609</v>
      </c>
      <c r="C3328" s="376" t="s">
        <v>1046</v>
      </c>
      <c r="D3328" s="376">
        <v>2028</v>
      </c>
      <c r="E3328" s="376">
        <v>2029</v>
      </c>
      <c r="F3328" s="376">
        <v>0.40444272241720852</v>
      </c>
      <c r="G3328" s="376">
        <v>8848.5269568257354</v>
      </c>
      <c r="H3328" s="376">
        <v>0.27495320918862265</v>
      </c>
      <c r="I3328" s="376">
        <v>0.85</v>
      </c>
    </row>
    <row r="3329" spans="1:9" x14ac:dyDescent="0.35">
      <c r="A3329" s="376" t="s">
        <v>1613</v>
      </c>
      <c r="B3329" s="376" t="s">
        <v>1609</v>
      </c>
      <c r="C3329" s="376" t="s">
        <v>644</v>
      </c>
      <c r="D3329" s="376">
        <v>2028</v>
      </c>
      <c r="E3329" s="376">
        <v>2029</v>
      </c>
      <c r="F3329" s="376">
        <v>0.40444272241720852</v>
      </c>
      <c r="G3329" s="376">
        <v>8848.5269568257354</v>
      </c>
      <c r="H3329" s="376">
        <v>0.27495320918862265</v>
      </c>
      <c r="I3329" s="376">
        <v>0.85</v>
      </c>
    </row>
    <row r="3330" spans="1:9" x14ac:dyDescent="0.35">
      <c r="A3330" s="376" t="s">
        <v>1613</v>
      </c>
      <c r="B3330" s="376" t="s">
        <v>1609</v>
      </c>
      <c r="C3330" s="376" t="s">
        <v>628</v>
      </c>
      <c r="D3330" s="376">
        <v>2028</v>
      </c>
      <c r="E3330" s="376">
        <v>2029</v>
      </c>
      <c r="F3330" s="376">
        <v>0.40444272241720852</v>
      </c>
      <c r="G3330" s="376">
        <v>8848.5269568257354</v>
      </c>
      <c r="H3330" s="376">
        <v>0.27495320918862265</v>
      </c>
      <c r="I3330" s="376">
        <v>0.85</v>
      </c>
    </row>
    <row r="3331" spans="1:9" x14ac:dyDescent="0.35">
      <c r="A3331" s="376" t="s">
        <v>1613</v>
      </c>
      <c r="B3331" s="376" t="s">
        <v>1609</v>
      </c>
      <c r="C3331" s="376" t="s">
        <v>1051</v>
      </c>
      <c r="D3331" s="376">
        <v>2028</v>
      </c>
      <c r="E3331" s="376">
        <v>2029</v>
      </c>
      <c r="F3331" s="376">
        <v>0.40444272241720852</v>
      </c>
      <c r="G3331" s="376">
        <v>8848.5269568257354</v>
      </c>
      <c r="H3331" s="376">
        <v>0.27495320918862265</v>
      </c>
      <c r="I3331" s="376">
        <v>0.85</v>
      </c>
    </row>
    <row r="3332" spans="1:9" x14ac:dyDescent="0.35">
      <c r="A3332" s="376" t="s">
        <v>1613</v>
      </c>
      <c r="B3332" s="376" t="s">
        <v>1609</v>
      </c>
      <c r="C3332" s="376" t="s">
        <v>1054</v>
      </c>
      <c r="D3332" s="376">
        <v>2028</v>
      </c>
      <c r="E3332" s="376">
        <v>2029</v>
      </c>
      <c r="F3332" s="376">
        <v>0.40444272241720852</v>
      </c>
      <c r="G3332" s="376">
        <v>8848.5269568257354</v>
      </c>
      <c r="H3332" s="376">
        <v>0.27495320918862265</v>
      </c>
      <c r="I3332" s="376">
        <v>0.85</v>
      </c>
    </row>
    <row r="3333" spans="1:9" x14ac:dyDescent="0.35">
      <c r="A3333" s="376" t="s">
        <v>1613</v>
      </c>
      <c r="B3333" s="376" t="s">
        <v>1609</v>
      </c>
      <c r="C3333" s="376" t="s">
        <v>1046</v>
      </c>
      <c r="D3333" s="376">
        <v>2028</v>
      </c>
      <c r="E3333" s="376">
        <v>2030</v>
      </c>
      <c r="F3333" s="376">
        <v>0.40444272241720852</v>
      </c>
      <c r="G3333" s="376">
        <v>8848.5269568257354</v>
      </c>
      <c r="H3333" s="376">
        <v>0.27495320918862265</v>
      </c>
      <c r="I3333" s="376">
        <v>0.85</v>
      </c>
    </row>
    <row r="3334" spans="1:9" x14ac:dyDescent="0.35">
      <c r="A3334" s="376" t="s">
        <v>1613</v>
      </c>
      <c r="B3334" s="376" t="s">
        <v>1609</v>
      </c>
      <c r="C3334" s="376" t="s">
        <v>644</v>
      </c>
      <c r="D3334" s="376">
        <v>2028</v>
      </c>
      <c r="E3334" s="376">
        <v>2030</v>
      </c>
      <c r="F3334" s="376">
        <v>0.40444272241720852</v>
      </c>
      <c r="G3334" s="376">
        <v>8848.5269568257354</v>
      </c>
      <c r="H3334" s="376">
        <v>0.27495320918862265</v>
      </c>
      <c r="I3334" s="376">
        <v>0.85</v>
      </c>
    </row>
    <row r="3335" spans="1:9" x14ac:dyDescent="0.35">
      <c r="A3335" s="376" t="s">
        <v>1613</v>
      </c>
      <c r="B3335" s="376" t="s">
        <v>1609</v>
      </c>
      <c r="C3335" s="376" t="s">
        <v>628</v>
      </c>
      <c r="D3335" s="376">
        <v>2028</v>
      </c>
      <c r="E3335" s="376">
        <v>2030</v>
      </c>
      <c r="F3335" s="376">
        <v>0.40444272241720852</v>
      </c>
      <c r="G3335" s="376">
        <v>8848.5269568257354</v>
      </c>
      <c r="H3335" s="376">
        <v>0.27495320918862265</v>
      </c>
      <c r="I3335" s="376">
        <v>0.85</v>
      </c>
    </row>
    <row r="3336" spans="1:9" x14ac:dyDescent="0.35">
      <c r="A3336" s="376" t="s">
        <v>1613</v>
      </c>
      <c r="B3336" s="376" t="s">
        <v>1609</v>
      </c>
      <c r="C3336" s="376" t="s">
        <v>1051</v>
      </c>
      <c r="D3336" s="376">
        <v>2028</v>
      </c>
      <c r="E3336" s="376">
        <v>2030</v>
      </c>
      <c r="F3336" s="376">
        <v>0.40444272241720852</v>
      </c>
      <c r="G3336" s="376">
        <v>8848.5269568257354</v>
      </c>
      <c r="H3336" s="376">
        <v>0.27495320918862265</v>
      </c>
      <c r="I3336" s="376">
        <v>0.85</v>
      </c>
    </row>
    <row r="3337" spans="1:9" x14ac:dyDescent="0.35">
      <c r="A3337" s="376" t="s">
        <v>1613</v>
      </c>
      <c r="B3337" s="376" t="s">
        <v>1609</v>
      </c>
      <c r="C3337" s="376" t="s">
        <v>1054</v>
      </c>
      <c r="D3337" s="376">
        <v>2028</v>
      </c>
      <c r="E3337" s="376">
        <v>2030</v>
      </c>
      <c r="F3337" s="376">
        <v>0.40444272241720852</v>
      </c>
      <c r="G3337" s="376">
        <v>8848.5269568257354</v>
      </c>
      <c r="H3337" s="376">
        <v>0.27495320918862265</v>
      </c>
      <c r="I3337" s="376">
        <v>0.85</v>
      </c>
    </row>
    <row r="3338" spans="1:9" x14ac:dyDescent="0.35">
      <c r="A3338" s="376" t="s">
        <v>1613</v>
      </c>
      <c r="B3338" s="376" t="s">
        <v>1609</v>
      </c>
      <c r="C3338" s="376" t="s">
        <v>1046</v>
      </c>
      <c r="D3338" s="376">
        <v>2028</v>
      </c>
      <c r="E3338" s="376">
        <v>2031</v>
      </c>
      <c r="F3338" s="376">
        <v>0.40444272241720852</v>
      </c>
      <c r="G3338" s="376">
        <v>8848.5269568257354</v>
      </c>
      <c r="H3338" s="376">
        <v>0.27495320918862265</v>
      </c>
      <c r="I3338" s="376">
        <v>0.85</v>
      </c>
    </row>
    <row r="3339" spans="1:9" x14ac:dyDescent="0.35">
      <c r="A3339" s="376" t="s">
        <v>1613</v>
      </c>
      <c r="B3339" s="376" t="s">
        <v>1609</v>
      </c>
      <c r="C3339" s="376" t="s">
        <v>644</v>
      </c>
      <c r="D3339" s="376">
        <v>2028</v>
      </c>
      <c r="E3339" s="376">
        <v>2031</v>
      </c>
      <c r="F3339" s="376">
        <v>0.40444272241720852</v>
      </c>
      <c r="G3339" s="376">
        <v>8848.5269568257354</v>
      </c>
      <c r="H3339" s="376">
        <v>0.27495320918862265</v>
      </c>
      <c r="I3339" s="376">
        <v>0.85</v>
      </c>
    </row>
    <row r="3340" spans="1:9" x14ac:dyDescent="0.35">
      <c r="A3340" s="376" t="s">
        <v>1613</v>
      </c>
      <c r="B3340" s="376" t="s">
        <v>1609</v>
      </c>
      <c r="C3340" s="376" t="s">
        <v>628</v>
      </c>
      <c r="D3340" s="376">
        <v>2028</v>
      </c>
      <c r="E3340" s="376">
        <v>2031</v>
      </c>
      <c r="F3340" s="376">
        <v>0.40444272241720852</v>
      </c>
      <c r="G3340" s="376">
        <v>8848.5269568257354</v>
      </c>
      <c r="H3340" s="376">
        <v>0.27495320918862265</v>
      </c>
      <c r="I3340" s="376">
        <v>0.85</v>
      </c>
    </row>
    <row r="3341" spans="1:9" x14ac:dyDescent="0.35">
      <c r="A3341" s="376" t="s">
        <v>1613</v>
      </c>
      <c r="B3341" s="376" t="s">
        <v>1609</v>
      </c>
      <c r="C3341" s="376" t="s">
        <v>1051</v>
      </c>
      <c r="D3341" s="376">
        <v>2028</v>
      </c>
      <c r="E3341" s="376">
        <v>2031</v>
      </c>
      <c r="F3341" s="376">
        <v>0.40444272241720852</v>
      </c>
      <c r="G3341" s="376">
        <v>8848.5269568257354</v>
      </c>
      <c r="H3341" s="376">
        <v>0.27495320918862265</v>
      </c>
      <c r="I3341" s="376">
        <v>0.85</v>
      </c>
    </row>
    <row r="3342" spans="1:9" x14ac:dyDescent="0.35">
      <c r="A3342" s="376" t="s">
        <v>1613</v>
      </c>
      <c r="B3342" s="376" t="s">
        <v>1609</v>
      </c>
      <c r="C3342" s="376" t="s">
        <v>1054</v>
      </c>
      <c r="D3342" s="376">
        <v>2028</v>
      </c>
      <c r="E3342" s="376">
        <v>2031</v>
      </c>
      <c r="F3342" s="376">
        <v>0.40444272241720852</v>
      </c>
      <c r="G3342" s="376">
        <v>8848.5269568257354</v>
      </c>
      <c r="H3342" s="376">
        <v>0.27495320918862265</v>
      </c>
      <c r="I3342" s="376">
        <v>0.85</v>
      </c>
    </row>
    <row r="3343" spans="1:9" x14ac:dyDescent="0.35">
      <c r="A3343" s="376" t="s">
        <v>1614</v>
      </c>
      <c r="B3343" s="376" t="s">
        <v>1609</v>
      </c>
      <c r="C3343" s="376" t="s">
        <v>1046</v>
      </c>
      <c r="D3343" s="376">
        <v>2028</v>
      </c>
      <c r="E3343" s="376">
        <v>2028</v>
      </c>
      <c r="F3343" s="376">
        <v>0.28070162831646173</v>
      </c>
      <c r="G3343" s="376">
        <v>6454.3984013550207</v>
      </c>
      <c r="H3343" s="376">
        <v>0.27495320918862265</v>
      </c>
      <c r="I3343" s="376">
        <v>0.85</v>
      </c>
    </row>
    <row r="3344" spans="1:9" x14ac:dyDescent="0.35">
      <c r="A3344" s="376" t="s">
        <v>1614</v>
      </c>
      <c r="B3344" s="376" t="s">
        <v>1609</v>
      </c>
      <c r="C3344" s="376" t="s">
        <v>644</v>
      </c>
      <c r="D3344" s="376">
        <v>2028</v>
      </c>
      <c r="E3344" s="376">
        <v>2028</v>
      </c>
      <c r="F3344" s="376">
        <v>0.28070162831646173</v>
      </c>
      <c r="G3344" s="376">
        <v>6454.3984013550207</v>
      </c>
      <c r="H3344" s="376">
        <v>0.27495320918862265</v>
      </c>
      <c r="I3344" s="376">
        <v>0.85</v>
      </c>
    </row>
    <row r="3345" spans="1:9" x14ac:dyDescent="0.35">
      <c r="A3345" s="376" t="s">
        <v>1614</v>
      </c>
      <c r="B3345" s="376" t="s">
        <v>1609</v>
      </c>
      <c r="C3345" s="376" t="s">
        <v>628</v>
      </c>
      <c r="D3345" s="376">
        <v>2028</v>
      </c>
      <c r="E3345" s="376">
        <v>2028</v>
      </c>
      <c r="F3345" s="376">
        <v>0.28070162831646173</v>
      </c>
      <c r="G3345" s="376">
        <v>6454.3984013550207</v>
      </c>
      <c r="H3345" s="376">
        <v>0.27495320918862265</v>
      </c>
      <c r="I3345" s="376">
        <v>0.85</v>
      </c>
    </row>
    <row r="3346" spans="1:9" x14ac:dyDescent="0.35">
      <c r="A3346" s="376" t="s">
        <v>1614</v>
      </c>
      <c r="B3346" s="376" t="s">
        <v>1609</v>
      </c>
      <c r="C3346" s="376" t="s">
        <v>1051</v>
      </c>
      <c r="D3346" s="376">
        <v>2028</v>
      </c>
      <c r="E3346" s="376">
        <v>2028</v>
      </c>
      <c r="F3346" s="376">
        <v>0.28070162831646173</v>
      </c>
      <c r="G3346" s="376">
        <v>6454.3984013550207</v>
      </c>
      <c r="H3346" s="376">
        <v>0.27495320918862265</v>
      </c>
      <c r="I3346" s="376">
        <v>0.85</v>
      </c>
    </row>
    <row r="3347" spans="1:9" x14ac:dyDescent="0.35">
      <c r="A3347" s="376" t="s">
        <v>1614</v>
      </c>
      <c r="B3347" s="376" t="s">
        <v>1609</v>
      </c>
      <c r="C3347" s="376" t="s">
        <v>1054</v>
      </c>
      <c r="D3347" s="376">
        <v>2028</v>
      </c>
      <c r="E3347" s="376">
        <v>2028</v>
      </c>
      <c r="F3347" s="376">
        <v>0.28070162831646173</v>
      </c>
      <c r="G3347" s="376">
        <v>6454.3984013550207</v>
      </c>
      <c r="H3347" s="376">
        <v>0.27495320918862265</v>
      </c>
      <c r="I3347" s="376">
        <v>0.85</v>
      </c>
    </row>
    <row r="3348" spans="1:9" x14ac:dyDescent="0.35">
      <c r="A3348" s="376" t="s">
        <v>1614</v>
      </c>
      <c r="B3348" s="376" t="s">
        <v>1609</v>
      </c>
      <c r="C3348" s="376" t="s">
        <v>1046</v>
      </c>
      <c r="D3348" s="376">
        <v>2028</v>
      </c>
      <c r="E3348" s="376">
        <v>2029</v>
      </c>
      <c r="F3348" s="376">
        <v>0.28070162831646173</v>
      </c>
      <c r="G3348" s="376">
        <v>6454.3984013550207</v>
      </c>
      <c r="H3348" s="376">
        <v>0.27495320918862265</v>
      </c>
      <c r="I3348" s="376">
        <v>0.85</v>
      </c>
    </row>
    <row r="3349" spans="1:9" x14ac:dyDescent="0.35">
      <c r="A3349" s="376" t="s">
        <v>1614</v>
      </c>
      <c r="B3349" s="376" t="s">
        <v>1609</v>
      </c>
      <c r="C3349" s="376" t="s">
        <v>644</v>
      </c>
      <c r="D3349" s="376">
        <v>2028</v>
      </c>
      <c r="E3349" s="376">
        <v>2029</v>
      </c>
      <c r="F3349" s="376">
        <v>0.28070162831646173</v>
      </c>
      <c r="G3349" s="376">
        <v>6454.3984013550207</v>
      </c>
      <c r="H3349" s="376">
        <v>0.27495320918862265</v>
      </c>
      <c r="I3349" s="376">
        <v>0.85</v>
      </c>
    </row>
    <row r="3350" spans="1:9" x14ac:dyDescent="0.35">
      <c r="A3350" s="376" t="s">
        <v>1614</v>
      </c>
      <c r="B3350" s="376" t="s">
        <v>1609</v>
      </c>
      <c r="C3350" s="376" t="s">
        <v>628</v>
      </c>
      <c r="D3350" s="376">
        <v>2028</v>
      </c>
      <c r="E3350" s="376">
        <v>2029</v>
      </c>
      <c r="F3350" s="376">
        <v>0.28070162831646173</v>
      </c>
      <c r="G3350" s="376">
        <v>6454.3984013550207</v>
      </c>
      <c r="H3350" s="376">
        <v>0.27495320918862265</v>
      </c>
      <c r="I3350" s="376">
        <v>0.85</v>
      </c>
    </row>
    <row r="3351" spans="1:9" x14ac:dyDescent="0.35">
      <c r="A3351" s="376" t="s">
        <v>1614</v>
      </c>
      <c r="B3351" s="376" t="s">
        <v>1609</v>
      </c>
      <c r="C3351" s="376" t="s">
        <v>1051</v>
      </c>
      <c r="D3351" s="376">
        <v>2028</v>
      </c>
      <c r="E3351" s="376">
        <v>2029</v>
      </c>
      <c r="F3351" s="376">
        <v>0.28070162831646173</v>
      </c>
      <c r="G3351" s="376">
        <v>6454.3984013550207</v>
      </c>
      <c r="H3351" s="376">
        <v>0.27495320918862265</v>
      </c>
      <c r="I3351" s="376">
        <v>0.85</v>
      </c>
    </row>
    <row r="3352" spans="1:9" x14ac:dyDescent="0.35">
      <c r="A3352" s="376" t="s">
        <v>1614</v>
      </c>
      <c r="B3352" s="376" t="s">
        <v>1609</v>
      </c>
      <c r="C3352" s="376" t="s">
        <v>1054</v>
      </c>
      <c r="D3352" s="376">
        <v>2028</v>
      </c>
      <c r="E3352" s="376">
        <v>2029</v>
      </c>
      <c r="F3352" s="376">
        <v>0.28070162831646173</v>
      </c>
      <c r="G3352" s="376">
        <v>6454.3984013550207</v>
      </c>
      <c r="H3352" s="376">
        <v>0.27495320918862265</v>
      </c>
      <c r="I3352" s="376">
        <v>0.85</v>
      </c>
    </row>
    <row r="3353" spans="1:9" x14ac:dyDescent="0.35">
      <c r="A3353" s="376" t="s">
        <v>1614</v>
      </c>
      <c r="B3353" s="376" t="s">
        <v>1609</v>
      </c>
      <c r="C3353" s="376" t="s">
        <v>1046</v>
      </c>
      <c r="D3353" s="376">
        <v>2028</v>
      </c>
      <c r="E3353" s="376">
        <v>2030</v>
      </c>
      <c r="F3353" s="376">
        <v>0.28070162831646173</v>
      </c>
      <c r="G3353" s="376">
        <v>6454.3984013550207</v>
      </c>
      <c r="H3353" s="376">
        <v>0.27495320918862265</v>
      </c>
      <c r="I3353" s="376">
        <v>0.85</v>
      </c>
    </row>
    <row r="3354" spans="1:9" x14ac:dyDescent="0.35">
      <c r="A3354" s="376" t="s">
        <v>1614</v>
      </c>
      <c r="B3354" s="376" t="s">
        <v>1609</v>
      </c>
      <c r="C3354" s="376" t="s">
        <v>644</v>
      </c>
      <c r="D3354" s="376">
        <v>2028</v>
      </c>
      <c r="E3354" s="376">
        <v>2030</v>
      </c>
      <c r="F3354" s="376">
        <v>0.28070162831646173</v>
      </c>
      <c r="G3354" s="376">
        <v>6454.3984013550207</v>
      </c>
      <c r="H3354" s="376">
        <v>0.27495320918862265</v>
      </c>
      <c r="I3354" s="376">
        <v>0.85</v>
      </c>
    </row>
    <row r="3355" spans="1:9" x14ac:dyDescent="0.35">
      <c r="A3355" s="376" t="s">
        <v>1614</v>
      </c>
      <c r="B3355" s="376" t="s">
        <v>1609</v>
      </c>
      <c r="C3355" s="376" t="s">
        <v>628</v>
      </c>
      <c r="D3355" s="376">
        <v>2028</v>
      </c>
      <c r="E3355" s="376">
        <v>2030</v>
      </c>
      <c r="F3355" s="376">
        <v>0.28070162831646173</v>
      </c>
      <c r="G3355" s="376">
        <v>6454.3984013550207</v>
      </c>
      <c r="H3355" s="376">
        <v>0.27495320918862265</v>
      </c>
      <c r="I3355" s="376">
        <v>0.85</v>
      </c>
    </row>
    <row r="3356" spans="1:9" x14ac:dyDescent="0.35">
      <c r="A3356" s="376" t="s">
        <v>1614</v>
      </c>
      <c r="B3356" s="376" t="s">
        <v>1609</v>
      </c>
      <c r="C3356" s="376" t="s">
        <v>1051</v>
      </c>
      <c r="D3356" s="376">
        <v>2028</v>
      </c>
      <c r="E3356" s="376">
        <v>2030</v>
      </c>
      <c r="F3356" s="376">
        <v>0.28070162831646173</v>
      </c>
      <c r="G3356" s="376">
        <v>6454.3984013550207</v>
      </c>
      <c r="H3356" s="376">
        <v>0.27495320918862265</v>
      </c>
      <c r="I3356" s="376">
        <v>0.85</v>
      </c>
    </row>
    <row r="3357" spans="1:9" x14ac:dyDescent="0.35">
      <c r="A3357" s="376" t="s">
        <v>1614</v>
      </c>
      <c r="B3357" s="376" t="s">
        <v>1609</v>
      </c>
      <c r="C3357" s="376" t="s">
        <v>1054</v>
      </c>
      <c r="D3357" s="376">
        <v>2028</v>
      </c>
      <c r="E3357" s="376">
        <v>2030</v>
      </c>
      <c r="F3357" s="376">
        <v>0.28070162831646173</v>
      </c>
      <c r="G3357" s="376">
        <v>6454.3984013550207</v>
      </c>
      <c r="H3357" s="376">
        <v>0.27495320918862265</v>
      </c>
      <c r="I3357" s="376">
        <v>0.85</v>
      </c>
    </row>
    <row r="3358" spans="1:9" x14ac:dyDescent="0.35">
      <c r="A3358" s="376" t="s">
        <v>1614</v>
      </c>
      <c r="B3358" s="376" t="s">
        <v>1609</v>
      </c>
      <c r="C3358" s="376" t="s">
        <v>1046</v>
      </c>
      <c r="D3358" s="376">
        <v>2028</v>
      </c>
      <c r="E3358" s="376">
        <v>2031</v>
      </c>
      <c r="F3358" s="376">
        <v>0.28070162831646173</v>
      </c>
      <c r="G3358" s="376">
        <v>6454.3984013550207</v>
      </c>
      <c r="H3358" s="376">
        <v>0.27495320918862265</v>
      </c>
      <c r="I3358" s="376">
        <v>0.85</v>
      </c>
    </row>
    <row r="3359" spans="1:9" x14ac:dyDescent="0.35">
      <c r="A3359" s="376" t="s">
        <v>1614</v>
      </c>
      <c r="B3359" s="376" t="s">
        <v>1609</v>
      </c>
      <c r="C3359" s="376" t="s">
        <v>644</v>
      </c>
      <c r="D3359" s="376">
        <v>2028</v>
      </c>
      <c r="E3359" s="376">
        <v>2031</v>
      </c>
      <c r="F3359" s="376">
        <v>0.28070162831646173</v>
      </c>
      <c r="G3359" s="376">
        <v>6454.3984013550207</v>
      </c>
      <c r="H3359" s="376">
        <v>0.27495320918862265</v>
      </c>
      <c r="I3359" s="376">
        <v>0.85</v>
      </c>
    </row>
    <row r="3360" spans="1:9" x14ac:dyDescent="0.35">
      <c r="A3360" s="376" t="s">
        <v>1614</v>
      </c>
      <c r="B3360" s="376" t="s">
        <v>1609</v>
      </c>
      <c r="C3360" s="376" t="s">
        <v>628</v>
      </c>
      <c r="D3360" s="376">
        <v>2028</v>
      </c>
      <c r="E3360" s="376">
        <v>2031</v>
      </c>
      <c r="F3360" s="376">
        <v>0.28070162831646173</v>
      </c>
      <c r="G3360" s="376">
        <v>6454.3984013550207</v>
      </c>
      <c r="H3360" s="376">
        <v>0.27495320918862265</v>
      </c>
      <c r="I3360" s="376">
        <v>0.85</v>
      </c>
    </row>
    <row r="3361" spans="1:9" x14ac:dyDescent="0.35">
      <c r="A3361" s="376" t="s">
        <v>1614</v>
      </c>
      <c r="B3361" s="376" t="s">
        <v>1609</v>
      </c>
      <c r="C3361" s="376" t="s">
        <v>1051</v>
      </c>
      <c r="D3361" s="376">
        <v>2028</v>
      </c>
      <c r="E3361" s="376">
        <v>2031</v>
      </c>
      <c r="F3361" s="376">
        <v>0.28070162831646173</v>
      </c>
      <c r="G3361" s="376">
        <v>6454.3984013550207</v>
      </c>
      <c r="H3361" s="376">
        <v>0.27495320918862265</v>
      </c>
      <c r="I3361" s="376">
        <v>0.85</v>
      </c>
    </row>
    <row r="3362" spans="1:9" x14ac:dyDescent="0.35">
      <c r="A3362" s="376" t="s">
        <v>1614</v>
      </c>
      <c r="B3362" s="376" t="s">
        <v>1609</v>
      </c>
      <c r="C3362" s="376" t="s">
        <v>1054</v>
      </c>
      <c r="D3362" s="376">
        <v>2028</v>
      </c>
      <c r="E3362" s="376">
        <v>2031</v>
      </c>
      <c r="F3362" s="376">
        <v>0.28070162831646173</v>
      </c>
      <c r="G3362" s="376">
        <v>6454.3984013550207</v>
      </c>
      <c r="H3362" s="376">
        <v>0.27495320918862265</v>
      </c>
      <c r="I3362" s="376">
        <v>0.85</v>
      </c>
    </row>
    <row r="3363" spans="1:9" x14ac:dyDescent="0.35">
      <c r="A3363" s="376" t="s">
        <v>1604</v>
      </c>
      <c r="B3363" s="376" t="s">
        <v>1609</v>
      </c>
      <c r="C3363" s="376" t="s">
        <v>1046</v>
      </c>
      <c r="D3363" s="376">
        <v>2028</v>
      </c>
      <c r="E3363" s="376">
        <v>2028</v>
      </c>
      <c r="F3363" s="376">
        <v>1</v>
      </c>
      <c r="G3363" s="376">
        <v>10872.741503138899</v>
      </c>
      <c r="H3363" s="376">
        <v>0</v>
      </c>
      <c r="I3363" s="376">
        <v>1</v>
      </c>
    </row>
    <row r="3364" spans="1:9" x14ac:dyDescent="0.35">
      <c r="A3364" s="376" t="s">
        <v>1604</v>
      </c>
      <c r="B3364" s="376" t="s">
        <v>1609</v>
      </c>
      <c r="C3364" s="376" t="s">
        <v>644</v>
      </c>
      <c r="D3364" s="376">
        <v>2028</v>
      </c>
      <c r="E3364" s="376">
        <v>2028</v>
      </c>
      <c r="F3364" s="376">
        <v>1</v>
      </c>
      <c r="G3364" s="376">
        <v>10872.741503138899</v>
      </c>
      <c r="H3364" s="376">
        <v>0</v>
      </c>
      <c r="I3364" s="376">
        <v>1</v>
      </c>
    </row>
    <row r="3365" spans="1:9" x14ac:dyDescent="0.35">
      <c r="A3365" s="376" t="s">
        <v>1604</v>
      </c>
      <c r="B3365" s="376" t="s">
        <v>1609</v>
      </c>
      <c r="C3365" s="376" t="s">
        <v>628</v>
      </c>
      <c r="D3365" s="376">
        <v>2028</v>
      </c>
      <c r="E3365" s="376">
        <v>2028</v>
      </c>
      <c r="F3365" s="376">
        <v>1</v>
      </c>
      <c r="G3365" s="376">
        <v>10872.741503138899</v>
      </c>
      <c r="H3365" s="376">
        <v>0</v>
      </c>
      <c r="I3365" s="376">
        <v>1</v>
      </c>
    </row>
    <row r="3366" spans="1:9" x14ac:dyDescent="0.35">
      <c r="A3366" s="376" t="s">
        <v>1604</v>
      </c>
      <c r="B3366" s="376" t="s">
        <v>1609</v>
      </c>
      <c r="C3366" s="376" t="s">
        <v>1051</v>
      </c>
      <c r="D3366" s="376">
        <v>2028</v>
      </c>
      <c r="E3366" s="376">
        <v>2028</v>
      </c>
      <c r="F3366" s="376">
        <v>1</v>
      </c>
      <c r="G3366" s="376">
        <v>10872.741503138899</v>
      </c>
      <c r="H3366" s="376">
        <v>0</v>
      </c>
      <c r="I3366" s="376">
        <v>1</v>
      </c>
    </row>
    <row r="3367" spans="1:9" x14ac:dyDescent="0.35">
      <c r="A3367" s="376" t="s">
        <v>1604</v>
      </c>
      <c r="B3367" s="376" t="s">
        <v>1609</v>
      </c>
      <c r="C3367" s="376" t="s">
        <v>1054</v>
      </c>
      <c r="D3367" s="376">
        <v>2028</v>
      </c>
      <c r="E3367" s="376">
        <v>2028</v>
      </c>
      <c r="F3367" s="376">
        <v>1</v>
      </c>
      <c r="G3367" s="376">
        <v>10872.741503138899</v>
      </c>
      <c r="H3367" s="376">
        <v>0</v>
      </c>
      <c r="I3367" s="376">
        <v>1</v>
      </c>
    </row>
    <row r="3368" spans="1:9" x14ac:dyDescent="0.35">
      <c r="A3368" s="376" t="s">
        <v>1604</v>
      </c>
      <c r="B3368" s="376" t="s">
        <v>1609</v>
      </c>
      <c r="C3368" s="376" t="s">
        <v>1046</v>
      </c>
      <c r="D3368" s="376">
        <v>2028</v>
      </c>
      <c r="E3368" s="376">
        <v>2029</v>
      </c>
      <c r="F3368" s="376">
        <v>1</v>
      </c>
      <c r="G3368" s="376">
        <v>10872.741503138899</v>
      </c>
      <c r="H3368" s="376">
        <v>0</v>
      </c>
      <c r="I3368" s="376">
        <v>1</v>
      </c>
    </row>
    <row r="3369" spans="1:9" x14ac:dyDescent="0.35">
      <c r="A3369" s="376" t="s">
        <v>1604</v>
      </c>
      <c r="B3369" s="376" t="s">
        <v>1609</v>
      </c>
      <c r="C3369" s="376" t="s">
        <v>644</v>
      </c>
      <c r="D3369" s="376">
        <v>2028</v>
      </c>
      <c r="E3369" s="376">
        <v>2029</v>
      </c>
      <c r="F3369" s="376">
        <v>1</v>
      </c>
      <c r="G3369" s="376">
        <v>10872.741503138899</v>
      </c>
      <c r="H3369" s="376">
        <v>0</v>
      </c>
      <c r="I3369" s="376">
        <v>1</v>
      </c>
    </row>
    <row r="3370" spans="1:9" x14ac:dyDescent="0.35">
      <c r="A3370" s="376" t="s">
        <v>1604</v>
      </c>
      <c r="B3370" s="376" t="s">
        <v>1609</v>
      </c>
      <c r="C3370" s="376" t="s">
        <v>628</v>
      </c>
      <c r="D3370" s="376">
        <v>2028</v>
      </c>
      <c r="E3370" s="376">
        <v>2029</v>
      </c>
      <c r="F3370" s="376">
        <v>1</v>
      </c>
      <c r="G3370" s="376">
        <v>10872.741503138899</v>
      </c>
      <c r="H3370" s="376">
        <v>0</v>
      </c>
      <c r="I3370" s="376">
        <v>1</v>
      </c>
    </row>
    <row r="3371" spans="1:9" x14ac:dyDescent="0.35">
      <c r="A3371" s="376" t="s">
        <v>1604</v>
      </c>
      <c r="B3371" s="376" t="s">
        <v>1609</v>
      </c>
      <c r="C3371" s="376" t="s">
        <v>1051</v>
      </c>
      <c r="D3371" s="376">
        <v>2028</v>
      </c>
      <c r="E3371" s="376">
        <v>2029</v>
      </c>
      <c r="F3371" s="376">
        <v>1</v>
      </c>
      <c r="G3371" s="376">
        <v>10872.741503138899</v>
      </c>
      <c r="H3371" s="376">
        <v>0</v>
      </c>
      <c r="I3371" s="376">
        <v>1</v>
      </c>
    </row>
    <row r="3372" spans="1:9" x14ac:dyDescent="0.35">
      <c r="A3372" s="376" t="s">
        <v>1604</v>
      </c>
      <c r="B3372" s="376" t="s">
        <v>1609</v>
      </c>
      <c r="C3372" s="376" t="s">
        <v>1054</v>
      </c>
      <c r="D3372" s="376">
        <v>2028</v>
      </c>
      <c r="E3372" s="376">
        <v>2029</v>
      </c>
      <c r="F3372" s="376">
        <v>1</v>
      </c>
      <c r="G3372" s="376">
        <v>10872.741503138899</v>
      </c>
      <c r="H3372" s="376">
        <v>0</v>
      </c>
      <c r="I3372" s="376">
        <v>1</v>
      </c>
    </row>
    <row r="3373" spans="1:9" x14ac:dyDescent="0.35">
      <c r="A3373" s="376" t="s">
        <v>1604</v>
      </c>
      <c r="B3373" s="376" t="s">
        <v>1609</v>
      </c>
      <c r="C3373" s="376" t="s">
        <v>1046</v>
      </c>
      <c r="D3373" s="376">
        <v>2028</v>
      </c>
      <c r="E3373" s="376">
        <v>2030</v>
      </c>
      <c r="F3373" s="376">
        <v>1</v>
      </c>
      <c r="G3373" s="376">
        <v>10872.741503138899</v>
      </c>
      <c r="H3373" s="376">
        <v>0</v>
      </c>
      <c r="I3373" s="376">
        <v>1</v>
      </c>
    </row>
    <row r="3374" spans="1:9" x14ac:dyDescent="0.35">
      <c r="A3374" s="376" t="s">
        <v>1604</v>
      </c>
      <c r="B3374" s="376" t="s">
        <v>1609</v>
      </c>
      <c r="C3374" s="376" t="s">
        <v>644</v>
      </c>
      <c r="D3374" s="376">
        <v>2028</v>
      </c>
      <c r="E3374" s="376">
        <v>2030</v>
      </c>
      <c r="F3374" s="376">
        <v>1</v>
      </c>
      <c r="G3374" s="376">
        <v>10872.741503138899</v>
      </c>
      <c r="H3374" s="376">
        <v>0</v>
      </c>
      <c r="I3374" s="376">
        <v>1</v>
      </c>
    </row>
    <row r="3375" spans="1:9" x14ac:dyDescent="0.35">
      <c r="A3375" s="376" t="s">
        <v>1604</v>
      </c>
      <c r="B3375" s="376" t="s">
        <v>1609</v>
      </c>
      <c r="C3375" s="376" t="s">
        <v>628</v>
      </c>
      <c r="D3375" s="376">
        <v>2028</v>
      </c>
      <c r="E3375" s="376">
        <v>2030</v>
      </c>
      <c r="F3375" s="376">
        <v>1</v>
      </c>
      <c r="G3375" s="376">
        <v>10872.741503138899</v>
      </c>
      <c r="H3375" s="376">
        <v>0</v>
      </c>
      <c r="I3375" s="376">
        <v>1</v>
      </c>
    </row>
    <row r="3376" spans="1:9" x14ac:dyDescent="0.35">
      <c r="A3376" s="376" t="s">
        <v>1604</v>
      </c>
      <c r="B3376" s="376" t="s">
        <v>1609</v>
      </c>
      <c r="C3376" s="376" t="s">
        <v>1051</v>
      </c>
      <c r="D3376" s="376">
        <v>2028</v>
      </c>
      <c r="E3376" s="376">
        <v>2030</v>
      </c>
      <c r="F3376" s="376">
        <v>1</v>
      </c>
      <c r="G3376" s="376">
        <v>10872.741503138899</v>
      </c>
      <c r="H3376" s="376">
        <v>0</v>
      </c>
      <c r="I3376" s="376">
        <v>1</v>
      </c>
    </row>
    <row r="3377" spans="1:9" x14ac:dyDescent="0.35">
      <c r="A3377" s="376" t="s">
        <v>1604</v>
      </c>
      <c r="B3377" s="376" t="s">
        <v>1609</v>
      </c>
      <c r="C3377" s="376" t="s">
        <v>1054</v>
      </c>
      <c r="D3377" s="376">
        <v>2028</v>
      </c>
      <c r="E3377" s="376">
        <v>2030</v>
      </c>
      <c r="F3377" s="376">
        <v>1</v>
      </c>
      <c r="G3377" s="376">
        <v>10872.741503138899</v>
      </c>
      <c r="H3377" s="376">
        <v>0</v>
      </c>
      <c r="I3377" s="376">
        <v>1</v>
      </c>
    </row>
    <row r="3378" spans="1:9" x14ac:dyDescent="0.35">
      <c r="A3378" s="376" t="s">
        <v>1604</v>
      </c>
      <c r="B3378" s="376" t="s">
        <v>1609</v>
      </c>
      <c r="C3378" s="376" t="s">
        <v>1046</v>
      </c>
      <c r="D3378" s="376">
        <v>2028</v>
      </c>
      <c r="E3378" s="376">
        <v>2031</v>
      </c>
      <c r="F3378" s="376">
        <v>1</v>
      </c>
      <c r="G3378" s="376">
        <v>10872.741503138899</v>
      </c>
      <c r="H3378" s="376">
        <v>0</v>
      </c>
      <c r="I3378" s="376">
        <v>1</v>
      </c>
    </row>
    <row r="3379" spans="1:9" x14ac:dyDescent="0.35">
      <c r="A3379" s="376" t="s">
        <v>1604</v>
      </c>
      <c r="B3379" s="376" t="s">
        <v>1609</v>
      </c>
      <c r="C3379" s="376" t="s">
        <v>644</v>
      </c>
      <c r="D3379" s="376">
        <v>2028</v>
      </c>
      <c r="E3379" s="376">
        <v>2031</v>
      </c>
      <c r="F3379" s="376">
        <v>1</v>
      </c>
      <c r="G3379" s="376">
        <v>10872.741503138899</v>
      </c>
      <c r="H3379" s="376">
        <v>0</v>
      </c>
      <c r="I3379" s="376">
        <v>1</v>
      </c>
    </row>
    <row r="3380" spans="1:9" x14ac:dyDescent="0.35">
      <c r="A3380" s="376" t="s">
        <v>1604</v>
      </c>
      <c r="B3380" s="376" t="s">
        <v>1609</v>
      </c>
      <c r="C3380" s="376" t="s">
        <v>628</v>
      </c>
      <c r="D3380" s="376">
        <v>2028</v>
      </c>
      <c r="E3380" s="376">
        <v>2031</v>
      </c>
      <c r="F3380" s="376">
        <v>1</v>
      </c>
      <c r="G3380" s="376">
        <v>10872.741503138899</v>
      </c>
      <c r="H3380" s="376">
        <v>0</v>
      </c>
      <c r="I3380" s="376">
        <v>1</v>
      </c>
    </row>
    <row r="3381" spans="1:9" x14ac:dyDescent="0.35">
      <c r="A3381" s="376" t="s">
        <v>1604</v>
      </c>
      <c r="B3381" s="376" t="s">
        <v>1609</v>
      </c>
      <c r="C3381" s="376" t="s">
        <v>1051</v>
      </c>
      <c r="D3381" s="376">
        <v>2028</v>
      </c>
      <c r="E3381" s="376">
        <v>2031</v>
      </c>
      <c r="F3381" s="376">
        <v>1</v>
      </c>
      <c r="G3381" s="376">
        <v>10872.741503138899</v>
      </c>
      <c r="H3381" s="376">
        <v>0</v>
      </c>
      <c r="I3381" s="376">
        <v>1</v>
      </c>
    </row>
    <row r="3382" spans="1:9" x14ac:dyDescent="0.35">
      <c r="A3382" s="376" t="s">
        <v>1604</v>
      </c>
      <c r="B3382" s="376" t="s">
        <v>1609</v>
      </c>
      <c r="C3382" s="376" t="s">
        <v>1054</v>
      </c>
      <c r="D3382" s="376">
        <v>2028</v>
      </c>
      <c r="E3382" s="376">
        <v>2031</v>
      </c>
      <c r="F3382" s="376">
        <v>1</v>
      </c>
      <c r="G3382" s="376">
        <v>10872.741503138899</v>
      </c>
      <c r="H3382" s="376">
        <v>0</v>
      </c>
      <c r="I3382" s="376">
        <v>1</v>
      </c>
    </row>
    <row r="3383" spans="1:9" x14ac:dyDescent="0.35">
      <c r="A3383" s="376" t="s">
        <v>1615</v>
      </c>
      <c r="B3383" s="376" t="s">
        <v>1609</v>
      </c>
      <c r="C3383" s="376" t="s">
        <v>1046</v>
      </c>
      <c r="D3383" s="376">
        <v>2028</v>
      </c>
      <c r="E3383" s="376">
        <v>2028</v>
      </c>
      <c r="F3383" s="376">
        <v>1</v>
      </c>
      <c r="G3383" s="376">
        <v>20148.813739673951</v>
      </c>
      <c r="H3383" s="376">
        <v>0</v>
      </c>
      <c r="I3383" s="376">
        <v>0.65716939790195539</v>
      </c>
    </row>
    <row r="3384" spans="1:9" x14ac:dyDescent="0.35">
      <c r="A3384" s="376" t="s">
        <v>1615</v>
      </c>
      <c r="B3384" s="376" t="s">
        <v>1609</v>
      </c>
      <c r="C3384" s="376" t="s">
        <v>644</v>
      </c>
      <c r="D3384" s="376">
        <v>2028</v>
      </c>
      <c r="E3384" s="376">
        <v>2028</v>
      </c>
      <c r="F3384" s="376">
        <v>1</v>
      </c>
      <c r="G3384" s="376">
        <v>20148.813739673951</v>
      </c>
      <c r="H3384" s="376">
        <v>0</v>
      </c>
      <c r="I3384" s="376">
        <v>0.65716939790195539</v>
      </c>
    </row>
    <row r="3385" spans="1:9" x14ac:dyDescent="0.35">
      <c r="A3385" s="376" t="s">
        <v>1615</v>
      </c>
      <c r="B3385" s="376" t="s">
        <v>1609</v>
      </c>
      <c r="C3385" s="376" t="s">
        <v>628</v>
      </c>
      <c r="D3385" s="376">
        <v>2028</v>
      </c>
      <c r="E3385" s="376">
        <v>2028</v>
      </c>
      <c r="F3385" s="376">
        <v>1</v>
      </c>
      <c r="G3385" s="376">
        <v>20148.813739673951</v>
      </c>
      <c r="H3385" s="376">
        <v>0</v>
      </c>
      <c r="I3385" s="376">
        <v>0.65716939790195539</v>
      </c>
    </row>
    <row r="3386" spans="1:9" x14ac:dyDescent="0.35">
      <c r="A3386" s="376" t="s">
        <v>1615</v>
      </c>
      <c r="B3386" s="376" t="s">
        <v>1609</v>
      </c>
      <c r="C3386" s="376" t="s">
        <v>1051</v>
      </c>
      <c r="D3386" s="376">
        <v>2028</v>
      </c>
      <c r="E3386" s="376">
        <v>2028</v>
      </c>
      <c r="F3386" s="376">
        <v>1</v>
      </c>
      <c r="G3386" s="376">
        <v>20148.813739673951</v>
      </c>
      <c r="H3386" s="376">
        <v>0</v>
      </c>
      <c r="I3386" s="376">
        <v>0.65716939790195539</v>
      </c>
    </row>
    <row r="3387" spans="1:9" x14ac:dyDescent="0.35">
      <c r="A3387" s="376" t="s">
        <v>1615</v>
      </c>
      <c r="B3387" s="376" t="s">
        <v>1609</v>
      </c>
      <c r="C3387" s="376" t="s">
        <v>1054</v>
      </c>
      <c r="D3387" s="376">
        <v>2028</v>
      </c>
      <c r="E3387" s="376">
        <v>2028</v>
      </c>
      <c r="F3387" s="376">
        <v>1</v>
      </c>
      <c r="G3387" s="376">
        <v>20148.813739673951</v>
      </c>
      <c r="H3387" s="376">
        <v>0</v>
      </c>
      <c r="I3387" s="376">
        <v>0.65716939790195539</v>
      </c>
    </row>
    <row r="3388" spans="1:9" x14ac:dyDescent="0.35">
      <c r="A3388" s="376" t="s">
        <v>1615</v>
      </c>
      <c r="B3388" s="376" t="s">
        <v>1609</v>
      </c>
      <c r="C3388" s="376" t="s">
        <v>1046</v>
      </c>
      <c r="D3388" s="376">
        <v>2028</v>
      </c>
      <c r="E3388" s="376">
        <v>2029</v>
      </c>
      <c r="F3388" s="376">
        <v>1</v>
      </c>
      <c r="G3388" s="376">
        <v>20148.813739673951</v>
      </c>
      <c r="H3388" s="376">
        <v>0</v>
      </c>
      <c r="I3388" s="376">
        <v>0.65716939790195539</v>
      </c>
    </row>
    <row r="3389" spans="1:9" x14ac:dyDescent="0.35">
      <c r="A3389" s="376" t="s">
        <v>1615</v>
      </c>
      <c r="B3389" s="376" t="s">
        <v>1609</v>
      </c>
      <c r="C3389" s="376" t="s">
        <v>644</v>
      </c>
      <c r="D3389" s="376">
        <v>2028</v>
      </c>
      <c r="E3389" s="376">
        <v>2029</v>
      </c>
      <c r="F3389" s="376">
        <v>1</v>
      </c>
      <c r="G3389" s="376">
        <v>20148.813739673951</v>
      </c>
      <c r="H3389" s="376">
        <v>0</v>
      </c>
      <c r="I3389" s="376">
        <v>0.65716939790195539</v>
      </c>
    </row>
    <row r="3390" spans="1:9" x14ac:dyDescent="0.35">
      <c r="A3390" s="376" t="s">
        <v>1615</v>
      </c>
      <c r="B3390" s="376" t="s">
        <v>1609</v>
      </c>
      <c r="C3390" s="376" t="s">
        <v>628</v>
      </c>
      <c r="D3390" s="376">
        <v>2028</v>
      </c>
      <c r="E3390" s="376">
        <v>2029</v>
      </c>
      <c r="F3390" s="376">
        <v>1</v>
      </c>
      <c r="G3390" s="376">
        <v>20148.813739673951</v>
      </c>
      <c r="H3390" s="376">
        <v>0</v>
      </c>
      <c r="I3390" s="376">
        <v>0.65716939790195539</v>
      </c>
    </row>
    <row r="3391" spans="1:9" x14ac:dyDescent="0.35">
      <c r="A3391" s="376" t="s">
        <v>1615</v>
      </c>
      <c r="B3391" s="376" t="s">
        <v>1609</v>
      </c>
      <c r="C3391" s="376" t="s">
        <v>1051</v>
      </c>
      <c r="D3391" s="376">
        <v>2028</v>
      </c>
      <c r="E3391" s="376">
        <v>2029</v>
      </c>
      <c r="F3391" s="376">
        <v>1</v>
      </c>
      <c r="G3391" s="376">
        <v>20148.813739673951</v>
      </c>
      <c r="H3391" s="376">
        <v>0</v>
      </c>
      <c r="I3391" s="376">
        <v>0.65716939790195539</v>
      </c>
    </row>
    <row r="3392" spans="1:9" x14ac:dyDescent="0.35">
      <c r="A3392" s="376" t="s">
        <v>1615</v>
      </c>
      <c r="B3392" s="376" t="s">
        <v>1609</v>
      </c>
      <c r="C3392" s="376" t="s">
        <v>1054</v>
      </c>
      <c r="D3392" s="376">
        <v>2028</v>
      </c>
      <c r="E3392" s="376">
        <v>2029</v>
      </c>
      <c r="F3392" s="376">
        <v>1</v>
      </c>
      <c r="G3392" s="376">
        <v>20148.813739673951</v>
      </c>
      <c r="H3392" s="376">
        <v>0</v>
      </c>
      <c r="I3392" s="376">
        <v>0.65716939790195539</v>
      </c>
    </row>
    <row r="3393" spans="1:9" x14ac:dyDescent="0.35">
      <c r="A3393" s="376" t="s">
        <v>1615</v>
      </c>
      <c r="B3393" s="376" t="s">
        <v>1609</v>
      </c>
      <c r="C3393" s="376" t="s">
        <v>1046</v>
      </c>
      <c r="D3393" s="376">
        <v>2028</v>
      </c>
      <c r="E3393" s="376">
        <v>2030</v>
      </c>
      <c r="F3393" s="376">
        <v>1</v>
      </c>
      <c r="G3393" s="376">
        <v>20148.813739673951</v>
      </c>
      <c r="H3393" s="376">
        <v>0</v>
      </c>
      <c r="I3393" s="376">
        <v>0.65716939790195539</v>
      </c>
    </row>
    <row r="3394" spans="1:9" x14ac:dyDescent="0.35">
      <c r="A3394" s="376" t="s">
        <v>1615</v>
      </c>
      <c r="B3394" s="376" t="s">
        <v>1609</v>
      </c>
      <c r="C3394" s="376" t="s">
        <v>644</v>
      </c>
      <c r="D3394" s="376">
        <v>2028</v>
      </c>
      <c r="E3394" s="376">
        <v>2030</v>
      </c>
      <c r="F3394" s="376">
        <v>1</v>
      </c>
      <c r="G3394" s="376">
        <v>20148.813739673951</v>
      </c>
      <c r="H3394" s="376">
        <v>0</v>
      </c>
      <c r="I3394" s="376">
        <v>0.65716939790195539</v>
      </c>
    </row>
    <row r="3395" spans="1:9" x14ac:dyDescent="0.35">
      <c r="A3395" s="376" t="s">
        <v>1615</v>
      </c>
      <c r="B3395" s="376" t="s">
        <v>1609</v>
      </c>
      <c r="C3395" s="376" t="s">
        <v>628</v>
      </c>
      <c r="D3395" s="376">
        <v>2028</v>
      </c>
      <c r="E3395" s="376">
        <v>2030</v>
      </c>
      <c r="F3395" s="376">
        <v>1</v>
      </c>
      <c r="G3395" s="376">
        <v>20148.813739673951</v>
      </c>
      <c r="H3395" s="376">
        <v>0</v>
      </c>
      <c r="I3395" s="376">
        <v>0.65716939790195539</v>
      </c>
    </row>
    <row r="3396" spans="1:9" x14ac:dyDescent="0.35">
      <c r="A3396" s="376" t="s">
        <v>1615</v>
      </c>
      <c r="B3396" s="376" t="s">
        <v>1609</v>
      </c>
      <c r="C3396" s="376" t="s">
        <v>1051</v>
      </c>
      <c r="D3396" s="376">
        <v>2028</v>
      </c>
      <c r="E3396" s="376">
        <v>2030</v>
      </c>
      <c r="F3396" s="376">
        <v>1</v>
      </c>
      <c r="G3396" s="376">
        <v>20148.813739673951</v>
      </c>
      <c r="H3396" s="376">
        <v>0</v>
      </c>
      <c r="I3396" s="376">
        <v>0.65716939790195539</v>
      </c>
    </row>
    <row r="3397" spans="1:9" x14ac:dyDescent="0.35">
      <c r="A3397" s="376" t="s">
        <v>1615</v>
      </c>
      <c r="B3397" s="376" t="s">
        <v>1609</v>
      </c>
      <c r="C3397" s="376" t="s">
        <v>1054</v>
      </c>
      <c r="D3397" s="376">
        <v>2028</v>
      </c>
      <c r="E3397" s="376">
        <v>2030</v>
      </c>
      <c r="F3397" s="376">
        <v>1</v>
      </c>
      <c r="G3397" s="376">
        <v>20148.813739673951</v>
      </c>
      <c r="H3397" s="376">
        <v>0</v>
      </c>
      <c r="I3397" s="376">
        <v>0.65716939790195539</v>
      </c>
    </row>
    <row r="3398" spans="1:9" x14ac:dyDescent="0.35">
      <c r="A3398" s="376" t="s">
        <v>1615</v>
      </c>
      <c r="B3398" s="376" t="s">
        <v>1609</v>
      </c>
      <c r="C3398" s="376" t="s">
        <v>1046</v>
      </c>
      <c r="D3398" s="376">
        <v>2028</v>
      </c>
      <c r="E3398" s="376">
        <v>2031</v>
      </c>
      <c r="F3398" s="376">
        <v>1</v>
      </c>
      <c r="G3398" s="376">
        <v>20148.813739673951</v>
      </c>
      <c r="H3398" s="376">
        <v>0</v>
      </c>
      <c r="I3398" s="376">
        <v>0.65716939790195539</v>
      </c>
    </row>
    <row r="3399" spans="1:9" x14ac:dyDescent="0.35">
      <c r="A3399" s="376" t="s">
        <v>1615</v>
      </c>
      <c r="B3399" s="376" t="s">
        <v>1609</v>
      </c>
      <c r="C3399" s="376" t="s">
        <v>644</v>
      </c>
      <c r="D3399" s="376">
        <v>2028</v>
      </c>
      <c r="E3399" s="376">
        <v>2031</v>
      </c>
      <c r="F3399" s="376">
        <v>1</v>
      </c>
      <c r="G3399" s="376">
        <v>20148.813739673951</v>
      </c>
      <c r="H3399" s="376">
        <v>0</v>
      </c>
      <c r="I3399" s="376">
        <v>0.65716939790195539</v>
      </c>
    </row>
    <row r="3400" spans="1:9" x14ac:dyDescent="0.35">
      <c r="A3400" s="376" t="s">
        <v>1615</v>
      </c>
      <c r="B3400" s="376" t="s">
        <v>1609</v>
      </c>
      <c r="C3400" s="376" t="s">
        <v>628</v>
      </c>
      <c r="D3400" s="376">
        <v>2028</v>
      </c>
      <c r="E3400" s="376">
        <v>2031</v>
      </c>
      <c r="F3400" s="376">
        <v>1</v>
      </c>
      <c r="G3400" s="376">
        <v>20148.813739673951</v>
      </c>
      <c r="H3400" s="376">
        <v>0</v>
      </c>
      <c r="I3400" s="376">
        <v>0.65716939790195539</v>
      </c>
    </row>
    <row r="3401" spans="1:9" x14ac:dyDescent="0.35">
      <c r="A3401" s="376" t="s">
        <v>1615</v>
      </c>
      <c r="B3401" s="376" t="s">
        <v>1609</v>
      </c>
      <c r="C3401" s="376" t="s">
        <v>1051</v>
      </c>
      <c r="D3401" s="376">
        <v>2028</v>
      </c>
      <c r="E3401" s="376">
        <v>2031</v>
      </c>
      <c r="F3401" s="376">
        <v>1</v>
      </c>
      <c r="G3401" s="376">
        <v>20148.813739673951</v>
      </c>
      <c r="H3401" s="376">
        <v>0</v>
      </c>
      <c r="I3401" s="376">
        <v>0.65716939790195539</v>
      </c>
    </row>
    <row r="3402" spans="1:9" x14ac:dyDescent="0.35">
      <c r="A3402" s="376" t="s">
        <v>1615</v>
      </c>
      <c r="B3402" s="376" t="s">
        <v>1609</v>
      </c>
      <c r="C3402" s="376" t="s">
        <v>1054</v>
      </c>
      <c r="D3402" s="376">
        <v>2028</v>
      </c>
      <c r="E3402" s="376">
        <v>2031</v>
      </c>
      <c r="F3402" s="376">
        <v>1</v>
      </c>
      <c r="G3402" s="376">
        <v>20148.813739673951</v>
      </c>
      <c r="H3402" s="376">
        <v>0</v>
      </c>
      <c r="I3402" s="376">
        <v>0.65716939790195539</v>
      </c>
    </row>
    <row r="3403" spans="1:9" x14ac:dyDescent="0.35">
      <c r="A3403" s="376" t="s">
        <v>1603</v>
      </c>
      <c r="B3403" s="376" t="s">
        <v>1609</v>
      </c>
      <c r="C3403" s="376" t="s">
        <v>1046</v>
      </c>
      <c r="D3403" s="376">
        <v>2028</v>
      </c>
      <c r="E3403" s="376">
        <v>2028</v>
      </c>
      <c r="F3403" s="376">
        <v>1</v>
      </c>
      <c r="G3403" s="376">
        <v>6101.463203368502</v>
      </c>
      <c r="H3403" s="376">
        <v>0</v>
      </c>
      <c r="I3403" s="376">
        <v>1</v>
      </c>
    </row>
    <row r="3404" spans="1:9" x14ac:dyDescent="0.35">
      <c r="A3404" s="376" t="s">
        <v>1603</v>
      </c>
      <c r="B3404" s="376" t="s">
        <v>1609</v>
      </c>
      <c r="C3404" s="376" t="s">
        <v>644</v>
      </c>
      <c r="D3404" s="376">
        <v>2028</v>
      </c>
      <c r="E3404" s="376">
        <v>2028</v>
      </c>
      <c r="F3404" s="376">
        <v>1</v>
      </c>
      <c r="G3404" s="376">
        <v>6101.463203368502</v>
      </c>
      <c r="H3404" s="376">
        <v>0</v>
      </c>
      <c r="I3404" s="376">
        <v>1</v>
      </c>
    </row>
    <row r="3405" spans="1:9" x14ac:dyDescent="0.35">
      <c r="A3405" s="376" t="s">
        <v>1603</v>
      </c>
      <c r="B3405" s="376" t="s">
        <v>1609</v>
      </c>
      <c r="C3405" s="376" t="s">
        <v>628</v>
      </c>
      <c r="D3405" s="376">
        <v>2028</v>
      </c>
      <c r="E3405" s="376">
        <v>2028</v>
      </c>
      <c r="F3405" s="376">
        <v>1</v>
      </c>
      <c r="G3405" s="376">
        <v>6101.463203368502</v>
      </c>
      <c r="H3405" s="376">
        <v>0</v>
      </c>
      <c r="I3405" s="376">
        <v>1</v>
      </c>
    </row>
    <row r="3406" spans="1:9" x14ac:dyDescent="0.35">
      <c r="A3406" s="376" t="s">
        <v>1603</v>
      </c>
      <c r="B3406" s="376" t="s">
        <v>1609</v>
      </c>
      <c r="C3406" s="376" t="s">
        <v>1051</v>
      </c>
      <c r="D3406" s="376">
        <v>2028</v>
      </c>
      <c r="E3406" s="376">
        <v>2028</v>
      </c>
      <c r="F3406" s="376">
        <v>1</v>
      </c>
      <c r="G3406" s="376">
        <v>6101.463203368502</v>
      </c>
      <c r="H3406" s="376">
        <v>0</v>
      </c>
      <c r="I3406" s="376">
        <v>1</v>
      </c>
    </row>
    <row r="3407" spans="1:9" x14ac:dyDescent="0.35">
      <c r="A3407" s="376" t="s">
        <v>1603</v>
      </c>
      <c r="B3407" s="376" t="s">
        <v>1609</v>
      </c>
      <c r="C3407" s="376" t="s">
        <v>1054</v>
      </c>
      <c r="D3407" s="376">
        <v>2028</v>
      </c>
      <c r="E3407" s="376">
        <v>2028</v>
      </c>
      <c r="F3407" s="376">
        <v>1</v>
      </c>
      <c r="G3407" s="376">
        <v>6101.463203368502</v>
      </c>
      <c r="H3407" s="376">
        <v>0</v>
      </c>
      <c r="I3407" s="376">
        <v>1</v>
      </c>
    </row>
    <row r="3408" spans="1:9" x14ac:dyDescent="0.35">
      <c r="A3408" s="376" t="s">
        <v>1603</v>
      </c>
      <c r="B3408" s="376" t="s">
        <v>1609</v>
      </c>
      <c r="C3408" s="376" t="s">
        <v>1046</v>
      </c>
      <c r="D3408" s="376">
        <v>2028</v>
      </c>
      <c r="E3408" s="376">
        <v>2029</v>
      </c>
      <c r="F3408" s="376">
        <v>1</v>
      </c>
      <c r="G3408" s="376">
        <v>6101.463203368502</v>
      </c>
      <c r="H3408" s="376">
        <v>0</v>
      </c>
      <c r="I3408" s="376">
        <v>1</v>
      </c>
    </row>
    <row r="3409" spans="1:9" x14ac:dyDescent="0.35">
      <c r="A3409" s="376" t="s">
        <v>1603</v>
      </c>
      <c r="B3409" s="376" t="s">
        <v>1609</v>
      </c>
      <c r="C3409" s="376" t="s">
        <v>644</v>
      </c>
      <c r="D3409" s="376">
        <v>2028</v>
      </c>
      <c r="E3409" s="376">
        <v>2029</v>
      </c>
      <c r="F3409" s="376">
        <v>1</v>
      </c>
      <c r="G3409" s="376">
        <v>6101.463203368502</v>
      </c>
      <c r="H3409" s="376">
        <v>0</v>
      </c>
      <c r="I3409" s="376">
        <v>1</v>
      </c>
    </row>
    <row r="3410" spans="1:9" x14ac:dyDescent="0.35">
      <c r="A3410" s="376" t="s">
        <v>1603</v>
      </c>
      <c r="B3410" s="376" t="s">
        <v>1609</v>
      </c>
      <c r="C3410" s="376" t="s">
        <v>628</v>
      </c>
      <c r="D3410" s="376">
        <v>2028</v>
      </c>
      <c r="E3410" s="376">
        <v>2029</v>
      </c>
      <c r="F3410" s="376">
        <v>1</v>
      </c>
      <c r="G3410" s="376">
        <v>6101.463203368502</v>
      </c>
      <c r="H3410" s="376">
        <v>0</v>
      </c>
      <c r="I3410" s="376">
        <v>1</v>
      </c>
    </row>
    <row r="3411" spans="1:9" x14ac:dyDescent="0.35">
      <c r="A3411" s="376" t="s">
        <v>1603</v>
      </c>
      <c r="B3411" s="376" t="s">
        <v>1609</v>
      </c>
      <c r="C3411" s="376" t="s">
        <v>1051</v>
      </c>
      <c r="D3411" s="376">
        <v>2028</v>
      </c>
      <c r="E3411" s="376">
        <v>2029</v>
      </c>
      <c r="F3411" s="376">
        <v>1</v>
      </c>
      <c r="G3411" s="376">
        <v>6101.463203368502</v>
      </c>
      <c r="H3411" s="376">
        <v>0</v>
      </c>
      <c r="I3411" s="376">
        <v>1</v>
      </c>
    </row>
    <row r="3412" spans="1:9" x14ac:dyDescent="0.35">
      <c r="A3412" s="376" t="s">
        <v>1603</v>
      </c>
      <c r="B3412" s="376" t="s">
        <v>1609</v>
      </c>
      <c r="C3412" s="376" t="s">
        <v>1054</v>
      </c>
      <c r="D3412" s="376">
        <v>2028</v>
      </c>
      <c r="E3412" s="376">
        <v>2029</v>
      </c>
      <c r="F3412" s="376">
        <v>1</v>
      </c>
      <c r="G3412" s="376">
        <v>6101.463203368502</v>
      </c>
      <c r="H3412" s="376">
        <v>0</v>
      </c>
      <c r="I3412" s="376">
        <v>1</v>
      </c>
    </row>
    <row r="3413" spans="1:9" x14ac:dyDescent="0.35">
      <c r="A3413" s="376" t="s">
        <v>1603</v>
      </c>
      <c r="B3413" s="376" t="s">
        <v>1609</v>
      </c>
      <c r="C3413" s="376" t="s">
        <v>1046</v>
      </c>
      <c r="D3413" s="376">
        <v>2028</v>
      </c>
      <c r="E3413" s="376">
        <v>2030</v>
      </c>
      <c r="F3413" s="376">
        <v>1</v>
      </c>
      <c r="G3413" s="376">
        <v>6101.463203368502</v>
      </c>
      <c r="H3413" s="376">
        <v>0</v>
      </c>
      <c r="I3413" s="376">
        <v>1</v>
      </c>
    </row>
    <row r="3414" spans="1:9" x14ac:dyDescent="0.35">
      <c r="A3414" s="376" t="s">
        <v>1603</v>
      </c>
      <c r="B3414" s="376" t="s">
        <v>1609</v>
      </c>
      <c r="C3414" s="376" t="s">
        <v>644</v>
      </c>
      <c r="D3414" s="376">
        <v>2028</v>
      </c>
      <c r="E3414" s="376">
        <v>2030</v>
      </c>
      <c r="F3414" s="376">
        <v>1</v>
      </c>
      <c r="G3414" s="376">
        <v>6101.463203368502</v>
      </c>
      <c r="H3414" s="376">
        <v>0</v>
      </c>
      <c r="I3414" s="376">
        <v>1</v>
      </c>
    </row>
    <row r="3415" spans="1:9" x14ac:dyDescent="0.35">
      <c r="A3415" s="376" t="s">
        <v>1603</v>
      </c>
      <c r="B3415" s="376" t="s">
        <v>1609</v>
      </c>
      <c r="C3415" s="376" t="s">
        <v>628</v>
      </c>
      <c r="D3415" s="376">
        <v>2028</v>
      </c>
      <c r="E3415" s="376">
        <v>2030</v>
      </c>
      <c r="F3415" s="376">
        <v>1</v>
      </c>
      <c r="G3415" s="376">
        <v>6101.463203368502</v>
      </c>
      <c r="H3415" s="376">
        <v>0</v>
      </c>
      <c r="I3415" s="376">
        <v>1</v>
      </c>
    </row>
    <row r="3416" spans="1:9" x14ac:dyDescent="0.35">
      <c r="A3416" s="376" t="s">
        <v>1603</v>
      </c>
      <c r="B3416" s="376" t="s">
        <v>1609</v>
      </c>
      <c r="C3416" s="376" t="s">
        <v>1051</v>
      </c>
      <c r="D3416" s="376">
        <v>2028</v>
      </c>
      <c r="E3416" s="376">
        <v>2030</v>
      </c>
      <c r="F3416" s="376">
        <v>1</v>
      </c>
      <c r="G3416" s="376">
        <v>6101.463203368502</v>
      </c>
      <c r="H3416" s="376">
        <v>0</v>
      </c>
      <c r="I3416" s="376">
        <v>1</v>
      </c>
    </row>
    <row r="3417" spans="1:9" x14ac:dyDescent="0.35">
      <c r="A3417" s="376" t="s">
        <v>1603</v>
      </c>
      <c r="B3417" s="376" t="s">
        <v>1609</v>
      </c>
      <c r="C3417" s="376" t="s">
        <v>1054</v>
      </c>
      <c r="D3417" s="376">
        <v>2028</v>
      </c>
      <c r="E3417" s="376">
        <v>2030</v>
      </c>
      <c r="F3417" s="376">
        <v>1</v>
      </c>
      <c r="G3417" s="376">
        <v>6101.463203368502</v>
      </c>
      <c r="H3417" s="376">
        <v>0</v>
      </c>
      <c r="I3417" s="376">
        <v>1</v>
      </c>
    </row>
    <row r="3418" spans="1:9" x14ac:dyDescent="0.35">
      <c r="A3418" s="376" t="s">
        <v>1603</v>
      </c>
      <c r="B3418" s="376" t="s">
        <v>1609</v>
      </c>
      <c r="C3418" s="376" t="s">
        <v>1046</v>
      </c>
      <c r="D3418" s="376">
        <v>2028</v>
      </c>
      <c r="E3418" s="376">
        <v>2031</v>
      </c>
      <c r="F3418" s="376">
        <v>1</v>
      </c>
      <c r="G3418" s="376">
        <v>6101.463203368502</v>
      </c>
      <c r="H3418" s="376">
        <v>0</v>
      </c>
      <c r="I3418" s="376">
        <v>1</v>
      </c>
    </row>
    <row r="3419" spans="1:9" x14ac:dyDescent="0.35">
      <c r="A3419" s="376" t="s">
        <v>1603</v>
      </c>
      <c r="B3419" s="376" t="s">
        <v>1609</v>
      </c>
      <c r="C3419" s="376" t="s">
        <v>644</v>
      </c>
      <c r="D3419" s="376">
        <v>2028</v>
      </c>
      <c r="E3419" s="376">
        <v>2031</v>
      </c>
      <c r="F3419" s="376">
        <v>1</v>
      </c>
      <c r="G3419" s="376">
        <v>6101.463203368502</v>
      </c>
      <c r="H3419" s="376">
        <v>0</v>
      </c>
      <c r="I3419" s="376">
        <v>1</v>
      </c>
    </row>
    <row r="3420" spans="1:9" x14ac:dyDescent="0.35">
      <c r="A3420" s="376" t="s">
        <v>1603</v>
      </c>
      <c r="B3420" s="376" t="s">
        <v>1609</v>
      </c>
      <c r="C3420" s="376" t="s">
        <v>628</v>
      </c>
      <c r="D3420" s="376">
        <v>2028</v>
      </c>
      <c r="E3420" s="376">
        <v>2031</v>
      </c>
      <c r="F3420" s="376">
        <v>1</v>
      </c>
      <c r="G3420" s="376">
        <v>6101.463203368502</v>
      </c>
      <c r="H3420" s="376">
        <v>0</v>
      </c>
      <c r="I3420" s="376">
        <v>1</v>
      </c>
    </row>
    <row r="3421" spans="1:9" x14ac:dyDescent="0.35">
      <c r="A3421" s="376" t="s">
        <v>1603</v>
      </c>
      <c r="B3421" s="376" t="s">
        <v>1609</v>
      </c>
      <c r="C3421" s="376" t="s">
        <v>1051</v>
      </c>
      <c r="D3421" s="376">
        <v>2028</v>
      </c>
      <c r="E3421" s="376">
        <v>2031</v>
      </c>
      <c r="F3421" s="376">
        <v>1</v>
      </c>
      <c r="G3421" s="376">
        <v>6101.463203368502</v>
      </c>
      <c r="H3421" s="376">
        <v>0</v>
      </c>
      <c r="I3421" s="376">
        <v>1</v>
      </c>
    </row>
    <row r="3422" spans="1:9" x14ac:dyDescent="0.35">
      <c r="A3422" s="376" t="s">
        <v>1603</v>
      </c>
      <c r="B3422" s="376" t="s">
        <v>1609</v>
      </c>
      <c r="C3422" s="376" t="s">
        <v>1054</v>
      </c>
      <c r="D3422" s="376">
        <v>2028</v>
      </c>
      <c r="E3422" s="376">
        <v>2031</v>
      </c>
      <c r="F3422" s="376">
        <v>1</v>
      </c>
      <c r="G3422" s="376">
        <v>6101.463203368502</v>
      </c>
      <c r="H3422" s="376">
        <v>0</v>
      </c>
      <c r="I3422" s="376">
        <v>1</v>
      </c>
    </row>
    <row r="3423" spans="1:9" x14ac:dyDescent="0.35">
      <c r="A3423" s="376" t="s">
        <v>1605</v>
      </c>
      <c r="B3423" s="376" t="s">
        <v>1609</v>
      </c>
      <c r="C3423" s="376" t="s">
        <v>1046</v>
      </c>
      <c r="D3423" s="376">
        <v>2028</v>
      </c>
      <c r="E3423" s="376">
        <v>2028</v>
      </c>
      <c r="F3423" s="376">
        <v>0.23884589662749595</v>
      </c>
      <c r="G3423" s="376">
        <v>10426.102375692073</v>
      </c>
      <c r="H3423" s="376">
        <v>0</v>
      </c>
      <c r="I3423" s="376">
        <v>1</v>
      </c>
    </row>
    <row r="3424" spans="1:9" x14ac:dyDescent="0.35">
      <c r="A3424" s="376" t="s">
        <v>1605</v>
      </c>
      <c r="B3424" s="376" t="s">
        <v>1609</v>
      </c>
      <c r="C3424" s="376" t="s">
        <v>644</v>
      </c>
      <c r="D3424" s="376">
        <v>2028</v>
      </c>
      <c r="E3424" s="376">
        <v>2028</v>
      </c>
      <c r="F3424" s="376">
        <v>0.23884589662749595</v>
      </c>
      <c r="G3424" s="376">
        <v>10426.102375692073</v>
      </c>
      <c r="H3424" s="376">
        <v>0</v>
      </c>
      <c r="I3424" s="376">
        <v>1</v>
      </c>
    </row>
    <row r="3425" spans="1:9" x14ac:dyDescent="0.35">
      <c r="A3425" s="376" t="s">
        <v>1605</v>
      </c>
      <c r="B3425" s="376" t="s">
        <v>1609</v>
      </c>
      <c r="C3425" s="376" t="s">
        <v>628</v>
      </c>
      <c r="D3425" s="376">
        <v>2028</v>
      </c>
      <c r="E3425" s="376">
        <v>2028</v>
      </c>
      <c r="F3425" s="376">
        <v>0.23884589662749595</v>
      </c>
      <c r="G3425" s="376">
        <v>10426.102375692073</v>
      </c>
      <c r="H3425" s="376">
        <v>0</v>
      </c>
      <c r="I3425" s="376">
        <v>1</v>
      </c>
    </row>
    <row r="3426" spans="1:9" x14ac:dyDescent="0.35">
      <c r="A3426" s="376" t="s">
        <v>1605</v>
      </c>
      <c r="B3426" s="376" t="s">
        <v>1609</v>
      </c>
      <c r="C3426" s="376" t="s">
        <v>1051</v>
      </c>
      <c r="D3426" s="376">
        <v>2028</v>
      </c>
      <c r="E3426" s="376">
        <v>2028</v>
      </c>
      <c r="F3426" s="376">
        <v>0.23884589662749595</v>
      </c>
      <c r="G3426" s="376">
        <v>10426.102375692073</v>
      </c>
      <c r="H3426" s="376">
        <v>0</v>
      </c>
      <c r="I3426" s="376">
        <v>1</v>
      </c>
    </row>
    <row r="3427" spans="1:9" x14ac:dyDescent="0.35">
      <c r="A3427" s="376" t="s">
        <v>1605</v>
      </c>
      <c r="B3427" s="376" t="s">
        <v>1609</v>
      </c>
      <c r="C3427" s="376" t="s">
        <v>1054</v>
      </c>
      <c r="D3427" s="376">
        <v>2028</v>
      </c>
      <c r="E3427" s="376">
        <v>2028</v>
      </c>
      <c r="F3427" s="376">
        <v>0.23884589662749595</v>
      </c>
      <c r="G3427" s="376">
        <v>10426.102375692073</v>
      </c>
      <c r="H3427" s="376">
        <v>0</v>
      </c>
      <c r="I3427" s="376">
        <v>1</v>
      </c>
    </row>
    <row r="3428" spans="1:9" x14ac:dyDescent="0.35">
      <c r="A3428" s="376" t="s">
        <v>1605</v>
      </c>
      <c r="B3428" s="376" t="s">
        <v>1609</v>
      </c>
      <c r="C3428" s="376" t="s">
        <v>1046</v>
      </c>
      <c r="D3428" s="376">
        <v>2028</v>
      </c>
      <c r="E3428" s="376">
        <v>2029</v>
      </c>
      <c r="F3428" s="376">
        <v>0.23884589662749595</v>
      </c>
      <c r="G3428" s="376">
        <v>10426.102375692073</v>
      </c>
      <c r="H3428" s="376">
        <v>0</v>
      </c>
      <c r="I3428" s="376">
        <v>1</v>
      </c>
    </row>
    <row r="3429" spans="1:9" x14ac:dyDescent="0.35">
      <c r="A3429" s="376" t="s">
        <v>1605</v>
      </c>
      <c r="B3429" s="376" t="s">
        <v>1609</v>
      </c>
      <c r="C3429" s="376" t="s">
        <v>644</v>
      </c>
      <c r="D3429" s="376">
        <v>2028</v>
      </c>
      <c r="E3429" s="376">
        <v>2029</v>
      </c>
      <c r="F3429" s="376">
        <v>0.23884589662749595</v>
      </c>
      <c r="G3429" s="376">
        <v>10426.102375692073</v>
      </c>
      <c r="H3429" s="376">
        <v>0</v>
      </c>
      <c r="I3429" s="376">
        <v>1</v>
      </c>
    </row>
    <row r="3430" spans="1:9" x14ac:dyDescent="0.35">
      <c r="A3430" s="376" t="s">
        <v>1605</v>
      </c>
      <c r="B3430" s="376" t="s">
        <v>1609</v>
      </c>
      <c r="C3430" s="376" t="s">
        <v>628</v>
      </c>
      <c r="D3430" s="376">
        <v>2028</v>
      </c>
      <c r="E3430" s="376">
        <v>2029</v>
      </c>
      <c r="F3430" s="376">
        <v>0.23884589662749595</v>
      </c>
      <c r="G3430" s="376">
        <v>10426.102375692073</v>
      </c>
      <c r="H3430" s="376">
        <v>0</v>
      </c>
      <c r="I3430" s="376">
        <v>1</v>
      </c>
    </row>
    <row r="3431" spans="1:9" x14ac:dyDescent="0.35">
      <c r="A3431" s="376" t="s">
        <v>1605</v>
      </c>
      <c r="B3431" s="376" t="s">
        <v>1609</v>
      </c>
      <c r="C3431" s="376" t="s">
        <v>1051</v>
      </c>
      <c r="D3431" s="376">
        <v>2028</v>
      </c>
      <c r="E3431" s="376">
        <v>2029</v>
      </c>
      <c r="F3431" s="376">
        <v>0.23884589662749595</v>
      </c>
      <c r="G3431" s="376">
        <v>10426.102375692073</v>
      </c>
      <c r="H3431" s="376">
        <v>0</v>
      </c>
      <c r="I3431" s="376">
        <v>1</v>
      </c>
    </row>
    <row r="3432" spans="1:9" x14ac:dyDescent="0.35">
      <c r="A3432" s="376" t="s">
        <v>1605</v>
      </c>
      <c r="B3432" s="376" t="s">
        <v>1609</v>
      </c>
      <c r="C3432" s="376" t="s">
        <v>1054</v>
      </c>
      <c r="D3432" s="376">
        <v>2028</v>
      </c>
      <c r="E3432" s="376">
        <v>2029</v>
      </c>
      <c r="F3432" s="376">
        <v>0.23884589662749595</v>
      </c>
      <c r="G3432" s="376">
        <v>10426.102375692073</v>
      </c>
      <c r="H3432" s="376">
        <v>0</v>
      </c>
      <c r="I3432" s="376">
        <v>1</v>
      </c>
    </row>
    <row r="3433" spans="1:9" x14ac:dyDescent="0.35">
      <c r="A3433" s="376" t="s">
        <v>1605</v>
      </c>
      <c r="B3433" s="376" t="s">
        <v>1609</v>
      </c>
      <c r="C3433" s="376" t="s">
        <v>1046</v>
      </c>
      <c r="D3433" s="376">
        <v>2028</v>
      </c>
      <c r="E3433" s="376">
        <v>2030</v>
      </c>
      <c r="F3433" s="376">
        <v>0.23884589662749595</v>
      </c>
      <c r="G3433" s="376">
        <v>10426.102375692073</v>
      </c>
      <c r="H3433" s="376">
        <v>0</v>
      </c>
      <c r="I3433" s="376">
        <v>1</v>
      </c>
    </row>
    <row r="3434" spans="1:9" x14ac:dyDescent="0.35">
      <c r="A3434" s="376" t="s">
        <v>1605</v>
      </c>
      <c r="B3434" s="376" t="s">
        <v>1609</v>
      </c>
      <c r="C3434" s="376" t="s">
        <v>644</v>
      </c>
      <c r="D3434" s="376">
        <v>2028</v>
      </c>
      <c r="E3434" s="376">
        <v>2030</v>
      </c>
      <c r="F3434" s="376">
        <v>0.23884589662749595</v>
      </c>
      <c r="G3434" s="376">
        <v>10426.102375692073</v>
      </c>
      <c r="H3434" s="376">
        <v>0</v>
      </c>
      <c r="I3434" s="376">
        <v>1</v>
      </c>
    </row>
    <row r="3435" spans="1:9" x14ac:dyDescent="0.35">
      <c r="A3435" s="376" t="s">
        <v>1605</v>
      </c>
      <c r="B3435" s="376" t="s">
        <v>1609</v>
      </c>
      <c r="C3435" s="376" t="s">
        <v>628</v>
      </c>
      <c r="D3435" s="376">
        <v>2028</v>
      </c>
      <c r="E3435" s="376">
        <v>2030</v>
      </c>
      <c r="F3435" s="376">
        <v>0.23884589662749595</v>
      </c>
      <c r="G3435" s="376">
        <v>10426.102375692073</v>
      </c>
      <c r="H3435" s="376">
        <v>0</v>
      </c>
      <c r="I3435" s="376">
        <v>1</v>
      </c>
    </row>
    <row r="3436" spans="1:9" x14ac:dyDescent="0.35">
      <c r="A3436" s="376" t="s">
        <v>1605</v>
      </c>
      <c r="B3436" s="376" t="s">
        <v>1609</v>
      </c>
      <c r="C3436" s="376" t="s">
        <v>1051</v>
      </c>
      <c r="D3436" s="376">
        <v>2028</v>
      </c>
      <c r="E3436" s="376">
        <v>2030</v>
      </c>
      <c r="F3436" s="376">
        <v>0.23884589662749595</v>
      </c>
      <c r="G3436" s="376">
        <v>10426.102375692073</v>
      </c>
      <c r="H3436" s="376">
        <v>0</v>
      </c>
      <c r="I3436" s="376">
        <v>1</v>
      </c>
    </row>
    <row r="3437" spans="1:9" x14ac:dyDescent="0.35">
      <c r="A3437" s="376" t="s">
        <v>1605</v>
      </c>
      <c r="B3437" s="376" t="s">
        <v>1609</v>
      </c>
      <c r="C3437" s="376" t="s">
        <v>1054</v>
      </c>
      <c r="D3437" s="376">
        <v>2028</v>
      </c>
      <c r="E3437" s="376">
        <v>2030</v>
      </c>
      <c r="F3437" s="376">
        <v>0.23884589662749595</v>
      </c>
      <c r="G3437" s="376">
        <v>10426.102375692073</v>
      </c>
      <c r="H3437" s="376">
        <v>0</v>
      </c>
      <c r="I3437" s="376">
        <v>1</v>
      </c>
    </row>
    <row r="3438" spans="1:9" x14ac:dyDescent="0.35">
      <c r="A3438" s="376" t="s">
        <v>1605</v>
      </c>
      <c r="B3438" s="376" t="s">
        <v>1609</v>
      </c>
      <c r="C3438" s="376" t="s">
        <v>1046</v>
      </c>
      <c r="D3438" s="376">
        <v>2028</v>
      </c>
      <c r="E3438" s="376">
        <v>2031</v>
      </c>
      <c r="F3438" s="376">
        <v>0.23884589662749595</v>
      </c>
      <c r="G3438" s="376">
        <v>10426.102375692073</v>
      </c>
      <c r="H3438" s="376">
        <v>0</v>
      </c>
      <c r="I3438" s="376">
        <v>1</v>
      </c>
    </row>
    <row r="3439" spans="1:9" x14ac:dyDescent="0.35">
      <c r="A3439" s="376" t="s">
        <v>1605</v>
      </c>
      <c r="B3439" s="376" t="s">
        <v>1609</v>
      </c>
      <c r="C3439" s="376" t="s">
        <v>644</v>
      </c>
      <c r="D3439" s="376">
        <v>2028</v>
      </c>
      <c r="E3439" s="376">
        <v>2031</v>
      </c>
      <c r="F3439" s="376">
        <v>0.23884589662749595</v>
      </c>
      <c r="G3439" s="376">
        <v>10426.102375692073</v>
      </c>
      <c r="H3439" s="376">
        <v>0</v>
      </c>
      <c r="I3439" s="376">
        <v>1</v>
      </c>
    </row>
    <row r="3440" spans="1:9" x14ac:dyDescent="0.35">
      <c r="A3440" s="376" t="s">
        <v>1605</v>
      </c>
      <c r="B3440" s="376" t="s">
        <v>1609</v>
      </c>
      <c r="C3440" s="376" t="s">
        <v>628</v>
      </c>
      <c r="D3440" s="376">
        <v>2028</v>
      </c>
      <c r="E3440" s="376">
        <v>2031</v>
      </c>
      <c r="F3440" s="376">
        <v>0.23884589662749595</v>
      </c>
      <c r="G3440" s="376">
        <v>10426.102375692073</v>
      </c>
      <c r="H3440" s="376">
        <v>0</v>
      </c>
      <c r="I3440" s="376">
        <v>1</v>
      </c>
    </row>
    <row r="3441" spans="1:9" x14ac:dyDescent="0.35">
      <c r="A3441" s="376" t="s">
        <v>1605</v>
      </c>
      <c r="B3441" s="376" t="s">
        <v>1609</v>
      </c>
      <c r="C3441" s="376" t="s">
        <v>1051</v>
      </c>
      <c r="D3441" s="376">
        <v>2028</v>
      </c>
      <c r="E3441" s="376">
        <v>2031</v>
      </c>
      <c r="F3441" s="376">
        <v>0.23884589662749595</v>
      </c>
      <c r="G3441" s="376">
        <v>10426.102375692073</v>
      </c>
      <c r="H3441" s="376">
        <v>0</v>
      </c>
      <c r="I3441" s="376">
        <v>1</v>
      </c>
    </row>
    <row r="3442" spans="1:9" x14ac:dyDescent="0.35">
      <c r="A3442" s="376" t="s">
        <v>1605</v>
      </c>
      <c r="B3442" s="376" t="s">
        <v>1609</v>
      </c>
      <c r="C3442" s="376" t="s">
        <v>1054</v>
      </c>
      <c r="D3442" s="376">
        <v>2028</v>
      </c>
      <c r="E3442" s="376">
        <v>2031</v>
      </c>
      <c r="F3442" s="376">
        <v>0.23884589662749595</v>
      </c>
      <c r="G3442" s="376">
        <v>10426.102375692073</v>
      </c>
      <c r="H3442" s="376">
        <v>0</v>
      </c>
      <c r="I3442" s="376">
        <v>1</v>
      </c>
    </row>
    <row r="3443" spans="1:9" x14ac:dyDescent="0.35">
      <c r="A3443" s="376" t="s">
        <v>1636</v>
      </c>
      <c r="B3443" s="376" t="s">
        <v>1609</v>
      </c>
      <c r="C3443" s="376" t="s">
        <v>1046</v>
      </c>
      <c r="D3443" s="376">
        <v>2028</v>
      </c>
      <c r="E3443" s="376">
        <v>2028</v>
      </c>
      <c r="F3443" s="376">
        <v>1</v>
      </c>
      <c r="G3443" s="376">
        <v>3313.6765247303902</v>
      </c>
      <c r="H3443" s="376">
        <v>0</v>
      </c>
      <c r="I3443" s="376">
        <v>1</v>
      </c>
    </row>
    <row r="3444" spans="1:9" x14ac:dyDescent="0.35">
      <c r="A3444" s="376" t="s">
        <v>1636</v>
      </c>
      <c r="B3444" s="376" t="s">
        <v>1609</v>
      </c>
      <c r="C3444" s="376" t="s">
        <v>644</v>
      </c>
      <c r="D3444" s="376">
        <v>2028</v>
      </c>
      <c r="E3444" s="376">
        <v>2028</v>
      </c>
      <c r="F3444" s="376">
        <v>1</v>
      </c>
      <c r="G3444" s="376">
        <v>3313.6765247303902</v>
      </c>
      <c r="H3444" s="376">
        <v>0</v>
      </c>
      <c r="I3444" s="376">
        <v>1</v>
      </c>
    </row>
    <row r="3445" spans="1:9" x14ac:dyDescent="0.35">
      <c r="A3445" s="376" t="s">
        <v>1636</v>
      </c>
      <c r="B3445" s="376" t="s">
        <v>1609</v>
      </c>
      <c r="C3445" s="376" t="s">
        <v>628</v>
      </c>
      <c r="D3445" s="376">
        <v>2028</v>
      </c>
      <c r="E3445" s="376">
        <v>2028</v>
      </c>
      <c r="F3445" s="376">
        <v>1</v>
      </c>
      <c r="G3445" s="376">
        <v>3313.6765247303902</v>
      </c>
      <c r="H3445" s="376">
        <v>0</v>
      </c>
      <c r="I3445" s="376">
        <v>1</v>
      </c>
    </row>
    <row r="3446" spans="1:9" x14ac:dyDescent="0.35">
      <c r="A3446" s="376" t="s">
        <v>1636</v>
      </c>
      <c r="B3446" s="376" t="s">
        <v>1609</v>
      </c>
      <c r="C3446" s="376" t="s">
        <v>1051</v>
      </c>
      <c r="D3446" s="376">
        <v>2028</v>
      </c>
      <c r="E3446" s="376">
        <v>2028</v>
      </c>
      <c r="F3446" s="376">
        <v>1</v>
      </c>
      <c r="G3446" s="376">
        <v>3313.6765247303902</v>
      </c>
      <c r="H3446" s="376">
        <v>0</v>
      </c>
      <c r="I3446" s="376">
        <v>1</v>
      </c>
    </row>
    <row r="3447" spans="1:9" x14ac:dyDescent="0.35">
      <c r="A3447" s="376" t="s">
        <v>1636</v>
      </c>
      <c r="B3447" s="376" t="s">
        <v>1609</v>
      </c>
      <c r="C3447" s="376" t="s">
        <v>1054</v>
      </c>
      <c r="D3447" s="376">
        <v>2028</v>
      </c>
      <c r="E3447" s="376">
        <v>2028</v>
      </c>
      <c r="F3447" s="376">
        <v>1</v>
      </c>
      <c r="G3447" s="376">
        <v>3313.6765247303902</v>
      </c>
      <c r="H3447" s="376">
        <v>0</v>
      </c>
      <c r="I3447" s="376">
        <v>1</v>
      </c>
    </row>
    <row r="3448" spans="1:9" x14ac:dyDescent="0.35">
      <c r="A3448" s="376" t="s">
        <v>1636</v>
      </c>
      <c r="B3448" s="376" t="s">
        <v>1609</v>
      </c>
      <c r="C3448" s="376" t="s">
        <v>1046</v>
      </c>
      <c r="D3448" s="376">
        <v>2028</v>
      </c>
      <c r="E3448" s="376">
        <v>2029</v>
      </c>
      <c r="F3448" s="376">
        <v>1</v>
      </c>
      <c r="G3448" s="376">
        <v>3313.6765247303902</v>
      </c>
      <c r="H3448" s="376">
        <v>0</v>
      </c>
      <c r="I3448" s="376">
        <v>1</v>
      </c>
    </row>
    <row r="3449" spans="1:9" x14ac:dyDescent="0.35">
      <c r="A3449" s="376" t="s">
        <v>1636</v>
      </c>
      <c r="B3449" s="376" t="s">
        <v>1609</v>
      </c>
      <c r="C3449" s="376" t="s">
        <v>644</v>
      </c>
      <c r="D3449" s="376">
        <v>2028</v>
      </c>
      <c r="E3449" s="376">
        <v>2029</v>
      </c>
      <c r="F3449" s="376">
        <v>1</v>
      </c>
      <c r="G3449" s="376">
        <v>3313.6765247303902</v>
      </c>
      <c r="H3449" s="376">
        <v>0</v>
      </c>
      <c r="I3449" s="376">
        <v>1</v>
      </c>
    </row>
    <row r="3450" spans="1:9" x14ac:dyDescent="0.35">
      <c r="A3450" s="376" t="s">
        <v>1636</v>
      </c>
      <c r="B3450" s="376" t="s">
        <v>1609</v>
      </c>
      <c r="C3450" s="376" t="s">
        <v>628</v>
      </c>
      <c r="D3450" s="376">
        <v>2028</v>
      </c>
      <c r="E3450" s="376">
        <v>2029</v>
      </c>
      <c r="F3450" s="376">
        <v>1</v>
      </c>
      <c r="G3450" s="376">
        <v>3313.6765247303902</v>
      </c>
      <c r="H3450" s="376">
        <v>0</v>
      </c>
      <c r="I3450" s="376">
        <v>1</v>
      </c>
    </row>
    <row r="3451" spans="1:9" x14ac:dyDescent="0.35">
      <c r="A3451" s="376" t="s">
        <v>1636</v>
      </c>
      <c r="B3451" s="376" t="s">
        <v>1609</v>
      </c>
      <c r="C3451" s="376" t="s">
        <v>1051</v>
      </c>
      <c r="D3451" s="376">
        <v>2028</v>
      </c>
      <c r="E3451" s="376">
        <v>2029</v>
      </c>
      <c r="F3451" s="376">
        <v>1</v>
      </c>
      <c r="G3451" s="376">
        <v>3313.6765247303902</v>
      </c>
      <c r="H3451" s="376">
        <v>0</v>
      </c>
      <c r="I3451" s="376">
        <v>1</v>
      </c>
    </row>
    <row r="3452" spans="1:9" x14ac:dyDescent="0.35">
      <c r="A3452" s="376" t="s">
        <v>1636</v>
      </c>
      <c r="B3452" s="376" t="s">
        <v>1609</v>
      </c>
      <c r="C3452" s="376" t="s">
        <v>1054</v>
      </c>
      <c r="D3452" s="376">
        <v>2028</v>
      </c>
      <c r="E3452" s="376">
        <v>2029</v>
      </c>
      <c r="F3452" s="376">
        <v>1</v>
      </c>
      <c r="G3452" s="376">
        <v>3313.6765247303902</v>
      </c>
      <c r="H3452" s="376">
        <v>0</v>
      </c>
      <c r="I3452" s="376">
        <v>1</v>
      </c>
    </row>
    <row r="3453" spans="1:9" x14ac:dyDescent="0.35">
      <c r="A3453" s="376" t="s">
        <v>1636</v>
      </c>
      <c r="B3453" s="376" t="s">
        <v>1609</v>
      </c>
      <c r="C3453" s="376" t="s">
        <v>1046</v>
      </c>
      <c r="D3453" s="376">
        <v>2028</v>
      </c>
      <c r="E3453" s="376">
        <v>2030</v>
      </c>
      <c r="F3453" s="376">
        <v>1</v>
      </c>
      <c r="G3453" s="376">
        <v>3313.6765247303902</v>
      </c>
      <c r="H3453" s="376">
        <v>0</v>
      </c>
      <c r="I3453" s="376">
        <v>1</v>
      </c>
    </row>
    <row r="3454" spans="1:9" x14ac:dyDescent="0.35">
      <c r="A3454" s="376" t="s">
        <v>1636</v>
      </c>
      <c r="B3454" s="376" t="s">
        <v>1609</v>
      </c>
      <c r="C3454" s="376" t="s">
        <v>644</v>
      </c>
      <c r="D3454" s="376">
        <v>2028</v>
      </c>
      <c r="E3454" s="376">
        <v>2030</v>
      </c>
      <c r="F3454" s="376">
        <v>1</v>
      </c>
      <c r="G3454" s="376">
        <v>3313.6765247303902</v>
      </c>
      <c r="H3454" s="376">
        <v>0</v>
      </c>
      <c r="I3454" s="376">
        <v>1</v>
      </c>
    </row>
    <row r="3455" spans="1:9" x14ac:dyDescent="0.35">
      <c r="A3455" s="376" t="s">
        <v>1636</v>
      </c>
      <c r="B3455" s="376" t="s">
        <v>1609</v>
      </c>
      <c r="C3455" s="376" t="s">
        <v>628</v>
      </c>
      <c r="D3455" s="376">
        <v>2028</v>
      </c>
      <c r="E3455" s="376">
        <v>2030</v>
      </c>
      <c r="F3455" s="376">
        <v>1</v>
      </c>
      <c r="G3455" s="376">
        <v>3313.6765247303902</v>
      </c>
      <c r="H3455" s="376">
        <v>0</v>
      </c>
      <c r="I3455" s="376">
        <v>1</v>
      </c>
    </row>
    <row r="3456" spans="1:9" x14ac:dyDescent="0.35">
      <c r="A3456" s="376" t="s">
        <v>1636</v>
      </c>
      <c r="B3456" s="376" t="s">
        <v>1609</v>
      </c>
      <c r="C3456" s="376" t="s">
        <v>1051</v>
      </c>
      <c r="D3456" s="376">
        <v>2028</v>
      </c>
      <c r="E3456" s="376">
        <v>2030</v>
      </c>
      <c r="F3456" s="376">
        <v>1</v>
      </c>
      <c r="G3456" s="376">
        <v>3313.6765247303902</v>
      </c>
      <c r="H3456" s="376">
        <v>0</v>
      </c>
      <c r="I3456" s="376">
        <v>1</v>
      </c>
    </row>
    <row r="3457" spans="1:9" x14ac:dyDescent="0.35">
      <c r="A3457" s="376" t="s">
        <v>1636</v>
      </c>
      <c r="B3457" s="376" t="s">
        <v>1609</v>
      </c>
      <c r="C3457" s="376" t="s">
        <v>1054</v>
      </c>
      <c r="D3457" s="376">
        <v>2028</v>
      </c>
      <c r="E3457" s="376">
        <v>2030</v>
      </c>
      <c r="F3457" s="376">
        <v>1</v>
      </c>
      <c r="G3457" s="376">
        <v>3313.6765247303902</v>
      </c>
      <c r="H3457" s="376">
        <v>0</v>
      </c>
      <c r="I3457" s="376">
        <v>1</v>
      </c>
    </row>
    <row r="3458" spans="1:9" x14ac:dyDescent="0.35">
      <c r="A3458" s="376" t="s">
        <v>1636</v>
      </c>
      <c r="B3458" s="376" t="s">
        <v>1609</v>
      </c>
      <c r="C3458" s="376" t="s">
        <v>1046</v>
      </c>
      <c r="D3458" s="376">
        <v>2028</v>
      </c>
      <c r="E3458" s="376">
        <v>2031</v>
      </c>
      <c r="F3458" s="376">
        <v>1</v>
      </c>
      <c r="G3458" s="376">
        <v>3313.6765247303902</v>
      </c>
      <c r="H3458" s="376">
        <v>0</v>
      </c>
      <c r="I3458" s="376">
        <v>1</v>
      </c>
    </row>
    <row r="3459" spans="1:9" x14ac:dyDescent="0.35">
      <c r="A3459" s="376" t="s">
        <v>1636</v>
      </c>
      <c r="B3459" s="376" t="s">
        <v>1609</v>
      </c>
      <c r="C3459" s="376" t="s">
        <v>644</v>
      </c>
      <c r="D3459" s="376">
        <v>2028</v>
      </c>
      <c r="E3459" s="376">
        <v>2031</v>
      </c>
      <c r="F3459" s="376">
        <v>1</v>
      </c>
      <c r="G3459" s="376">
        <v>3313.6765247303902</v>
      </c>
      <c r="H3459" s="376">
        <v>0</v>
      </c>
      <c r="I3459" s="376">
        <v>1</v>
      </c>
    </row>
    <row r="3460" spans="1:9" x14ac:dyDescent="0.35">
      <c r="A3460" s="376" t="s">
        <v>1636</v>
      </c>
      <c r="B3460" s="376" t="s">
        <v>1609</v>
      </c>
      <c r="C3460" s="376" t="s">
        <v>628</v>
      </c>
      <c r="D3460" s="376">
        <v>2028</v>
      </c>
      <c r="E3460" s="376">
        <v>2031</v>
      </c>
      <c r="F3460" s="376">
        <v>1</v>
      </c>
      <c r="G3460" s="376">
        <v>3313.6765247303902</v>
      </c>
      <c r="H3460" s="376">
        <v>0</v>
      </c>
      <c r="I3460" s="376">
        <v>1</v>
      </c>
    </row>
    <row r="3461" spans="1:9" x14ac:dyDescent="0.35">
      <c r="A3461" s="376" t="s">
        <v>1636</v>
      </c>
      <c r="B3461" s="376" t="s">
        <v>1609</v>
      </c>
      <c r="C3461" s="376" t="s">
        <v>1051</v>
      </c>
      <c r="D3461" s="376">
        <v>2028</v>
      </c>
      <c r="E3461" s="376">
        <v>2031</v>
      </c>
      <c r="F3461" s="376">
        <v>1</v>
      </c>
      <c r="G3461" s="376">
        <v>3313.6765247303902</v>
      </c>
      <c r="H3461" s="376">
        <v>0</v>
      </c>
      <c r="I3461" s="376">
        <v>1</v>
      </c>
    </row>
    <row r="3462" spans="1:9" x14ac:dyDescent="0.35">
      <c r="A3462" s="376" t="s">
        <v>1636</v>
      </c>
      <c r="B3462" s="376" t="s">
        <v>1609</v>
      </c>
      <c r="C3462" s="376" t="s">
        <v>1054</v>
      </c>
      <c r="D3462" s="376">
        <v>2028</v>
      </c>
      <c r="E3462" s="376">
        <v>2031</v>
      </c>
      <c r="F3462" s="376">
        <v>1</v>
      </c>
      <c r="G3462" s="376">
        <v>3313.6765247303902</v>
      </c>
      <c r="H3462" s="376">
        <v>0</v>
      </c>
      <c r="I3462" s="376">
        <v>1</v>
      </c>
    </row>
    <row r="3463" spans="1:9" x14ac:dyDescent="0.35">
      <c r="A3463" s="376" t="s">
        <v>1606</v>
      </c>
      <c r="B3463" s="376" t="s">
        <v>1609</v>
      </c>
      <c r="C3463" s="376" t="s">
        <v>1046</v>
      </c>
      <c r="D3463" s="376">
        <v>2028</v>
      </c>
      <c r="E3463" s="376">
        <v>2028</v>
      </c>
      <c r="F3463" s="376">
        <v>1</v>
      </c>
      <c r="G3463" s="376">
        <v>5757.1988406000783</v>
      </c>
      <c r="H3463" s="376">
        <v>0</v>
      </c>
      <c r="I3463" s="376">
        <v>1</v>
      </c>
    </row>
    <row r="3464" spans="1:9" x14ac:dyDescent="0.35">
      <c r="A3464" s="376" t="s">
        <v>1606</v>
      </c>
      <c r="B3464" s="376" t="s">
        <v>1609</v>
      </c>
      <c r="C3464" s="376" t="s">
        <v>644</v>
      </c>
      <c r="D3464" s="376">
        <v>2028</v>
      </c>
      <c r="E3464" s="376">
        <v>2028</v>
      </c>
      <c r="F3464" s="376">
        <v>1</v>
      </c>
      <c r="G3464" s="376">
        <v>5757.1988406000783</v>
      </c>
      <c r="H3464" s="376">
        <v>0</v>
      </c>
      <c r="I3464" s="376">
        <v>1</v>
      </c>
    </row>
    <row r="3465" spans="1:9" x14ac:dyDescent="0.35">
      <c r="A3465" s="376" t="s">
        <v>1606</v>
      </c>
      <c r="B3465" s="376" t="s">
        <v>1609</v>
      </c>
      <c r="C3465" s="376" t="s">
        <v>628</v>
      </c>
      <c r="D3465" s="376">
        <v>2028</v>
      </c>
      <c r="E3465" s="376">
        <v>2028</v>
      </c>
      <c r="F3465" s="376">
        <v>1</v>
      </c>
      <c r="G3465" s="376">
        <v>5757.1988406000783</v>
      </c>
      <c r="H3465" s="376">
        <v>0</v>
      </c>
      <c r="I3465" s="376">
        <v>1</v>
      </c>
    </row>
    <row r="3466" spans="1:9" x14ac:dyDescent="0.35">
      <c r="A3466" s="376" t="s">
        <v>1606</v>
      </c>
      <c r="B3466" s="376" t="s">
        <v>1609</v>
      </c>
      <c r="C3466" s="376" t="s">
        <v>1051</v>
      </c>
      <c r="D3466" s="376">
        <v>2028</v>
      </c>
      <c r="E3466" s="376">
        <v>2028</v>
      </c>
      <c r="F3466" s="376">
        <v>1</v>
      </c>
      <c r="G3466" s="376">
        <v>5757.1988406000783</v>
      </c>
      <c r="H3466" s="376">
        <v>0</v>
      </c>
      <c r="I3466" s="376">
        <v>1</v>
      </c>
    </row>
    <row r="3467" spans="1:9" x14ac:dyDescent="0.35">
      <c r="A3467" s="376" t="s">
        <v>1606</v>
      </c>
      <c r="B3467" s="376" t="s">
        <v>1609</v>
      </c>
      <c r="C3467" s="376" t="s">
        <v>1054</v>
      </c>
      <c r="D3467" s="376">
        <v>2028</v>
      </c>
      <c r="E3467" s="376">
        <v>2028</v>
      </c>
      <c r="F3467" s="376">
        <v>1</v>
      </c>
      <c r="G3467" s="376">
        <v>5757.1988406000783</v>
      </c>
      <c r="H3467" s="376">
        <v>0</v>
      </c>
      <c r="I3467" s="376">
        <v>1</v>
      </c>
    </row>
    <row r="3468" spans="1:9" x14ac:dyDescent="0.35">
      <c r="A3468" s="376" t="s">
        <v>1606</v>
      </c>
      <c r="B3468" s="376" t="s">
        <v>1609</v>
      </c>
      <c r="C3468" s="376" t="s">
        <v>1046</v>
      </c>
      <c r="D3468" s="376">
        <v>2028</v>
      </c>
      <c r="E3468" s="376">
        <v>2029</v>
      </c>
      <c r="F3468" s="376">
        <v>1</v>
      </c>
      <c r="G3468" s="376">
        <v>5757.1988406000783</v>
      </c>
      <c r="H3468" s="376">
        <v>0</v>
      </c>
      <c r="I3468" s="376">
        <v>1</v>
      </c>
    </row>
    <row r="3469" spans="1:9" x14ac:dyDescent="0.35">
      <c r="A3469" s="376" t="s">
        <v>1606</v>
      </c>
      <c r="B3469" s="376" t="s">
        <v>1609</v>
      </c>
      <c r="C3469" s="376" t="s">
        <v>644</v>
      </c>
      <c r="D3469" s="376">
        <v>2028</v>
      </c>
      <c r="E3469" s="376">
        <v>2029</v>
      </c>
      <c r="F3469" s="376">
        <v>1</v>
      </c>
      <c r="G3469" s="376">
        <v>5757.1988406000783</v>
      </c>
      <c r="H3469" s="376">
        <v>0</v>
      </c>
      <c r="I3469" s="376">
        <v>1</v>
      </c>
    </row>
    <row r="3470" spans="1:9" x14ac:dyDescent="0.35">
      <c r="A3470" s="376" t="s">
        <v>1606</v>
      </c>
      <c r="B3470" s="376" t="s">
        <v>1609</v>
      </c>
      <c r="C3470" s="376" t="s">
        <v>628</v>
      </c>
      <c r="D3470" s="376">
        <v>2028</v>
      </c>
      <c r="E3470" s="376">
        <v>2029</v>
      </c>
      <c r="F3470" s="376">
        <v>1</v>
      </c>
      <c r="G3470" s="376">
        <v>5757.1988406000783</v>
      </c>
      <c r="H3470" s="376">
        <v>0</v>
      </c>
      <c r="I3470" s="376">
        <v>1</v>
      </c>
    </row>
    <row r="3471" spans="1:9" x14ac:dyDescent="0.35">
      <c r="A3471" s="376" t="s">
        <v>1606</v>
      </c>
      <c r="B3471" s="376" t="s">
        <v>1609</v>
      </c>
      <c r="C3471" s="376" t="s">
        <v>1051</v>
      </c>
      <c r="D3471" s="376">
        <v>2028</v>
      </c>
      <c r="E3471" s="376">
        <v>2029</v>
      </c>
      <c r="F3471" s="376">
        <v>1</v>
      </c>
      <c r="G3471" s="376">
        <v>5757.1988406000783</v>
      </c>
      <c r="H3471" s="376">
        <v>0</v>
      </c>
      <c r="I3471" s="376">
        <v>1</v>
      </c>
    </row>
    <row r="3472" spans="1:9" x14ac:dyDescent="0.35">
      <c r="A3472" s="376" t="s">
        <v>1606</v>
      </c>
      <c r="B3472" s="376" t="s">
        <v>1609</v>
      </c>
      <c r="C3472" s="376" t="s">
        <v>1054</v>
      </c>
      <c r="D3472" s="376">
        <v>2028</v>
      </c>
      <c r="E3472" s="376">
        <v>2029</v>
      </c>
      <c r="F3472" s="376">
        <v>1</v>
      </c>
      <c r="G3472" s="376">
        <v>5757.1988406000783</v>
      </c>
      <c r="H3472" s="376">
        <v>0</v>
      </c>
      <c r="I3472" s="376">
        <v>1</v>
      </c>
    </row>
    <row r="3473" spans="1:9" x14ac:dyDescent="0.35">
      <c r="A3473" s="376" t="s">
        <v>1606</v>
      </c>
      <c r="B3473" s="376" t="s">
        <v>1609</v>
      </c>
      <c r="C3473" s="376" t="s">
        <v>1046</v>
      </c>
      <c r="D3473" s="376">
        <v>2028</v>
      </c>
      <c r="E3473" s="376">
        <v>2030</v>
      </c>
      <c r="F3473" s="376">
        <v>1</v>
      </c>
      <c r="G3473" s="376">
        <v>5757.1988406000783</v>
      </c>
      <c r="H3473" s="376">
        <v>0</v>
      </c>
      <c r="I3473" s="376">
        <v>1</v>
      </c>
    </row>
    <row r="3474" spans="1:9" x14ac:dyDescent="0.35">
      <c r="A3474" s="376" t="s">
        <v>1606</v>
      </c>
      <c r="B3474" s="376" t="s">
        <v>1609</v>
      </c>
      <c r="C3474" s="376" t="s">
        <v>644</v>
      </c>
      <c r="D3474" s="376">
        <v>2028</v>
      </c>
      <c r="E3474" s="376">
        <v>2030</v>
      </c>
      <c r="F3474" s="376">
        <v>1</v>
      </c>
      <c r="G3474" s="376">
        <v>5757.1988406000783</v>
      </c>
      <c r="H3474" s="376">
        <v>0</v>
      </c>
      <c r="I3474" s="376">
        <v>1</v>
      </c>
    </row>
    <row r="3475" spans="1:9" x14ac:dyDescent="0.35">
      <c r="A3475" s="376" t="s">
        <v>1606</v>
      </c>
      <c r="B3475" s="376" t="s">
        <v>1609</v>
      </c>
      <c r="C3475" s="376" t="s">
        <v>628</v>
      </c>
      <c r="D3475" s="376">
        <v>2028</v>
      </c>
      <c r="E3475" s="376">
        <v>2030</v>
      </c>
      <c r="F3475" s="376">
        <v>1</v>
      </c>
      <c r="G3475" s="376">
        <v>5757.1988406000783</v>
      </c>
      <c r="H3475" s="376">
        <v>0</v>
      </c>
      <c r="I3475" s="376">
        <v>1</v>
      </c>
    </row>
    <row r="3476" spans="1:9" x14ac:dyDescent="0.35">
      <c r="A3476" s="376" t="s">
        <v>1606</v>
      </c>
      <c r="B3476" s="376" t="s">
        <v>1609</v>
      </c>
      <c r="C3476" s="376" t="s">
        <v>1051</v>
      </c>
      <c r="D3476" s="376">
        <v>2028</v>
      </c>
      <c r="E3476" s="376">
        <v>2030</v>
      </c>
      <c r="F3476" s="376">
        <v>1</v>
      </c>
      <c r="G3476" s="376">
        <v>5757.1988406000783</v>
      </c>
      <c r="H3476" s="376">
        <v>0</v>
      </c>
      <c r="I3476" s="376">
        <v>1</v>
      </c>
    </row>
    <row r="3477" spans="1:9" x14ac:dyDescent="0.35">
      <c r="A3477" s="376" t="s">
        <v>1606</v>
      </c>
      <c r="B3477" s="376" t="s">
        <v>1609</v>
      </c>
      <c r="C3477" s="376" t="s">
        <v>1054</v>
      </c>
      <c r="D3477" s="376">
        <v>2028</v>
      </c>
      <c r="E3477" s="376">
        <v>2030</v>
      </c>
      <c r="F3477" s="376">
        <v>1</v>
      </c>
      <c r="G3477" s="376">
        <v>5757.1988406000783</v>
      </c>
      <c r="H3477" s="376">
        <v>0</v>
      </c>
      <c r="I3477" s="376">
        <v>1</v>
      </c>
    </row>
    <row r="3478" spans="1:9" x14ac:dyDescent="0.35">
      <c r="A3478" s="376" t="s">
        <v>1606</v>
      </c>
      <c r="B3478" s="376" t="s">
        <v>1609</v>
      </c>
      <c r="C3478" s="376" t="s">
        <v>1046</v>
      </c>
      <c r="D3478" s="376">
        <v>2028</v>
      </c>
      <c r="E3478" s="376">
        <v>2031</v>
      </c>
      <c r="F3478" s="376">
        <v>1</v>
      </c>
      <c r="G3478" s="376">
        <v>5757.1988406000783</v>
      </c>
      <c r="H3478" s="376">
        <v>0</v>
      </c>
      <c r="I3478" s="376">
        <v>1</v>
      </c>
    </row>
    <row r="3479" spans="1:9" x14ac:dyDescent="0.35">
      <c r="A3479" s="376" t="s">
        <v>1606</v>
      </c>
      <c r="B3479" s="376" t="s">
        <v>1609</v>
      </c>
      <c r="C3479" s="376" t="s">
        <v>644</v>
      </c>
      <c r="D3479" s="376">
        <v>2028</v>
      </c>
      <c r="E3479" s="376">
        <v>2031</v>
      </c>
      <c r="F3479" s="376">
        <v>1</v>
      </c>
      <c r="G3479" s="376">
        <v>5757.1988406000783</v>
      </c>
      <c r="H3479" s="376">
        <v>0</v>
      </c>
      <c r="I3479" s="376">
        <v>1</v>
      </c>
    </row>
    <row r="3480" spans="1:9" x14ac:dyDescent="0.35">
      <c r="A3480" s="376" t="s">
        <v>1606</v>
      </c>
      <c r="B3480" s="376" t="s">
        <v>1609</v>
      </c>
      <c r="C3480" s="376" t="s">
        <v>628</v>
      </c>
      <c r="D3480" s="376">
        <v>2028</v>
      </c>
      <c r="E3480" s="376">
        <v>2031</v>
      </c>
      <c r="F3480" s="376">
        <v>1</v>
      </c>
      <c r="G3480" s="376">
        <v>5757.1988406000783</v>
      </c>
      <c r="H3480" s="376">
        <v>0</v>
      </c>
      <c r="I3480" s="376">
        <v>1</v>
      </c>
    </row>
    <row r="3481" spans="1:9" x14ac:dyDescent="0.35">
      <c r="A3481" s="376" t="s">
        <v>1606</v>
      </c>
      <c r="B3481" s="376" t="s">
        <v>1609</v>
      </c>
      <c r="C3481" s="376" t="s">
        <v>1051</v>
      </c>
      <c r="D3481" s="376">
        <v>2028</v>
      </c>
      <c r="E3481" s="376">
        <v>2031</v>
      </c>
      <c r="F3481" s="376">
        <v>1</v>
      </c>
      <c r="G3481" s="376">
        <v>5757.1988406000783</v>
      </c>
      <c r="H3481" s="376">
        <v>0</v>
      </c>
      <c r="I3481" s="376">
        <v>1</v>
      </c>
    </row>
    <row r="3482" spans="1:9" x14ac:dyDescent="0.35">
      <c r="A3482" s="376" t="s">
        <v>1606</v>
      </c>
      <c r="B3482" s="376" t="s">
        <v>1609</v>
      </c>
      <c r="C3482" s="376" t="s">
        <v>1054</v>
      </c>
      <c r="D3482" s="376">
        <v>2028</v>
      </c>
      <c r="E3482" s="376">
        <v>2031</v>
      </c>
      <c r="F3482" s="376">
        <v>1</v>
      </c>
      <c r="G3482" s="376">
        <v>5757.1988406000783</v>
      </c>
      <c r="H3482" s="376">
        <v>0</v>
      </c>
      <c r="I3482" s="376">
        <v>1</v>
      </c>
    </row>
    <row r="3483" spans="1:9" x14ac:dyDescent="0.35">
      <c r="A3483" s="376" t="s">
        <v>1612</v>
      </c>
      <c r="B3483" s="376" t="s">
        <v>1609</v>
      </c>
      <c r="C3483" s="376" t="s">
        <v>1046</v>
      </c>
      <c r="D3483" s="376">
        <v>2029</v>
      </c>
      <c r="E3483" s="376">
        <v>2029</v>
      </c>
      <c r="F3483" s="376">
        <v>0.37384575124303709</v>
      </c>
      <c r="G3483" s="376">
        <v>9928.6887826901675</v>
      </c>
      <c r="H3483" s="376">
        <v>0.29004701064855837</v>
      </c>
      <c r="I3483" s="376">
        <v>0.85</v>
      </c>
    </row>
    <row r="3484" spans="1:9" x14ac:dyDescent="0.35">
      <c r="A3484" s="376" t="s">
        <v>1612</v>
      </c>
      <c r="B3484" s="376" t="s">
        <v>1609</v>
      </c>
      <c r="C3484" s="376" t="s">
        <v>644</v>
      </c>
      <c r="D3484" s="376">
        <v>2029</v>
      </c>
      <c r="E3484" s="376">
        <v>2029</v>
      </c>
      <c r="F3484" s="376">
        <v>0.37384575124303709</v>
      </c>
      <c r="G3484" s="376">
        <v>9928.6887826901675</v>
      </c>
      <c r="H3484" s="376">
        <v>0.29004701064855837</v>
      </c>
      <c r="I3484" s="376">
        <v>0.85</v>
      </c>
    </row>
    <row r="3485" spans="1:9" x14ac:dyDescent="0.35">
      <c r="A3485" s="376" t="s">
        <v>1612</v>
      </c>
      <c r="B3485" s="376" t="s">
        <v>1609</v>
      </c>
      <c r="C3485" s="376" t="s">
        <v>628</v>
      </c>
      <c r="D3485" s="376">
        <v>2029</v>
      </c>
      <c r="E3485" s="376">
        <v>2029</v>
      </c>
      <c r="F3485" s="376">
        <v>0.37384575124303709</v>
      </c>
      <c r="G3485" s="376">
        <v>9928.6887826901675</v>
      </c>
      <c r="H3485" s="376">
        <v>0.29004701064855837</v>
      </c>
      <c r="I3485" s="376">
        <v>0.85</v>
      </c>
    </row>
    <row r="3486" spans="1:9" x14ac:dyDescent="0.35">
      <c r="A3486" s="376" t="s">
        <v>1612</v>
      </c>
      <c r="B3486" s="376" t="s">
        <v>1609</v>
      </c>
      <c r="C3486" s="376" t="s">
        <v>1051</v>
      </c>
      <c r="D3486" s="376">
        <v>2029</v>
      </c>
      <c r="E3486" s="376">
        <v>2029</v>
      </c>
      <c r="F3486" s="376">
        <v>0.37384575124303709</v>
      </c>
      <c r="G3486" s="376">
        <v>9928.6887826901675</v>
      </c>
      <c r="H3486" s="376">
        <v>0.29004701064855837</v>
      </c>
      <c r="I3486" s="376">
        <v>0.85</v>
      </c>
    </row>
    <row r="3487" spans="1:9" x14ac:dyDescent="0.35">
      <c r="A3487" s="376" t="s">
        <v>1612</v>
      </c>
      <c r="B3487" s="376" t="s">
        <v>1609</v>
      </c>
      <c r="C3487" s="376" t="s">
        <v>1054</v>
      </c>
      <c r="D3487" s="376">
        <v>2029</v>
      </c>
      <c r="E3487" s="376">
        <v>2029</v>
      </c>
      <c r="F3487" s="376">
        <v>0.37384575124303709</v>
      </c>
      <c r="G3487" s="376">
        <v>9928.6887826901675</v>
      </c>
      <c r="H3487" s="376">
        <v>0.29004701064855837</v>
      </c>
      <c r="I3487" s="376">
        <v>0.85</v>
      </c>
    </row>
    <row r="3488" spans="1:9" x14ac:dyDescent="0.35">
      <c r="A3488" s="376" t="s">
        <v>1612</v>
      </c>
      <c r="B3488" s="376" t="s">
        <v>1609</v>
      </c>
      <c r="C3488" s="376" t="s">
        <v>1046</v>
      </c>
      <c r="D3488" s="376">
        <v>2029</v>
      </c>
      <c r="E3488" s="376">
        <v>2030</v>
      </c>
      <c r="F3488" s="376">
        <v>0.37384575124303709</v>
      </c>
      <c r="G3488" s="376">
        <v>9928.6887826901675</v>
      </c>
      <c r="H3488" s="376">
        <v>0.29004701064855837</v>
      </c>
      <c r="I3488" s="376">
        <v>0.85</v>
      </c>
    </row>
    <row r="3489" spans="1:9" x14ac:dyDescent="0.35">
      <c r="A3489" s="376" t="s">
        <v>1612</v>
      </c>
      <c r="B3489" s="376" t="s">
        <v>1609</v>
      </c>
      <c r="C3489" s="376" t="s">
        <v>644</v>
      </c>
      <c r="D3489" s="376">
        <v>2029</v>
      </c>
      <c r="E3489" s="376">
        <v>2030</v>
      </c>
      <c r="F3489" s="376">
        <v>0.37384575124303709</v>
      </c>
      <c r="G3489" s="376">
        <v>9928.6887826901675</v>
      </c>
      <c r="H3489" s="376">
        <v>0.29004701064855837</v>
      </c>
      <c r="I3489" s="376">
        <v>0.85</v>
      </c>
    </row>
    <row r="3490" spans="1:9" x14ac:dyDescent="0.35">
      <c r="A3490" s="376" t="s">
        <v>1612</v>
      </c>
      <c r="B3490" s="376" t="s">
        <v>1609</v>
      </c>
      <c r="C3490" s="376" t="s">
        <v>628</v>
      </c>
      <c r="D3490" s="376">
        <v>2029</v>
      </c>
      <c r="E3490" s="376">
        <v>2030</v>
      </c>
      <c r="F3490" s="376">
        <v>0.37384575124303709</v>
      </c>
      <c r="G3490" s="376">
        <v>9928.6887826901675</v>
      </c>
      <c r="H3490" s="376">
        <v>0.29004701064855837</v>
      </c>
      <c r="I3490" s="376">
        <v>0.85</v>
      </c>
    </row>
    <row r="3491" spans="1:9" x14ac:dyDescent="0.35">
      <c r="A3491" s="376" t="s">
        <v>1612</v>
      </c>
      <c r="B3491" s="376" t="s">
        <v>1609</v>
      </c>
      <c r="C3491" s="376" t="s">
        <v>1051</v>
      </c>
      <c r="D3491" s="376">
        <v>2029</v>
      </c>
      <c r="E3491" s="376">
        <v>2030</v>
      </c>
      <c r="F3491" s="376">
        <v>0.37384575124303709</v>
      </c>
      <c r="G3491" s="376">
        <v>9928.6887826901675</v>
      </c>
      <c r="H3491" s="376">
        <v>0.29004701064855837</v>
      </c>
      <c r="I3491" s="376">
        <v>0.85</v>
      </c>
    </row>
    <row r="3492" spans="1:9" x14ac:dyDescent="0.35">
      <c r="A3492" s="376" t="s">
        <v>1612</v>
      </c>
      <c r="B3492" s="376" t="s">
        <v>1609</v>
      </c>
      <c r="C3492" s="376" t="s">
        <v>1054</v>
      </c>
      <c r="D3492" s="376">
        <v>2029</v>
      </c>
      <c r="E3492" s="376">
        <v>2030</v>
      </c>
      <c r="F3492" s="376">
        <v>0.37384575124303709</v>
      </c>
      <c r="G3492" s="376">
        <v>9928.6887826901675</v>
      </c>
      <c r="H3492" s="376">
        <v>0.29004701064855837</v>
      </c>
      <c r="I3492" s="376">
        <v>0.85</v>
      </c>
    </row>
    <row r="3493" spans="1:9" x14ac:dyDescent="0.35">
      <c r="A3493" s="376" t="s">
        <v>1612</v>
      </c>
      <c r="B3493" s="376" t="s">
        <v>1609</v>
      </c>
      <c r="C3493" s="376" t="s">
        <v>1046</v>
      </c>
      <c r="D3493" s="376">
        <v>2029</v>
      </c>
      <c r="E3493" s="376">
        <v>2031</v>
      </c>
      <c r="F3493" s="376">
        <v>0.37384575124303709</v>
      </c>
      <c r="G3493" s="376">
        <v>9928.6887826901675</v>
      </c>
      <c r="H3493" s="376">
        <v>0.29004701064855837</v>
      </c>
      <c r="I3493" s="376">
        <v>0.85</v>
      </c>
    </row>
    <row r="3494" spans="1:9" x14ac:dyDescent="0.35">
      <c r="A3494" s="376" t="s">
        <v>1612</v>
      </c>
      <c r="B3494" s="376" t="s">
        <v>1609</v>
      </c>
      <c r="C3494" s="376" t="s">
        <v>644</v>
      </c>
      <c r="D3494" s="376">
        <v>2029</v>
      </c>
      <c r="E3494" s="376">
        <v>2031</v>
      </c>
      <c r="F3494" s="376">
        <v>0.37384575124303709</v>
      </c>
      <c r="G3494" s="376">
        <v>9928.6887826901675</v>
      </c>
      <c r="H3494" s="376">
        <v>0.29004701064855837</v>
      </c>
      <c r="I3494" s="376">
        <v>0.85</v>
      </c>
    </row>
    <row r="3495" spans="1:9" x14ac:dyDescent="0.35">
      <c r="A3495" s="376" t="s">
        <v>1612</v>
      </c>
      <c r="B3495" s="376" t="s">
        <v>1609</v>
      </c>
      <c r="C3495" s="376" t="s">
        <v>628</v>
      </c>
      <c r="D3495" s="376">
        <v>2029</v>
      </c>
      <c r="E3495" s="376">
        <v>2031</v>
      </c>
      <c r="F3495" s="376">
        <v>0.37384575124303709</v>
      </c>
      <c r="G3495" s="376">
        <v>9928.6887826901675</v>
      </c>
      <c r="H3495" s="376">
        <v>0.29004701064855837</v>
      </c>
      <c r="I3495" s="376">
        <v>0.85</v>
      </c>
    </row>
    <row r="3496" spans="1:9" x14ac:dyDescent="0.35">
      <c r="A3496" s="376" t="s">
        <v>1612</v>
      </c>
      <c r="B3496" s="376" t="s">
        <v>1609</v>
      </c>
      <c r="C3496" s="376" t="s">
        <v>1051</v>
      </c>
      <c r="D3496" s="376">
        <v>2029</v>
      </c>
      <c r="E3496" s="376">
        <v>2031</v>
      </c>
      <c r="F3496" s="376">
        <v>0.37384575124303709</v>
      </c>
      <c r="G3496" s="376">
        <v>9928.6887826901675</v>
      </c>
      <c r="H3496" s="376">
        <v>0.29004701064855837</v>
      </c>
      <c r="I3496" s="376">
        <v>0.85</v>
      </c>
    </row>
    <row r="3497" spans="1:9" x14ac:dyDescent="0.35">
      <c r="A3497" s="376" t="s">
        <v>1612</v>
      </c>
      <c r="B3497" s="376" t="s">
        <v>1609</v>
      </c>
      <c r="C3497" s="376" t="s">
        <v>1054</v>
      </c>
      <c r="D3497" s="376">
        <v>2029</v>
      </c>
      <c r="E3497" s="376">
        <v>2031</v>
      </c>
      <c r="F3497" s="376">
        <v>0.37384575124303709</v>
      </c>
      <c r="G3497" s="376">
        <v>9928.6887826901675</v>
      </c>
      <c r="H3497" s="376">
        <v>0.29004701064855837</v>
      </c>
      <c r="I3497" s="376">
        <v>0.85</v>
      </c>
    </row>
    <row r="3498" spans="1:9" x14ac:dyDescent="0.35">
      <c r="A3498" s="376" t="s">
        <v>1613</v>
      </c>
      <c r="B3498" s="376" t="s">
        <v>1609</v>
      </c>
      <c r="C3498" s="376" t="s">
        <v>1046</v>
      </c>
      <c r="D3498" s="376">
        <v>2029</v>
      </c>
      <c r="E3498" s="376">
        <v>2029</v>
      </c>
      <c r="F3498" s="376">
        <v>0.40444272241720852</v>
      </c>
      <c r="G3498" s="376">
        <v>8848.5269568257354</v>
      </c>
      <c r="H3498" s="376">
        <v>0.27824261165470277</v>
      </c>
      <c r="I3498" s="376">
        <v>0.85</v>
      </c>
    </row>
    <row r="3499" spans="1:9" x14ac:dyDescent="0.35">
      <c r="A3499" s="376" t="s">
        <v>1613</v>
      </c>
      <c r="B3499" s="376" t="s">
        <v>1609</v>
      </c>
      <c r="C3499" s="376" t="s">
        <v>644</v>
      </c>
      <c r="D3499" s="376">
        <v>2029</v>
      </c>
      <c r="E3499" s="376">
        <v>2029</v>
      </c>
      <c r="F3499" s="376">
        <v>0.40444272241720852</v>
      </c>
      <c r="G3499" s="376">
        <v>8848.5269568257354</v>
      </c>
      <c r="H3499" s="376">
        <v>0.27824261165470277</v>
      </c>
      <c r="I3499" s="376">
        <v>0.85</v>
      </c>
    </row>
    <row r="3500" spans="1:9" x14ac:dyDescent="0.35">
      <c r="A3500" s="376" t="s">
        <v>1613</v>
      </c>
      <c r="B3500" s="376" t="s">
        <v>1609</v>
      </c>
      <c r="C3500" s="376" t="s">
        <v>628</v>
      </c>
      <c r="D3500" s="376">
        <v>2029</v>
      </c>
      <c r="E3500" s="376">
        <v>2029</v>
      </c>
      <c r="F3500" s="376">
        <v>0.40444272241720852</v>
      </c>
      <c r="G3500" s="376">
        <v>8848.5269568257354</v>
      </c>
      <c r="H3500" s="376">
        <v>0.27824261165470277</v>
      </c>
      <c r="I3500" s="376">
        <v>0.85</v>
      </c>
    </row>
    <row r="3501" spans="1:9" x14ac:dyDescent="0.35">
      <c r="A3501" s="376" t="s">
        <v>1613</v>
      </c>
      <c r="B3501" s="376" t="s">
        <v>1609</v>
      </c>
      <c r="C3501" s="376" t="s">
        <v>1051</v>
      </c>
      <c r="D3501" s="376">
        <v>2029</v>
      </c>
      <c r="E3501" s="376">
        <v>2029</v>
      </c>
      <c r="F3501" s="376">
        <v>0.40444272241720852</v>
      </c>
      <c r="G3501" s="376">
        <v>8848.5269568257354</v>
      </c>
      <c r="H3501" s="376">
        <v>0.27824261165470277</v>
      </c>
      <c r="I3501" s="376">
        <v>0.85</v>
      </c>
    </row>
    <row r="3502" spans="1:9" x14ac:dyDescent="0.35">
      <c r="A3502" s="376" t="s">
        <v>1613</v>
      </c>
      <c r="B3502" s="376" t="s">
        <v>1609</v>
      </c>
      <c r="C3502" s="376" t="s">
        <v>1054</v>
      </c>
      <c r="D3502" s="376">
        <v>2029</v>
      </c>
      <c r="E3502" s="376">
        <v>2029</v>
      </c>
      <c r="F3502" s="376">
        <v>0.40444272241720852</v>
      </c>
      <c r="G3502" s="376">
        <v>8848.5269568257354</v>
      </c>
      <c r="H3502" s="376">
        <v>0.27824261165470277</v>
      </c>
      <c r="I3502" s="376">
        <v>0.85</v>
      </c>
    </row>
    <row r="3503" spans="1:9" x14ac:dyDescent="0.35">
      <c r="A3503" s="376" t="s">
        <v>1613</v>
      </c>
      <c r="B3503" s="376" t="s">
        <v>1609</v>
      </c>
      <c r="C3503" s="376" t="s">
        <v>1046</v>
      </c>
      <c r="D3503" s="376">
        <v>2029</v>
      </c>
      <c r="E3503" s="376">
        <v>2030</v>
      </c>
      <c r="F3503" s="376">
        <v>0.40444272241720852</v>
      </c>
      <c r="G3503" s="376">
        <v>8848.5269568257354</v>
      </c>
      <c r="H3503" s="376">
        <v>0.27824261165470277</v>
      </c>
      <c r="I3503" s="376">
        <v>0.85</v>
      </c>
    </row>
    <row r="3504" spans="1:9" x14ac:dyDescent="0.35">
      <c r="A3504" s="376" t="s">
        <v>1613</v>
      </c>
      <c r="B3504" s="376" t="s">
        <v>1609</v>
      </c>
      <c r="C3504" s="376" t="s">
        <v>644</v>
      </c>
      <c r="D3504" s="376">
        <v>2029</v>
      </c>
      <c r="E3504" s="376">
        <v>2030</v>
      </c>
      <c r="F3504" s="376">
        <v>0.40444272241720852</v>
      </c>
      <c r="G3504" s="376">
        <v>8848.5269568257354</v>
      </c>
      <c r="H3504" s="376">
        <v>0.27824261165470277</v>
      </c>
      <c r="I3504" s="376">
        <v>0.85</v>
      </c>
    </row>
    <row r="3505" spans="1:9" x14ac:dyDescent="0.35">
      <c r="A3505" s="376" t="s">
        <v>1613</v>
      </c>
      <c r="B3505" s="376" t="s">
        <v>1609</v>
      </c>
      <c r="C3505" s="376" t="s">
        <v>628</v>
      </c>
      <c r="D3505" s="376">
        <v>2029</v>
      </c>
      <c r="E3505" s="376">
        <v>2030</v>
      </c>
      <c r="F3505" s="376">
        <v>0.40444272241720852</v>
      </c>
      <c r="G3505" s="376">
        <v>8848.5269568257354</v>
      </c>
      <c r="H3505" s="376">
        <v>0.27824261165470277</v>
      </c>
      <c r="I3505" s="376">
        <v>0.85</v>
      </c>
    </row>
    <row r="3506" spans="1:9" x14ac:dyDescent="0.35">
      <c r="A3506" s="376" t="s">
        <v>1613</v>
      </c>
      <c r="B3506" s="376" t="s">
        <v>1609</v>
      </c>
      <c r="C3506" s="376" t="s">
        <v>1051</v>
      </c>
      <c r="D3506" s="376">
        <v>2029</v>
      </c>
      <c r="E3506" s="376">
        <v>2030</v>
      </c>
      <c r="F3506" s="376">
        <v>0.40444272241720852</v>
      </c>
      <c r="G3506" s="376">
        <v>8848.5269568257354</v>
      </c>
      <c r="H3506" s="376">
        <v>0.27824261165470277</v>
      </c>
      <c r="I3506" s="376">
        <v>0.85</v>
      </c>
    </row>
    <row r="3507" spans="1:9" x14ac:dyDescent="0.35">
      <c r="A3507" s="376" t="s">
        <v>1613</v>
      </c>
      <c r="B3507" s="376" t="s">
        <v>1609</v>
      </c>
      <c r="C3507" s="376" t="s">
        <v>1054</v>
      </c>
      <c r="D3507" s="376">
        <v>2029</v>
      </c>
      <c r="E3507" s="376">
        <v>2030</v>
      </c>
      <c r="F3507" s="376">
        <v>0.40444272241720852</v>
      </c>
      <c r="G3507" s="376">
        <v>8848.5269568257354</v>
      </c>
      <c r="H3507" s="376">
        <v>0.27824261165470277</v>
      </c>
      <c r="I3507" s="376">
        <v>0.85</v>
      </c>
    </row>
    <row r="3508" spans="1:9" x14ac:dyDescent="0.35">
      <c r="A3508" s="376" t="s">
        <v>1613</v>
      </c>
      <c r="B3508" s="376" t="s">
        <v>1609</v>
      </c>
      <c r="C3508" s="376" t="s">
        <v>1046</v>
      </c>
      <c r="D3508" s="376">
        <v>2029</v>
      </c>
      <c r="E3508" s="376">
        <v>2031</v>
      </c>
      <c r="F3508" s="376">
        <v>0.40444272241720852</v>
      </c>
      <c r="G3508" s="376">
        <v>8848.5269568257354</v>
      </c>
      <c r="H3508" s="376">
        <v>0.27824261165470277</v>
      </c>
      <c r="I3508" s="376">
        <v>0.85</v>
      </c>
    </row>
    <row r="3509" spans="1:9" x14ac:dyDescent="0.35">
      <c r="A3509" s="376" t="s">
        <v>1613</v>
      </c>
      <c r="B3509" s="376" t="s">
        <v>1609</v>
      </c>
      <c r="C3509" s="376" t="s">
        <v>644</v>
      </c>
      <c r="D3509" s="376">
        <v>2029</v>
      </c>
      <c r="E3509" s="376">
        <v>2031</v>
      </c>
      <c r="F3509" s="376">
        <v>0.40444272241720852</v>
      </c>
      <c r="G3509" s="376">
        <v>8848.5269568257354</v>
      </c>
      <c r="H3509" s="376">
        <v>0.27824261165470277</v>
      </c>
      <c r="I3509" s="376">
        <v>0.85</v>
      </c>
    </row>
    <row r="3510" spans="1:9" x14ac:dyDescent="0.35">
      <c r="A3510" s="376" t="s">
        <v>1613</v>
      </c>
      <c r="B3510" s="376" t="s">
        <v>1609</v>
      </c>
      <c r="C3510" s="376" t="s">
        <v>628</v>
      </c>
      <c r="D3510" s="376">
        <v>2029</v>
      </c>
      <c r="E3510" s="376">
        <v>2031</v>
      </c>
      <c r="F3510" s="376">
        <v>0.40444272241720852</v>
      </c>
      <c r="G3510" s="376">
        <v>8848.5269568257354</v>
      </c>
      <c r="H3510" s="376">
        <v>0.27824261165470277</v>
      </c>
      <c r="I3510" s="376">
        <v>0.85</v>
      </c>
    </row>
    <row r="3511" spans="1:9" x14ac:dyDescent="0.35">
      <c r="A3511" s="376" t="s">
        <v>1613</v>
      </c>
      <c r="B3511" s="376" t="s">
        <v>1609</v>
      </c>
      <c r="C3511" s="376" t="s">
        <v>1051</v>
      </c>
      <c r="D3511" s="376">
        <v>2029</v>
      </c>
      <c r="E3511" s="376">
        <v>2031</v>
      </c>
      <c r="F3511" s="376">
        <v>0.40444272241720852</v>
      </c>
      <c r="G3511" s="376">
        <v>8848.5269568257354</v>
      </c>
      <c r="H3511" s="376">
        <v>0.27824261165470277</v>
      </c>
      <c r="I3511" s="376">
        <v>0.85</v>
      </c>
    </row>
    <row r="3512" spans="1:9" x14ac:dyDescent="0.35">
      <c r="A3512" s="376" t="s">
        <v>1613</v>
      </c>
      <c r="B3512" s="376" t="s">
        <v>1609</v>
      </c>
      <c r="C3512" s="376" t="s">
        <v>1054</v>
      </c>
      <c r="D3512" s="376">
        <v>2029</v>
      </c>
      <c r="E3512" s="376">
        <v>2031</v>
      </c>
      <c r="F3512" s="376">
        <v>0.40444272241720852</v>
      </c>
      <c r="G3512" s="376">
        <v>8848.5269568257354</v>
      </c>
      <c r="H3512" s="376">
        <v>0.27824261165470277</v>
      </c>
      <c r="I3512" s="376">
        <v>0.85</v>
      </c>
    </row>
    <row r="3513" spans="1:9" x14ac:dyDescent="0.35">
      <c r="A3513" s="376" t="s">
        <v>1614</v>
      </c>
      <c r="B3513" s="376" t="s">
        <v>1609</v>
      </c>
      <c r="C3513" s="376" t="s">
        <v>1046</v>
      </c>
      <c r="D3513" s="376">
        <v>2029</v>
      </c>
      <c r="E3513" s="376">
        <v>2029</v>
      </c>
      <c r="F3513" s="376">
        <v>0.28070162831646173</v>
      </c>
      <c r="G3513" s="376">
        <v>6454.3984013550207</v>
      </c>
      <c r="H3513" s="376">
        <v>0.27824261165470277</v>
      </c>
      <c r="I3513" s="376">
        <v>0.85</v>
      </c>
    </row>
    <row r="3514" spans="1:9" x14ac:dyDescent="0.35">
      <c r="A3514" s="376" t="s">
        <v>1614</v>
      </c>
      <c r="B3514" s="376" t="s">
        <v>1609</v>
      </c>
      <c r="C3514" s="376" t="s">
        <v>644</v>
      </c>
      <c r="D3514" s="376">
        <v>2029</v>
      </c>
      <c r="E3514" s="376">
        <v>2029</v>
      </c>
      <c r="F3514" s="376">
        <v>0.28070162831646173</v>
      </c>
      <c r="G3514" s="376">
        <v>6454.3984013550207</v>
      </c>
      <c r="H3514" s="376">
        <v>0.27824261165470277</v>
      </c>
      <c r="I3514" s="376">
        <v>0.85</v>
      </c>
    </row>
    <row r="3515" spans="1:9" x14ac:dyDescent="0.35">
      <c r="A3515" s="376" t="s">
        <v>1614</v>
      </c>
      <c r="B3515" s="376" t="s">
        <v>1609</v>
      </c>
      <c r="C3515" s="376" t="s">
        <v>628</v>
      </c>
      <c r="D3515" s="376">
        <v>2029</v>
      </c>
      <c r="E3515" s="376">
        <v>2029</v>
      </c>
      <c r="F3515" s="376">
        <v>0.28070162831646173</v>
      </c>
      <c r="G3515" s="376">
        <v>6454.3984013550207</v>
      </c>
      <c r="H3515" s="376">
        <v>0.27824261165470277</v>
      </c>
      <c r="I3515" s="376">
        <v>0.85</v>
      </c>
    </row>
    <row r="3516" spans="1:9" x14ac:dyDescent="0.35">
      <c r="A3516" s="376" t="s">
        <v>1614</v>
      </c>
      <c r="B3516" s="376" t="s">
        <v>1609</v>
      </c>
      <c r="C3516" s="376" t="s">
        <v>1051</v>
      </c>
      <c r="D3516" s="376">
        <v>2029</v>
      </c>
      <c r="E3516" s="376">
        <v>2029</v>
      </c>
      <c r="F3516" s="376">
        <v>0.28070162831646173</v>
      </c>
      <c r="G3516" s="376">
        <v>6454.3984013550207</v>
      </c>
      <c r="H3516" s="376">
        <v>0.27824261165470277</v>
      </c>
      <c r="I3516" s="376">
        <v>0.85</v>
      </c>
    </row>
    <row r="3517" spans="1:9" x14ac:dyDescent="0.35">
      <c r="A3517" s="376" t="s">
        <v>1614</v>
      </c>
      <c r="B3517" s="376" t="s">
        <v>1609</v>
      </c>
      <c r="C3517" s="376" t="s">
        <v>1054</v>
      </c>
      <c r="D3517" s="376">
        <v>2029</v>
      </c>
      <c r="E3517" s="376">
        <v>2029</v>
      </c>
      <c r="F3517" s="376">
        <v>0.28070162831646173</v>
      </c>
      <c r="G3517" s="376">
        <v>6454.3984013550207</v>
      </c>
      <c r="H3517" s="376">
        <v>0.27824261165470277</v>
      </c>
      <c r="I3517" s="376">
        <v>0.85</v>
      </c>
    </row>
    <row r="3518" spans="1:9" x14ac:dyDescent="0.35">
      <c r="A3518" s="376" t="s">
        <v>1614</v>
      </c>
      <c r="B3518" s="376" t="s">
        <v>1609</v>
      </c>
      <c r="C3518" s="376" t="s">
        <v>1046</v>
      </c>
      <c r="D3518" s="376">
        <v>2029</v>
      </c>
      <c r="E3518" s="376">
        <v>2030</v>
      </c>
      <c r="F3518" s="376">
        <v>0.28070162831646173</v>
      </c>
      <c r="G3518" s="376">
        <v>6454.3984013550207</v>
      </c>
      <c r="H3518" s="376">
        <v>0.27824261165470277</v>
      </c>
      <c r="I3518" s="376">
        <v>0.85</v>
      </c>
    </row>
    <row r="3519" spans="1:9" x14ac:dyDescent="0.35">
      <c r="A3519" s="376" t="s">
        <v>1614</v>
      </c>
      <c r="B3519" s="376" t="s">
        <v>1609</v>
      </c>
      <c r="C3519" s="376" t="s">
        <v>644</v>
      </c>
      <c r="D3519" s="376">
        <v>2029</v>
      </c>
      <c r="E3519" s="376">
        <v>2030</v>
      </c>
      <c r="F3519" s="376">
        <v>0.28070162831646173</v>
      </c>
      <c r="G3519" s="376">
        <v>6454.3984013550207</v>
      </c>
      <c r="H3519" s="376">
        <v>0.27824261165470277</v>
      </c>
      <c r="I3519" s="376">
        <v>0.85</v>
      </c>
    </row>
    <row r="3520" spans="1:9" x14ac:dyDescent="0.35">
      <c r="A3520" s="376" t="s">
        <v>1614</v>
      </c>
      <c r="B3520" s="376" t="s">
        <v>1609</v>
      </c>
      <c r="C3520" s="376" t="s">
        <v>628</v>
      </c>
      <c r="D3520" s="376">
        <v>2029</v>
      </c>
      <c r="E3520" s="376">
        <v>2030</v>
      </c>
      <c r="F3520" s="376">
        <v>0.28070162831646173</v>
      </c>
      <c r="G3520" s="376">
        <v>6454.3984013550207</v>
      </c>
      <c r="H3520" s="376">
        <v>0.27824261165470277</v>
      </c>
      <c r="I3520" s="376">
        <v>0.85</v>
      </c>
    </row>
    <row r="3521" spans="1:9" x14ac:dyDescent="0.35">
      <c r="A3521" s="376" t="s">
        <v>1614</v>
      </c>
      <c r="B3521" s="376" t="s">
        <v>1609</v>
      </c>
      <c r="C3521" s="376" t="s">
        <v>1051</v>
      </c>
      <c r="D3521" s="376">
        <v>2029</v>
      </c>
      <c r="E3521" s="376">
        <v>2030</v>
      </c>
      <c r="F3521" s="376">
        <v>0.28070162831646173</v>
      </c>
      <c r="G3521" s="376">
        <v>6454.3984013550207</v>
      </c>
      <c r="H3521" s="376">
        <v>0.27824261165470277</v>
      </c>
      <c r="I3521" s="376">
        <v>0.85</v>
      </c>
    </row>
    <row r="3522" spans="1:9" x14ac:dyDescent="0.35">
      <c r="A3522" s="376" t="s">
        <v>1614</v>
      </c>
      <c r="B3522" s="376" t="s">
        <v>1609</v>
      </c>
      <c r="C3522" s="376" t="s">
        <v>1054</v>
      </c>
      <c r="D3522" s="376">
        <v>2029</v>
      </c>
      <c r="E3522" s="376">
        <v>2030</v>
      </c>
      <c r="F3522" s="376">
        <v>0.28070162831646173</v>
      </c>
      <c r="G3522" s="376">
        <v>6454.3984013550207</v>
      </c>
      <c r="H3522" s="376">
        <v>0.27824261165470277</v>
      </c>
      <c r="I3522" s="376">
        <v>0.85</v>
      </c>
    </row>
    <row r="3523" spans="1:9" x14ac:dyDescent="0.35">
      <c r="A3523" s="376" t="s">
        <v>1614</v>
      </c>
      <c r="B3523" s="376" t="s">
        <v>1609</v>
      </c>
      <c r="C3523" s="376" t="s">
        <v>1046</v>
      </c>
      <c r="D3523" s="376">
        <v>2029</v>
      </c>
      <c r="E3523" s="376">
        <v>2031</v>
      </c>
      <c r="F3523" s="376">
        <v>0.28070162831646173</v>
      </c>
      <c r="G3523" s="376">
        <v>6454.3984013550207</v>
      </c>
      <c r="H3523" s="376">
        <v>0.27824261165470277</v>
      </c>
      <c r="I3523" s="376">
        <v>0.85</v>
      </c>
    </row>
    <row r="3524" spans="1:9" x14ac:dyDescent="0.35">
      <c r="A3524" s="376" t="s">
        <v>1614</v>
      </c>
      <c r="B3524" s="376" t="s">
        <v>1609</v>
      </c>
      <c r="C3524" s="376" t="s">
        <v>644</v>
      </c>
      <c r="D3524" s="376">
        <v>2029</v>
      </c>
      <c r="E3524" s="376">
        <v>2031</v>
      </c>
      <c r="F3524" s="376">
        <v>0.28070162831646173</v>
      </c>
      <c r="G3524" s="376">
        <v>6454.3984013550207</v>
      </c>
      <c r="H3524" s="376">
        <v>0.27824261165470277</v>
      </c>
      <c r="I3524" s="376">
        <v>0.85</v>
      </c>
    </row>
    <row r="3525" spans="1:9" x14ac:dyDescent="0.35">
      <c r="A3525" s="376" t="s">
        <v>1614</v>
      </c>
      <c r="B3525" s="376" t="s">
        <v>1609</v>
      </c>
      <c r="C3525" s="376" t="s">
        <v>628</v>
      </c>
      <c r="D3525" s="376">
        <v>2029</v>
      </c>
      <c r="E3525" s="376">
        <v>2031</v>
      </c>
      <c r="F3525" s="376">
        <v>0.28070162831646173</v>
      </c>
      <c r="G3525" s="376">
        <v>6454.3984013550207</v>
      </c>
      <c r="H3525" s="376">
        <v>0.27824261165470277</v>
      </c>
      <c r="I3525" s="376">
        <v>0.85</v>
      </c>
    </row>
    <row r="3526" spans="1:9" x14ac:dyDescent="0.35">
      <c r="A3526" s="376" t="s">
        <v>1614</v>
      </c>
      <c r="B3526" s="376" t="s">
        <v>1609</v>
      </c>
      <c r="C3526" s="376" t="s">
        <v>1051</v>
      </c>
      <c r="D3526" s="376">
        <v>2029</v>
      </c>
      <c r="E3526" s="376">
        <v>2031</v>
      </c>
      <c r="F3526" s="376">
        <v>0.28070162831646173</v>
      </c>
      <c r="G3526" s="376">
        <v>6454.3984013550207</v>
      </c>
      <c r="H3526" s="376">
        <v>0.27824261165470277</v>
      </c>
      <c r="I3526" s="376">
        <v>0.85</v>
      </c>
    </row>
    <row r="3527" spans="1:9" x14ac:dyDescent="0.35">
      <c r="A3527" s="376" t="s">
        <v>1614</v>
      </c>
      <c r="B3527" s="376" t="s">
        <v>1609</v>
      </c>
      <c r="C3527" s="376" t="s">
        <v>1054</v>
      </c>
      <c r="D3527" s="376">
        <v>2029</v>
      </c>
      <c r="E3527" s="376">
        <v>2031</v>
      </c>
      <c r="F3527" s="376">
        <v>0.28070162831646173</v>
      </c>
      <c r="G3527" s="376">
        <v>6454.3984013550207</v>
      </c>
      <c r="H3527" s="376">
        <v>0.27824261165470277</v>
      </c>
      <c r="I3527" s="376">
        <v>0.85</v>
      </c>
    </row>
    <row r="3528" spans="1:9" x14ac:dyDescent="0.35">
      <c r="A3528" s="376" t="s">
        <v>1604</v>
      </c>
      <c r="B3528" s="376" t="s">
        <v>1609</v>
      </c>
      <c r="C3528" s="376" t="s">
        <v>1046</v>
      </c>
      <c r="D3528" s="376">
        <v>2029</v>
      </c>
      <c r="E3528" s="376">
        <v>2029</v>
      </c>
      <c r="F3528" s="376">
        <v>1</v>
      </c>
      <c r="G3528" s="376">
        <v>10872.741503138899</v>
      </c>
      <c r="H3528" s="376">
        <v>0</v>
      </c>
      <c r="I3528" s="376">
        <v>1</v>
      </c>
    </row>
    <row r="3529" spans="1:9" x14ac:dyDescent="0.35">
      <c r="A3529" s="376" t="s">
        <v>1604</v>
      </c>
      <c r="B3529" s="376" t="s">
        <v>1609</v>
      </c>
      <c r="C3529" s="376" t="s">
        <v>644</v>
      </c>
      <c r="D3529" s="376">
        <v>2029</v>
      </c>
      <c r="E3529" s="376">
        <v>2029</v>
      </c>
      <c r="F3529" s="376">
        <v>1</v>
      </c>
      <c r="G3529" s="376">
        <v>10872.741503138899</v>
      </c>
      <c r="H3529" s="376">
        <v>0</v>
      </c>
      <c r="I3529" s="376">
        <v>1</v>
      </c>
    </row>
    <row r="3530" spans="1:9" x14ac:dyDescent="0.35">
      <c r="A3530" s="376" t="s">
        <v>1604</v>
      </c>
      <c r="B3530" s="376" t="s">
        <v>1609</v>
      </c>
      <c r="C3530" s="376" t="s">
        <v>628</v>
      </c>
      <c r="D3530" s="376">
        <v>2029</v>
      </c>
      <c r="E3530" s="376">
        <v>2029</v>
      </c>
      <c r="F3530" s="376">
        <v>1</v>
      </c>
      <c r="G3530" s="376">
        <v>10872.741503138899</v>
      </c>
      <c r="H3530" s="376">
        <v>0</v>
      </c>
      <c r="I3530" s="376">
        <v>1</v>
      </c>
    </row>
    <row r="3531" spans="1:9" x14ac:dyDescent="0.35">
      <c r="A3531" s="376" t="s">
        <v>1604</v>
      </c>
      <c r="B3531" s="376" t="s">
        <v>1609</v>
      </c>
      <c r="C3531" s="376" t="s">
        <v>1051</v>
      </c>
      <c r="D3531" s="376">
        <v>2029</v>
      </c>
      <c r="E3531" s="376">
        <v>2029</v>
      </c>
      <c r="F3531" s="376">
        <v>1</v>
      </c>
      <c r="G3531" s="376">
        <v>10872.741503138899</v>
      </c>
      <c r="H3531" s="376">
        <v>0</v>
      </c>
      <c r="I3531" s="376">
        <v>1</v>
      </c>
    </row>
    <row r="3532" spans="1:9" x14ac:dyDescent="0.35">
      <c r="A3532" s="376" t="s">
        <v>1604</v>
      </c>
      <c r="B3532" s="376" t="s">
        <v>1609</v>
      </c>
      <c r="C3532" s="376" t="s">
        <v>1054</v>
      </c>
      <c r="D3532" s="376">
        <v>2029</v>
      </c>
      <c r="E3532" s="376">
        <v>2029</v>
      </c>
      <c r="F3532" s="376">
        <v>1</v>
      </c>
      <c r="G3532" s="376">
        <v>10872.741503138899</v>
      </c>
      <c r="H3532" s="376">
        <v>0</v>
      </c>
      <c r="I3532" s="376">
        <v>1</v>
      </c>
    </row>
    <row r="3533" spans="1:9" x14ac:dyDescent="0.35">
      <c r="A3533" s="376" t="s">
        <v>1604</v>
      </c>
      <c r="B3533" s="376" t="s">
        <v>1609</v>
      </c>
      <c r="C3533" s="376" t="s">
        <v>1046</v>
      </c>
      <c r="D3533" s="376">
        <v>2029</v>
      </c>
      <c r="E3533" s="376">
        <v>2030</v>
      </c>
      <c r="F3533" s="376">
        <v>1</v>
      </c>
      <c r="G3533" s="376">
        <v>10872.741503138899</v>
      </c>
      <c r="H3533" s="376">
        <v>0</v>
      </c>
      <c r="I3533" s="376">
        <v>1</v>
      </c>
    </row>
    <row r="3534" spans="1:9" x14ac:dyDescent="0.35">
      <c r="A3534" s="376" t="s">
        <v>1604</v>
      </c>
      <c r="B3534" s="376" t="s">
        <v>1609</v>
      </c>
      <c r="C3534" s="376" t="s">
        <v>644</v>
      </c>
      <c r="D3534" s="376">
        <v>2029</v>
      </c>
      <c r="E3534" s="376">
        <v>2030</v>
      </c>
      <c r="F3534" s="376">
        <v>1</v>
      </c>
      <c r="G3534" s="376">
        <v>10872.741503138899</v>
      </c>
      <c r="H3534" s="376">
        <v>0</v>
      </c>
      <c r="I3534" s="376">
        <v>1</v>
      </c>
    </row>
    <row r="3535" spans="1:9" x14ac:dyDescent="0.35">
      <c r="A3535" s="376" t="s">
        <v>1604</v>
      </c>
      <c r="B3535" s="376" t="s">
        <v>1609</v>
      </c>
      <c r="C3535" s="376" t="s">
        <v>628</v>
      </c>
      <c r="D3535" s="376">
        <v>2029</v>
      </c>
      <c r="E3535" s="376">
        <v>2030</v>
      </c>
      <c r="F3535" s="376">
        <v>1</v>
      </c>
      <c r="G3535" s="376">
        <v>10872.741503138899</v>
      </c>
      <c r="H3535" s="376">
        <v>0</v>
      </c>
      <c r="I3535" s="376">
        <v>1</v>
      </c>
    </row>
    <row r="3536" spans="1:9" x14ac:dyDescent="0.35">
      <c r="A3536" s="376" t="s">
        <v>1604</v>
      </c>
      <c r="B3536" s="376" t="s">
        <v>1609</v>
      </c>
      <c r="C3536" s="376" t="s">
        <v>1051</v>
      </c>
      <c r="D3536" s="376">
        <v>2029</v>
      </c>
      <c r="E3536" s="376">
        <v>2030</v>
      </c>
      <c r="F3536" s="376">
        <v>1</v>
      </c>
      <c r="G3536" s="376">
        <v>10872.741503138899</v>
      </c>
      <c r="H3536" s="376">
        <v>0</v>
      </c>
      <c r="I3536" s="376">
        <v>1</v>
      </c>
    </row>
    <row r="3537" spans="1:9" x14ac:dyDescent="0.35">
      <c r="A3537" s="376" t="s">
        <v>1604</v>
      </c>
      <c r="B3537" s="376" t="s">
        <v>1609</v>
      </c>
      <c r="C3537" s="376" t="s">
        <v>1054</v>
      </c>
      <c r="D3537" s="376">
        <v>2029</v>
      </c>
      <c r="E3537" s="376">
        <v>2030</v>
      </c>
      <c r="F3537" s="376">
        <v>1</v>
      </c>
      <c r="G3537" s="376">
        <v>10872.741503138899</v>
      </c>
      <c r="H3537" s="376">
        <v>0</v>
      </c>
      <c r="I3537" s="376">
        <v>1</v>
      </c>
    </row>
    <row r="3538" spans="1:9" x14ac:dyDescent="0.35">
      <c r="A3538" s="376" t="s">
        <v>1604</v>
      </c>
      <c r="B3538" s="376" t="s">
        <v>1609</v>
      </c>
      <c r="C3538" s="376" t="s">
        <v>1046</v>
      </c>
      <c r="D3538" s="376">
        <v>2029</v>
      </c>
      <c r="E3538" s="376">
        <v>2031</v>
      </c>
      <c r="F3538" s="376">
        <v>1</v>
      </c>
      <c r="G3538" s="376">
        <v>10872.741503138899</v>
      </c>
      <c r="H3538" s="376">
        <v>0</v>
      </c>
      <c r="I3538" s="376">
        <v>1</v>
      </c>
    </row>
    <row r="3539" spans="1:9" x14ac:dyDescent="0.35">
      <c r="A3539" s="376" t="s">
        <v>1604</v>
      </c>
      <c r="B3539" s="376" t="s">
        <v>1609</v>
      </c>
      <c r="C3539" s="376" t="s">
        <v>644</v>
      </c>
      <c r="D3539" s="376">
        <v>2029</v>
      </c>
      <c r="E3539" s="376">
        <v>2031</v>
      </c>
      <c r="F3539" s="376">
        <v>1</v>
      </c>
      <c r="G3539" s="376">
        <v>10872.741503138899</v>
      </c>
      <c r="H3539" s="376">
        <v>0</v>
      </c>
      <c r="I3539" s="376">
        <v>1</v>
      </c>
    </row>
    <row r="3540" spans="1:9" x14ac:dyDescent="0.35">
      <c r="A3540" s="376" t="s">
        <v>1604</v>
      </c>
      <c r="B3540" s="376" t="s">
        <v>1609</v>
      </c>
      <c r="C3540" s="376" t="s">
        <v>628</v>
      </c>
      <c r="D3540" s="376">
        <v>2029</v>
      </c>
      <c r="E3540" s="376">
        <v>2031</v>
      </c>
      <c r="F3540" s="376">
        <v>1</v>
      </c>
      <c r="G3540" s="376">
        <v>10872.741503138899</v>
      </c>
      <c r="H3540" s="376">
        <v>0</v>
      </c>
      <c r="I3540" s="376">
        <v>1</v>
      </c>
    </row>
    <row r="3541" spans="1:9" x14ac:dyDescent="0.35">
      <c r="A3541" s="376" t="s">
        <v>1604</v>
      </c>
      <c r="B3541" s="376" t="s">
        <v>1609</v>
      </c>
      <c r="C3541" s="376" t="s">
        <v>1051</v>
      </c>
      <c r="D3541" s="376">
        <v>2029</v>
      </c>
      <c r="E3541" s="376">
        <v>2031</v>
      </c>
      <c r="F3541" s="376">
        <v>1</v>
      </c>
      <c r="G3541" s="376">
        <v>10872.741503138899</v>
      </c>
      <c r="H3541" s="376">
        <v>0</v>
      </c>
      <c r="I3541" s="376">
        <v>1</v>
      </c>
    </row>
    <row r="3542" spans="1:9" x14ac:dyDescent="0.35">
      <c r="A3542" s="376" t="s">
        <v>1604</v>
      </c>
      <c r="B3542" s="376" t="s">
        <v>1609</v>
      </c>
      <c r="C3542" s="376" t="s">
        <v>1054</v>
      </c>
      <c r="D3542" s="376">
        <v>2029</v>
      </c>
      <c r="E3542" s="376">
        <v>2031</v>
      </c>
      <c r="F3542" s="376">
        <v>1</v>
      </c>
      <c r="G3542" s="376">
        <v>10872.741503138899</v>
      </c>
      <c r="H3542" s="376">
        <v>0</v>
      </c>
      <c r="I3542" s="376">
        <v>1</v>
      </c>
    </row>
    <row r="3543" spans="1:9" x14ac:dyDescent="0.35">
      <c r="A3543" s="376" t="s">
        <v>1615</v>
      </c>
      <c r="B3543" s="376" t="s">
        <v>1609</v>
      </c>
      <c r="C3543" s="376" t="s">
        <v>1046</v>
      </c>
      <c r="D3543" s="376">
        <v>2029</v>
      </c>
      <c r="E3543" s="376">
        <v>2029</v>
      </c>
      <c r="F3543" s="376">
        <v>1</v>
      </c>
      <c r="G3543" s="376">
        <v>20148.813739673951</v>
      </c>
      <c r="H3543" s="376">
        <v>0</v>
      </c>
      <c r="I3543" s="376">
        <v>0.65716939790195539</v>
      </c>
    </row>
    <row r="3544" spans="1:9" x14ac:dyDescent="0.35">
      <c r="A3544" s="376" t="s">
        <v>1615</v>
      </c>
      <c r="B3544" s="376" t="s">
        <v>1609</v>
      </c>
      <c r="C3544" s="376" t="s">
        <v>644</v>
      </c>
      <c r="D3544" s="376">
        <v>2029</v>
      </c>
      <c r="E3544" s="376">
        <v>2029</v>
      </c>
      <c r="F3544" s="376">
        <v>1</v>
      </c>
      <c r="G3544" s="376">
        <v>20148.813739673951</v>
      </c>
      <c r="H3544" s="376">
        <v>0</v>
      </c>
      <c r="I3544" s="376">
        <v>0.65716939790195539</v>
      </c>
    </row>
    <row r="3545" spans="1:9" x14ac:dyDescent="0.35">
      <c r="A3545" s="376" t="s">
        <v>1615</v>
      </c>
      <c r="B3545" s="376" t="s">
        <v>1609</v>
      </c>
      <c r="C3545" s="376" t="s">
        <v>628</v>
      </c>
      <c r="D3545" s="376">
        <v>2029</v>
      </c>
      <c r="E3545" s="376">
        <v>2029</v>
      </c>
      <c r="F3545" s="376">
        <v>1</v>
      </c>
      <c r="G3545" s="376">
        <v>20148.813739673951</v>
      </c>
      <c r="H3545" s="376">
        <v>0</v>
      </c>
      <c r="I3545" s="376">
        <v>0.65716939790195539</v>
      </c>
    </row>
    <row r="3546" spans="1:9" x14ac:dyDescent="0.35">
      <c r="A3546" s="376" t="s">
        <v>1615</v>
      </c>
      <c r="B3546" s="376" t="s">
        <v>1609</v>
      </c>
      <c r="C3546" s="376" t="s">
        <v>1051</v>
      </c>
      <c r="D3546" s="376">
        <v>2029</v>
      </c>
      <c r="E3546" s="376">
        <v>2029</v>
      </c>
      <c r="F3546" s="376">
        <v>1</v>
      </c>
      <c r="G3546" s="376">
        <v>20148.813739673951</v>
      </c>
      <c r="H3546" s="376">
        <v>0</v>
      </c>
      <c r="I3546" s="376">
        <v>0.65716939790195539</v>
      </c>
    </row>
    <row r="3547" spans="1:9" x14ac:dyDescent="0.35">
      <c r="A3547" s="376" t="s">
        <v>1615</v>
      </c>
      <c r="B3547" s="376" t="s">
        <v>1609</v>
      </c>
      <c r="C3547" s="376" t="s">
        <v>1054</v>
      </c>
      <c r="D3547" s="376">
        <v>2029</v>
      </c>
      <c r="E3547" s="376">
        <v>2029</v>
      </c>
      <c r="F3547" s="376">
        <v>1</v>
      </c>
      <c r="G3547" s="376">
        <v>20148.813739673951</v>
      </c>
      <c r="H3547" s="376">
        <v>0</v>
      </c>
      <c r="I3547" s="376">
        <v>0.65716939790195539</v>
      </c>
    </row>
    <row r="3548" spans="1:9" x14ac:dyDescent="0.35">
      <c r="A3548" s="376" t="s">
        <v>1615</v>
      </c>
      <c r="B3548" s="376" t="s">
        <v>1609</v>
      </c>
      <c r="C3548" s="376" t="s">
        <v>1046</v>
      </c>
      <c r="D3548" s="376">
        <v>2029</v>
      </c>
      <c r="E3548" s="376">
        <v>2030</v>
      </c>
      <c r="F3548" s="376">
        <v>1</v>
      </c>
      <c r="G3548" s="376">
        <v>20148.813739673951</v>
      </c>
      <c r="H3548" s="376">
        <v>0</v>
      </c>
      <c r="I3548" s="376">
        <v>0.65716939790195539</v>
      </c>
    </row>
    <row r="3549" spans="1:9" x14ac:dyDescent="0.35">
      <c r="A3549" s="376" t="s">
        <v>1615</v>
      </c>
      <c r="B3549" s="376" t="s">
        <v>1609</v>
      </c>
      <c r="C3549" s="376" t="s">
        <v>644</v>
      </c>
      <c r="D3549" s="376">
        <v>2029</v>
      </c>
      <c r="E3549" s="376">
        <v>2030</v>
      </c>
      <c r="F3549" s="376">
        <v>1</v>
      </c>
      <c r="G3549" s="376">
        <v>20148.813739673951</v>
      </c>
      <c r="H3549" s="376">
        <v>0</v>
      </c>
      <c r="I3549" s="376">
        <v>0.65716939790195539</v>
      </c>
    </row>
    <row r="3550" spans="1:9" x14ac:dyDescent="0.35">
      <c r="A3550" s="376" t="s">
        <v>1615</v>
      </c>
      <c r="B3550" s="376" t="s">
        <v>1609</v>
      </c>
      <c r="C3550" s="376" t="s">
        <v>628</v>
      </c>
      <c r="D3550" s="376">
        <v>2029</v>
      </c>
      <c r="E3550" s="376">
        <v>2030</v>
      </c>
      <c r="F3550" s="376">
        <v>1</v>
      </c>
      <c r="G3550" s="376">
        <v>20148.813739673951</v>
      </c>
      <c r="H3550" s="376">
        <v>0</v>
      </c>
      <c r="I3550" s="376">
        <v>0.65716939790195539</v>
      </c>
    </row>
    <row r="3551" spans="1:9" x14ac:dyDescent="0.35">
      <c r="A3551" s="376" t="s">
        <v>1615</v>
      </c>
      <c r="B3551" s="376" t="s">
        <v>1609</v>
      </c>
      <c r="C3551" s="376" t="s">
        <v>1051</v>
      </c>
      <c r="D3551" s="376">
        <v>2029</v>
      </c>
      <c r="E3551" s="376">
        <v>2030</v>
      </c>
      <c r="F3551" s="376">
        <v>1</v>
      </c>
      <c r="G3551" s="376">
        <v>20148.813739673951</v>
      </c>
      <c r="H3551" s="376">
        <v>0</v>
      </c>
      <c r="I3551" s="376">
        <v>0.65716939790195539</v>
      </c>
    </row>
    <row r="3552" spans="1:9" x14ac:dyDescent="0.35">
      <c r="A3552" s="376" t="s">
        <v>1615</v>
      </c>
      <c r="B3552" s="376" t="s">
        <v>1609</v>
      </c>
      <c r="C3552" s="376" t="s">
        <v>1054</v>
      </c>
      <c r="D3552" s="376">
        <v>2029</v>
      </c>
      <c r="E3552" s="376">
        <v>2030</v>
      </c>
      <c r="F3552" s="376">
        <v>1</v>
      </c>
      <c r="G3552" s="376">
        <v>20148.813739673951</v>
      </c>
      <c r="H3552" s="376">
        <v>0</v>
      </c>
      <c r="I3552" s="376">
        <v>0.65716939790195539</v>
      </c>
    </row>
    <row r="3553" spans="1:9" x14ac:dyDescent="0.35">
      <c r="A3553" s="376" t="s">
        <v>1615</v>
      </c>
      <c r="B3553" s="376" t="s">
        <v>1609</v>
      </c>
      <c r="C3553" s="376" t="s">
        <v>1046</v>
      </c>
      <c r="D3553" s="376">
        <v>2029</v>
      </c>
      <c r="E3553" s="376">
        <v>2031</v>
      </c>
      <c r="F3553" s="376">
        <v>1</v>
      </c>
      <c r="G3553" s="376">
        <v>20148.813739673951</v>
      </c>
      <c r="H3553" s="376">
        <v>0</v>
      </c>
      <c r="I3553" s="376">
        <v>0.65716939790195539</v>
      </c>
    </row>
    <row r="3554" spans="1:9" x14ac:dyDescent="0.35">
      <c r="A3554" s="376" t="s">
        <v>1615</v>
      </c>
      <c r="B3554" s="376" t="s">
        <v>1609</v>
      </c>
      <c r="C3554" s="376" t="s">
        <v>644</v>
      </c>
      <c r="D3554" s="376">
        <v>2029</v>
      </c>
      <c r="E3554" s="376">
        <v>2031</v>
      </c>
      <c r="F3554" s="376">
        <v>1</v>
      </c>
      <c r="G3554" s="376">
        <v>20148.813739673951</v>
      </c>
      <c r="H3554" s="376">
        <v>0</v>
      </c>
      <c r="I3554" s="376">
        <v>0.65716939790195539</v>
      </c>
    </row>
    <row r="3555" spans="1:9" x14ac:dyDescent="0.35">
      <c r="A3555" s="376" t="s">
        <v>1615</v>
      </c>
      <c r="B3555" s="376" t="s">
        <v>1609</v>
      </c>
      <c r="C3555" s="376" t="s">
        <v>628</v>
      </c>
      <c r="D3555" s="376">
        <v>2029</v>
      </c>
      <c r="E3555" s="376">
        <v>2031</v>
      </c>
      <c r="F3555" s="376">
        <v>1</v>
      </c>
      <c r="G3555" s="376">
        <v>20148.813739673951</v>
      </c>
      <c r="H3555" s="376">
        <v>0</v>
      </c>
      <c r="I3555" s="376">
        <v>0.65716939790195539</v>
      </c>
    </row>
    <row r="3556" spans="1:9" x14ac:dyDescent="0.35">
      <c r="A3556" s="376" t="s">
        <v>1615</v>
      </c>
      <c r="B3556" s="376" t="s">
        <v>1609</v>
      </c>
      <c r="C3556" s="376" t="s">
        <v>1051</v>
      </c>
      <c r="D3556" s="376">
        <v>2029</v>
      </c>
      <c r="E3556" s="376">
        <v>2031</v>
      </c>
      <c r="F3556" s="376">
        <v>1</v>
      </c>
      <c r="G3556" s="376">
        <v>20148.813739673951</v>
      </c>
      <c r="H3556" s="376">
        <v>0</v>
      </c>
      <c r="I3556" s="376">
        <v>0.65716939790195539</v>
      </c>
    </row>
    <row r="3557" spans="1:9" x14ac:dyDescent="0.35">
      <c r="A3557" s="376" t="s">
        <v>1615</v>
      </c>
      <c r="B3557" s="376" t="s">
        <v>1609</v>
      </c>
      <c r="C3557" s="376" t="s">
        <v>1054</v>
      </c>
      <c r="D3557" s="376">
        <v>2029</v>
      </c>
      <c r="E3557" s="376">
        <v>2031</v>
      </c>
      <c r="F3557" s="376">
        <v>1</v>
      </c>
      <c r="G3557" s="376">
        <v>20148.813739673951</v>
      </c>
      <c r="H3557" s="376">
        <v>0</v>
      </c>
      <c r="I3557" s="376">
        <v>0.65716939790195539</v>
      </c>
    </row>
    <row r="3558" spans="1:9" x14ac:dyDescent="0.35">
      <c r="A3558" s="376" t="s">
        <v>1603</v>
      </c>
      <c r="B3558" s="376" t="s">
        <v>1609</v>
      </c>
      <c r="C3558" s="376" t="s">
        <v>1046</v>
      </c>
      <c r="D3558" s="376">
        <v>2029</v>
      </c>
      <c r="E3558" s="376">
        <v>2029</v>
      </c>
      <c r="F3558" s="376">
        <v>1</v>
      </c>
      <c r="G3558" s="376">
        <v>6101.463203368502</v>
      </c>
      <c r="H3558" s="376">
        <v>0</v>
      </c>
      <c r="I3558" s="376">
        <v>1</v>
      </c>
    </row>
    <row r="3559" spans="1:9" x14ac:dyDescent="0.35">
      <c r="A3559" s="376" t="s">
        <v>1603</v>
      </c>
      <c r="B3559" s="376" t="s">
        <v>1609</v>
      </c>
      <c r="C3559" s="376" t="s">
        <v>644</v>
      </c>
      <c r="D3559" s="376">
        <v>2029</v>
      </c>
      <c r="E3559" s="376">
        <v>2029</v>
      </c>
      <c r="F3559" s="376">
        <v>1</v>
      </c>
      <c r="G3559" s="376">
        <v>6101.463203368502</v>
      </c>
      <c r="H3559" s="376">
        <v>0</v>
      </c>
      <c r="I3559" s="376">
        <v>1</v>
      </c>
    </row>
    <row r="3560" spans="1:9" x14ac:dyDescent="0.35">
      <c r="A3560" s="376" t="s">
        <v>1603</v>
      </c>
      <c r="B3560" s="376" t="s">
        <v>1609</v>
      </c>
      <c r="C3560" s="376" t="s">
        <v>628</v>
      </c>
      <c r="D3560" s="376">
        <v>2029</v>
      </c>
      <c r="E3560" s="376">
        <v>2029</v>
      </c>
      <c r="F3560" s="376">
        <v>1</v>
      </c>
      <c r="G3560" s="376">
        <v>6101.463203368502</v>
      </c>
      <c r="H3560" s="376">
        <v>0</v>
      </c>
      <c r="I3560" s="376">
        <v>1</v>
      </c>
    </row>
    <row r="3561" spans="1:9" x14ac:dyDescent="0.35">
      <c r="A3561" s="376" t="s">
        <v>1603</v>
      </c>
      <c r="B3561" s="376" t="s">
        <v>1609</v>
      </c>
      <c r="C3561" s="376" t="s">
        <v>1051</v>
      </c>
      <c r="D3561" s="376">
        <v>2029</v>
      </c>
      <c r="E3561" s="376">
        <v>2029</v>
      </c>
      <c r="F3561" s="376">
        <v>1</v>
      </c>
      <c r="G3561" s="376">
        <v>6101.463203368502</v>
      </c>
      <c r="H3561" s="376">
        <v>0</v>
      </c>
      <c r="I3561" s="376">
        <v>1</v>
      </c>
    </row>
    <row r="3562" spans="1:9" x14ac:dyDescent="0.35">
      <c r="A3562" s="376" t="s">
        <v>1603</v>
      </c>
      <c r="B3562" s="376" t="s">
        <v>1609</v>
      </c>
      <c r="C3562" s="376" t="s">
        <v>1054</v>
      </c>
      <c r="D3562" s="376">
        <v>2029</v>
      </c>
      <c r="E3562" s="376">
        <v>2029</v>
      </c>
      <c r="F3562" s="376">
        <v>1</v>
      </c>
      <c r="G3562" s="376">
        <v>6101.463203368502</v>
      </c>
      <c r="H3562" s="376">
        <v>0</v>
      </c>
      <c r="I3562" s="376">
        <v>1</v>
      </c>
    </row>
    <row r="3563" spans="1:9" x14ac:dyDescent="0.35">
      <c r="A3563" s="376" t="s">
        <v>1603</v>
      </c>
      <c r="B3563" s="376" t="s">
        <v>1609</v>
      </c>
      <c r="C3563" s="376" t="s">
        <v>1046</v>
      </c>
      <c r="D3563" s="376">
        <v>2029</v>
      </c>
      <c r="E3563" s="376">
        <v>2030</v>
      </c>
      <c r="F3563" s="376">
        <v>1</v>
      </c>
      <c r="G3563" s="376">
        <v>6101.463203368502</v>
      </c>
      <c r="H3563" s="376">
        <v>0</v>
      </c>
      <c r="I3563" s="376">
        <v>1</v>
      </c>
    </row>
    <row r="3564" spans="1:9" x14ac:dyDescent="0.35">
      <c r="A3564" s="376" t="s">
        <v>1603</v>
      </c>
      <c r="B3564" s="376" t="s">
        <v>1609</v>
      </c>
      <c r="C3564" s="376" t="s">
        <v>644</v>
      </c>
      <c r="D3564" s="376">
        <v>2029</v>
      </c>
      <c r="E3564" s="376">
        <v>2030</v>
      </c>
      <c r="F3564" s="376">
        <v>1</v>
      </c>
      <c r="G3564" s="376">
        <v>6101.463203368502</v>
      </c>
      <c r="H3564" s="376">
        <v>0</v>
      </c>
      <c r="I3564" s="376">
        <v>1</v>
      </c>
    </row>
    <row r="3565" spans="1:9" x14ac:dyDescent="0.35">
      <c r="A3565" s="376" t="s">
        <v>1603</v>
      </c>
      <c r="B3565" s="376" t="s">
        <v>1609</v>
      </c>
      <c r="C3565" s="376" t="s">
        <v>628</v>
      </c>
      <c r="D3565" s="376">
        <v>2029</v>
      </c>
      <c r="E3565" s="376">
        <v>2030</v>
      </c>
      <c r="F3565" s="376">
        <v>1</v>
      </c>
      <c r="G3565" s="376">
        <v>6101.463203368502</v>
      </c>
      <c r="H3565" s="376">
        <v>0</v>
      </c>
      <c r="I3565" s="376">
        <v>1</v>
      </c>
    </row>
    <row r="3566" spans="1:9" x14ac:dyDescent="0.35">
      <c r="A3566" s="376" t="s">
        <v>1603</v>
      </c>
      <c r="B3566" s="376" t="s">
        <v>1609</v>
      </c>
      <c r="C3566" s="376" t="s">
        <v>1051</v>
      </c>
      <c r="D3566" s="376">
        <v>2029</v>
      </c>
      <c r="E3566" s="376">
        <v>2030</v>
      </c>
      <c r="F3566" s="376">
        <v>1</v>
      </c>
      <c r="G3566" s="376">
        <v>6101.463203368502</v>
      </c>
      <c r="H3566" s="376">
        <v>0</v>
      </c>
      <c r="I3566" s="376">
        <v>1</v>
      </c>
    </row>
    <row r="3567" spans="1:9" x14ac:dyDescent="0.35">
      <c r="A3567" s="376" t="s">
        <v>1603</v>
      </c>
      <c r="B3567" s="376" t="s">
        <v>1609</v>
      </c>
      <c r="C3567" s="376" t="s">
        <v>1054</v>
      </c>
      <c r="D3567" s="376">
        <v>2029</v>
      </c>
      <c r="E3567" s="376">
        <v>2030</v>
      </c>
      <c r="F3567" s="376">
        <v>1</v>
      </c>
      <c r="G3567" s="376">
        <v>6101.463203368502</v>
      </c>
      <c r="H3567" s="376">
        <v>0</v>
      </c>
      <c r="I3567" s="376">
        <v>1</v>
      </c>
    </row>
    <row r="3568" spans="1:9" x14ac:dyDescent="0.35">
      <c r="A3568" s="376" t="s">
        <v>1603</v>
      </c>
      <c r="B3568" s="376" t="s">
        <v>1609</v>
      </c>
      <c r="C3568" s="376" t="s">
        <v>1046</v>
      </c>
      <c r="D3568" s="376">
        <v>2029</v>
      </c>
      <c r="E3568" s="376">
        <v>2031</v>
      </c>
      <c r="F3568" s="376">
        <v>1</v>
      </c>
      <c r="G3568" s="376">
        <v>6101.463203368502</v>
      </c>
      <c r="H3568" s="376">
        <v>0</v>
      </c>
      <c r="I3568" s="376">
        <v>1</v>
      </c>
    </row>
    <row r="3569" spans="1:9" x14ac:dyDescent="0.35">
      <c r="A3569" s="376" t="s">
        <v>1603</v>
      </c>
      <c r="B3569" s="376" t="s">
        <v>1609</v>
      </c>
      <c r="C3569" s="376" t="s">
        <v>644</v>
      </c>
      <c r="D3569" s="376">
        <v>2029</v>
      </c>
      <c r="E3569" s="376">
        <v>2031</v>
      </c>
      <c r="F3569" s="376">
        <v>1</v>
      </c>
      <c r="G3569" s="376">
        <v>6101.463203368502</v>
      </c>
      <c r="H3569" s="376">
        <v>0</v>
      </c>
      <c r="I3569" s="376">
        <v>1</v>
      </c>
    </row>
    <row r="3570" spans="1:9" x14ac:dyDescent="0.35">
      <c r="A3570" s="376" t="s">
        <v>1603</v>
      </c>
      <c r="B3570" s="376" t="s">
        <v>1609</v>
      </c>
      <c r="C3570" s="376" t="s">
        <v>628</v>
      </c>
      <c r="D3570" s="376">
        <v>2029</v>
      </c>
      <c r="E3570" s="376">
        <v>2031</v>
      </c>
      <c r="F3570" s="376">
        <v>1</v>
      </c>
      <c r="G3570" s="376">
        <v>6101.463203368502</v>
      </c>
      <c r="H3570" s="376">
        <v>0</v>
      </c>
      <c r="I3570" s="376">
        <v>1</v>
      </c>
    </row>
    <row r="3571" spans="1:9" x14ac:dyDescent="0.35">
      <c r="A3571" s="376" t="s">
        <v>1603</v>
      </c>
      <c r="B3571" s="376" t="s">
        <v>1609</v>
      </c>
      <c r="C3571" s="376" t="s">
        <v>1051</v>
      </c>
      <c r="D3571" s="376">
        <v>2029</v>
      </c>
      <c r="E3571" s="376">
        <v>2031</v>
      </c>
      <c r="F3571" s="376">
        <v>1</v>
      </c>
      <c r="G3571" s="376">
        <v>6101.463203368502</v>
      </c>
      <c r="H3571" s="376">
        <v>0</v>
      </c>
      <c r="I3571" s="376">
        <v>1</v>
      </c>
    </row>
    <row r="3572" spans="1:9" x14ac:dyDescent="0.35">
      <c r="A3572" s="376" t="s">
        <v>1603</v>
      </c>
      <c r="B3572" s="376" t="s">
        <v>1609</v>
      </c>
      <c r="C3572" s="376" t="s">
        <v>1054</v>
      </c>
      <c r="D3572" s="376">
        <v>2029</v>
      </c>
      <c r="E3572" s="376">
        <v>2031</v>
      </c>
      <c r="F3572" s="376">
        <v>1</v>
      </c>
      <c r="G3572" s="376">
        <v>6101.463203368502</v>
      </c>
      <c r="H3572" s="376">
        <v>0</v>
      </c>
      <c r="I3572" s="376">
        <v>1</v>
      </c>
    </row>
    <row r="3573" spans="1:9" x14ac:dyDescent="0.35">
      <c r="A3573" s="376" t="s">
        <v>1605</v>
      </c>
      <c r="B3573" s="376" t="s">
        <v>1609</v>
      </c>
      <c r="C3573" s="376" t="s">
        <v>1046</v>
      </c>
      <c r="D3573" s="376">
        <v>2029</v>
      </c>
      <c r="E3573" s="376">
        <v>2029</v>
      </c>
      <c r="F3573" s="376">
        <v>0.23884589662749595</v>
      </c>
      <c r="G3573" s="376">
        <v>10426.102375692073</v>
      </c>
      <c r="H3573" s="376">
        <v>0</v>
      </c>
      <c r="I3573" s="376">
        <v>1</v>
      </c>
    </row>
    <row r="3574" spans="1:9" x14ac:dyDescent="0.35">
      <c r="A3574" s="376" t="s">
        <v>1605</v>
      </c>
      <c r="B3574" s="376" t="s">
        <v>1609</v>
      </c>
      <c r="C3574" s="376" t="s">
        <v>644</v>
      </c>
      <c r="D3574" s="376">
        <v>2029</v>
      </c>
      <c r="E3574" s="376">
        <v>2029</v>
      </c>
      <c r="F3574" s="376">
        <v>0.23884589662749595</v>
      </c>
      <c r="G3574" s="376">
        <v>10426.102375692073</v>
      </c>
      <c r="H3574" s="376">
        <v>0</v>
      </c>
      <c r="I3574" s="376">
        <v>1</v>
      </c>
    </row>
    <row r="3575" spans="1:9" x14ac:dyDescent="0.35">
      <c r="A3575" s="376" t="s">
        <v>1605</v>
      </c>
      <c r="B3575" s="376" t="s">
        <v>1609</v>
      </c>
      <c r="C3575" s="376" t="s">
        <v>628</v>
      </c>
      <c r="D3575" s="376">
        <v>2029</v>
      </c>
      <c r="E3575" s="376">
        <v>2029</v>
      </c>
      <c r="F3575" s="376">
        <v>0.23884589662749595</v>
      </c>
      <c r="G3575" s="376">
        <v>10426.102375692073</v>
      </c>
      <c r="H3575" s="376">
        <v>0</v>
      </c>
      <c r="I3575" s="376">
        <v>1</v>
      </c>
    </row>
    <row r="3576" spans="1:9" x14ac:dyDescent="0.35">
      <c r="A3576" s="376" t="s">
        <v>1605</v>
      </c>
      <c r="B3576" s="376" t="s">
        <v>1609</v>
      </c>
      <c r="C3576" s="376" t="s">
        <v>1051</v>
      </c>
      <c r="D3576" s="376">
        <v>2029</v>
      </c>
      <c r="E3576" s="376">
        <v>2029</v>
      </c>
      <c r="F3576" s="376">
        <v>0.23884589662749595</v>
      </c>
      <c r="G3576" s="376">
        <v>10426.102375692073</v>
      </c>
      <c r="H3576" s="376">
        <v>0</v>
      </c>
      <c r="I3576" s="376">
        <v>1</v>
      </c>
    </row>
    <row r="3577" spans="1:9" x14ac:dyDescent="0.35">
      <c r="A3577" s="376" t="s">
        <v>1605</v>
      </c>
      <c r="B3577" s="376" t="s">
        <v>1609</v>
      </c>
      <c r="C3577" s="376" t="s">
        <v>1054</v>
      </c>
      <c r="D3577" s="376">
        <v>2029</v>
      </c>
      <c r="E3577" s="376">
        <v>2029</v>
      </c>
      <c r="F3577" s="376">
        <v>0.23884589662749595</v>
      </c>
      <c r="G3577" s="376">
        <v>10426.102375692073</v>
      </c>
      <c r="H3577" s="376">
        <v>0</v>
      </c>
      <c r="I3577" s="376">
        <v>1</v>
      </c>
    </row>
    <row r="3578" spans="1:9" x14ac:dyDescent="0.35">
      <c r="A3578" s="376" t="s">
        <v>1605</v>
      </c>
      <c r="B3578" s="376" t="s">
        <v>1609</v>
      </c>
      <c r="C3578" s="376" t="s">
        <v>1046</v>
      </c>
      <c r="D3578" s="376">
        <v>2029</v>
      </c>
      <c r="E3578" s="376">
        <v>2030</v>
      </c>
      <c r="F3578" s="376">
        <v>0.23884589662749595</v>
      </c>
      <c r="G3578" s="376">
        <v>10426.102375692073</v>
      </c>
      <c r="H3578" s="376">
        <v>0</v>
      </c>
      <c r="I3578" s="376">
        <v>1</v>
      </c>
    </row>
    <row r="3579" spans="1:9" x14ac:dyDescent="0.35">
      <c r="A3579" s="376" t="s">
        <v>1605</v>
      </c>
      <c r="B3579" s="376" t="s">
        <v>1609</v>
      </c>
      <c r="C3579" s="376" t="s">
        <v>644</v>
      </c>
      <c r="D3579" s="376">
        <v>2029</v>
      </c>
      <c r="E3579" s="376">
        <v>2030</v>
      </c>
      <c r="F3579" s="376">
        <v>0.23884589662749595</v>
      </c>
      <c r="G3579" s="376">
        <v>10426.102375692073</v>
      </c>
      <c r="H3579" s="376">
        <v>0</v>
      </c>
      <c r="I3579" s="376">
        <v>1</v>
      </c>
    </row>
    <row r="3580" spans="1:9" x14ac:dyDescent="0.35">
      <c r="A3580" s="376" t="s">
        <v>1605</v>
      </c>
      <c r="B3580" s="376" t="s">
        <v>1609</v>
      </c>
      <c r="C3580" s="376" t="s">
        <v>628</v>
      </c>
      <c r="D3580" s="376">
        <v>2029</v>
      </c>
      <c r="E3580" s="376">
        <v>2030</v>
      </c>
      <c r="F3580" s="376">
        <v>0.23884589662749595</v>
      </c>
      <c r="G3580" s="376">
        <v>10426.102375692073</v>
      </c>
      <c r="H3580" s="376">
        <v>0</v>
      </c>
      <c r="I3580" s="376">
        <v>1</v>
      </c>
    </row>
    <row r="3581" spans="1:9" x14ac:dyDescent="0.35">
      <c r="A3581" s="376" t="s">
        <v>1605</v>
      </c>
      <c r="B3581" s="376" t="s">
        <v>1609</v>
      </c>
      <c r="C3581" s="376" t="s">
        <v>1051</v>
      </c>
      <c r="D3581" s="376">
        <v>2029</v>
      </c>
      <c r="E3581" s="376">
        <v>2030</v>
      </c>
      <c r="F3581" s="376">
        <v>0.23884589662749595</v>
      </c>
      <c r="G3581" s="376">
        <v>10426.102375692073</v>
      </c>
      <c r="H3581" s="376">
        <v>0</v>
      </c>
      <c r="I3581" s="376">
        <v>1</v>
      </c>
    </row>
    <row r="3582" spans="1:9" x14ac:dyDescent="0.35">
      <c r="A3582" s="376" t="s">
        <v>1605</v>
      </c>
      <c r="B3582" s="376" t="s">
        <v>1609</v>
      </c>
      <c r="C3582" s="376" t="s">
        <v>1054</v>
      </c>
      <c r="D3582" s="376">
        <v>2029</v>
      </c>
      <c r="E3582" s="376">
        <v>2030</v>
      </c>
      <c r="F3582" s="376">
        <v>0.23884589662749595</v>
      </c>
      <c r="G3582" s="376">
        <v>10426.102375692073</v>
      </c>
      <c r="H3582" s="376">
        <v>0</v>
      </c>
      <c r="I3582" s="376">
        <v>1</v>
      </c>
    </row>
    <row r="3583" spans="1:9" x14ac:dyDescent="0.35">
      <c r="A3583" s="376" t="s">
        <v>1605</v>
      </c>
      <c r="B3583" s="376" t="s">
        <v>1609</v>
      </c>
      <c r="C3583" s="376" t="s">
        <v>1046</v>
      </c>
      <c r="D3583" s="376">
        <v>2029</v>
      </c>
      <c r="E3583" s="376">
        <v>2031</v>
      </c>
      <c r="F3583" s="376">
        <v>0.23884589662749595</v>
      </c>
      <c r="G3583" s="376">
        <v>10426.102375692073</v>
      </c>
      <c r="H3583" s="376">
        <v>0</v>
      </c>
      <c r="I3583" s="376">
        <v>1</v>
      </c>
    </row>
    <row r="3584" spans="1:9" x14ac:dyDescent="0.35">
      <c r="A3584" s="376" t="s">
        <v>1605</v>
      </c>
      <c r="B3584" s="376" t="s">
        <v>1609</v>
      </c>
      <c r="C3584" s="376" t="s">
        <v>644</v>
      </c>
      <c r="D3584" s="376">
        <v>2029</v>
      </c>
      <c r="E3584" s="376">
        <v>2031</v>
      </c>
      <c r="F3584" s="376">
        <v>0.23884589662749595</v>
      </c>
      <c r="G3584" s="376">
        <v>10426.102375692073</v>
      </c>
      <c r="H3584" s="376">
        <v>0</v>
      </c>
      <c r="I3584" s="376">
        <v>1</v>
      </c>
    </row>
    <row r="3585" spans="1:9" x14ac:dyDescent="0.35">
      <c r="A3585" s="376" t="s">
        <v>1605</v>
      </c>
      <c r="B3585" s="376" t="s">
        <v>1609</v>
      </c>
      <c r="C3585" s="376" t="s">
        <v>628</v>
      </c>
      <c r="D3585" s="376">
        <v>2029</v>
      </c>
      <c r="E3585" s="376">
        <v>2031</v>
      </c>
      <c r="F3585" s="376">
        <v>0.23884589662749595</v>
      </c>
      <c r="G3585" s="376">
        <v>10426.102375692073</v>
      </c>
      <c r="H3585" s="376">
        <v>0</v>
      </c>
      <c r="I3585" s="376">
        <v>1</v>
      </c>
    </row>
    <row r="3586" spans="1:9" x14ac:dyDescent="0.35">
      <c r="A3586" s="376" t="s">
        <v>1605</v>
      </c>
      <c r="B3586" s="376" t="s">
        <v>1609</v>
      </c>
      <c r="C3586" s="376" t="s">
        <v>1051</v>
      </c>
      <c r="D3586" s="376">
        <v>2029</v>
      </c>
      <c r="E3586" s="376">
        <v>2031</v>
      </c>
      <c r="F3586" s="376">
        <v>0.23884589662749595</v>
      </c>
      <c r="G3586" s="376">
        <v>10426.102375692073</v>
      </c>
      <c r="H3586" s="376">
        <v>0</v>
      </c>
      <c r="I3586" s="376">
        <v>1</v>
      </c>
    </row>
    <row r="3587" spans="1:9" x14ac:dyDescent="0.35">
      <c r="A3587" s="376" t="s">
        <v>1605</v>
      </c>
      <c r="B3587" s="376" t="s">
        <v>1609</v>
      </c>
      <c r="C3587" s="376" t="s">
        <v>1054</v>
      </c>
      <c r="D3587" s="376">
        <v>2029</v>
      </c>
      <c r="E3587" s="376">
        <v>2031</v>
      </c>
      <c r="F3587" s="376">
        <v>0.23884589662749595</v>
      </c>
      <c r="G3587" s="376">
        <v>10426.102375692073</v>
      </c>
      <c r="H3587" s="376">
        <v>0</v>
      </c>
      <c r="I3587" s="376">
        <v>1</v>
      </c>
    </row>
    <row r="3588" spans="1:9" x14ac:dyDescent="0.35">
      <c r="A3588" s="376" t="s">
        <v>1636</v>
      </c>
      <c r="B3588" s="376" t="s">
        <v>1609</v>
      </c>
      <c r="C3588" s="376" t="s">
        <v>1046</v>
      </c>
      <c r="D3588" s="376">
        <v>2029</v>
      </c>
      <c r="E3588" s="376">
        <v>2029</v>
      </c>
      <c r="F3588" s="376">
        <v>1</v>
      </c>
      <c r="G3588" s="376">
        <v>3247.4029942357824</v>
      </c>
      <c r="H3588" s="376">
        <v>0</v>
      </c>
      <c r="I3588" s="376">
        <v>1</v>
      </c>
    </row>
    <row r="3589" spans="1:9" x14ac:dyDescent="0.35">
      <c r="A3589" s="376" t="s">
        <v>1636</v>
      </c>
      <c r="B3589" s="376" t="s">
        <v>1609</v>
      </c>
      <c r="C3589" s="376" t="s">
        <v>644</v>
      </c>
      <c r="D3589" s="376">
        <v>2029</v>
      </c>
      <c r="E3589" s="376">
        <v>2029</v>
      </c>
      <c r="F3589" s="376">
        <v>1</v>
      </c>
      <c r="G3589" s="376">
        <v>3247.4029942357824</v>
      </c>
      <c r="H3589" s="376">
        <v>0</v>
      </c>
      <c r="I3589" s="376">
        <v>1</v>
      </c>
    </row>
    <row r="3590" spans="1:9" x14ac:dyDescent="0.35">
      <c r="A3590" s="376" t="s">
        <v>1636</v>
      </c>
      <c r="B3590" s="376" t="s">
        <v>1609</v>
      </c>
      <c r="C3590" s="376" t="s">
        <v>628</v>
      </c>
      <c r="D3590" s="376">
        <v>2029</v>
      </c>
      <c r="E3590" s="376">
        <v>2029</v>
      </c>
      <c r="F3590" s="376">
        <v>1</v>
      </c>
      <c r="G3590" s="376">
        <v>3247.4029942357824</v>
      </c>
      <c r="H3590" s="376">
        <v>0</v>
      </c>
      <c r="I3590" s="376">
        <v>1</v>
      </c>
    </row>
    <row r="3591" spans="1:9" x14ac:dyDescent="0.35">
      <c r="A3591" s="376" t="s">
        <v>1636</v>
      </c>
      <c r="B3591" s="376" t="s">
        <v>1609</v>
      </c>
      <c r="C3591" s="376" t="s">
        <v>1051</v>
      </c>
      <c r="D3591" s="376">
        <v>2029</v>
      </c>
      <c r="E3591" s="376">
        <v>2029</v>
      </c>
      <c r="F3591" s="376">
        <v>1</v>
      </c>
      <c r="G3591" s="376">
        <v>3247.4029942357824</v>
      </c>
      <c r="H3591" s="376">
        <v>0</v>
      </c>
      <c r="I3591" s="376">
        <v>1</v>
      </c>
    </row>
    <row r="3592" spans="1:9" x14ac:dyDescent="0.35">
      <c r="A3592" s="376" t="s">
        <v>1636</v>
      </c>
      <c r="B3592" s="376" t="s">
        <v>1609</v>
      </c>
      <c r="C3592" s="376" t="s">
        <v>1054</v>
      </c>
      <c r="D3592" s="376">
        <v>2029</v>
      </c>
      <c r="E3592" s="376">
        <v>2029</v>
      </c>
      <c r="F3592" s="376">
        <v>1</v>
      </c>
      <c r="G3592" s="376">
        <v>3247.4029942357824</v>
      </c>
      <c r="H3592" s="376">
        <v>0</v>
      </c>
      <c r="I3592" s="376">
        <v>1</v>
      </c>
    </row>
    <row r="3593" spans="1:9" x14ac:dyDescent="0.35">
      <c r="A3593" s="376" t="s">
        <v>1636</v>
      </c>
      <c r="B3593" s="376" t="s">
        <v>1609</v>
      </c>
      <c r="C3593" s="376" t="s">
        <v>1046</v>
      </c>
      <c r="D3593" s="376">
        <v>2029</v>
      </c>
      <c r="E3593" s="376">
        <v>2030</v>
      </c>
      <c r="F3593" s="376">
        <v>1</v>
      </c>
      <c r="G3593" s="376">
        <v>3247.4029942357824</v>
      </c>
      <c r="H3593" s="376">
        <v>0</v>
      </c>
      <c r="I3593" s="376">
        <v>1</v>
      </c>
    </row>
    <row r="3594" spans="1:9" x14ac:dyDescent="0.35">
      <c r="A3594" s="376" t="s">
        <v>1636</v>
      </c>
      <c r="B3594" s="376" t="s">
        <v>1609</v>
      </c>
      <c r="C3594" s="376" t="s">
        <v>644</v>
      </c>
      <c r="D3594" s="376">
        <v>2029</v>
      </c>
      <c r="E3594" s="376">
        <v>2030</v>
      </c>
      <c r="F3594" s="376">
        <v>1</v>
      </c>
      <c r="G3594" s="376">
        <v>3247.4029942357824</v>
      </c>
      <c r="H3594" s="376">
        <v>0</v>
      </c>
      <c r="I3594" s="376">
        <v>1</v>
      </c>
    </row>
    <row r="3595" spans="1:9" x14ac:dyDescent="0.35">
      <c r="A3595" s="376" t="s">
        <v>1636</v>
      </c>
      <c r="B3595" s="376" t="s">
        <v>1609</v>
      </c>
      <c r="C3595" s="376" t="s">
        <v>628</v>
      </c>
      <c r="D3595" s="376">
        <v>2029</v>
      </c>
      <c r="E3595" s="376">
        <v>2030</v>
      </c>
      <c r="F3595" s="376">
        <v>1</v>
      </c>
      <c r="G3595" s="376">
        <v>3247.4029942357824</v>
      </c>
      <c r="H3595" s="376">
        <v>0</v>
      </c>
      <c r="I3595" s="376">
        <v>1</v>
      </c>
    </row>
    <row r="3596" spans="1:9" x14ac:dyDescent="0.35">
      <c r="A3596" s="376" t="s">
        <v>1636</v>
      </c>
      <c r="B3596" s="376" t="s">
        <v>1609</v>
      </c>
      <c r="C3596" s="376" t="s">
        <v>1051</v>
      </c>
      <c r="D3596" s="376">
        <v>2029</v>
      </c>
      <c r="E3596" s="376">
        <v>2030</v>
      </c>
      <c r="F3596" s="376">
        <v>1</v>
      </c>
      <c r="G3596" s="376">
        <v>3247.4029942357824</v>
      </c>
      <c r="H3596" s="376">
        <v>0</v>
      </c>
      <c r="I3596" s="376">
        <v>1</v>
      </c>
    </row>
    <row r="3597" spans="1:9" x14ac:dyDescent="0.35">
      <c r="A3597" s="376" t="s">
        <v>1636</v>
      </c>
      <c r="B3597" s="376" t="s">
        <v>1609</v>
      </c>
      <c r="C3597" s="376" t="s">
        <v>1054</v>
      </c>
      <c r="D3597" s="376">
        <v>2029</v>
      </c>
      <c r="E3597" s="376">
        <v>2030</v>
      </c>
      <c r="F3597" s="376">
        <v>1</v>
      </c>
      <c r="G3597" s="376">
        <v>3247.4029942357824</v>
      </c>
      <c r="H3597" s="376">
        <v>0</v>
      </c>
      <c r="I3597" s="376">
        <v>1</v>
      </c>
    </row>
    <row r="3598" spans="1:9" x14ac:dyDescent="0.35">
      <c r="A3598" s="376" t="s">
        <v>1636</v>
      </c>
      <c r="B3598" s="376" t="s">
        <v>1609</v>
      </c>
      <c r="C3598" s="376" t="s">
        <v>1046</v>
      </c>
      <c r="D3598" s="376">
        <v>2029</v>
      </c>
      <c r="E3598" s="376">
        <v>2031</v>
      </c>
      <c r="F3598" s="376">
        <v>1</v>
      </c>
      <c r="G3598" s="376">
        <v>3247.4029942357824</v>
      </c>
      <c r="H3598" s="376">
        <v>0</v>
      </c>
      <c r="I3598" s="376">
        <v>1</v>
      </c>
    </row>
    <row r="3599" spans="1:9" x14ac:dyDescent="0.35">
      <c r="A3599" s="376" t="s">
        <v>1636</v>
      </c>
      <c r="B3599" s="376" t="s">
        <v>1609</v>
      </c>
      <c r="C3599" s="376" t="s">
        <v>644</v>
      </c>
      <c r="D3599" s="376">
        <v>2029</v>
      </c>
      <c r="E3599" s="376">
        <v>2031</v>
      </c>
      <c r="F3599" s="376">
        <v>1</v>
      </c>
      <c r="G3599" s="376">
        <v>3247.4029942357824</v>
      </c>
      <c r="H3599" s="376">
        <v>0</v>
      </c>
      <c r="I3599" s="376">
        <v>1</v>
      </c>
    </row>
    <row r="3600" spans="1:9" x14ac:dyDescent="0.35">
      <c r="A3600" s="376" t="s">
        <v>1636</v>
      </c>
      <c r="B3600" s="376" t="s">
        <v>1609</v>
      </c>
      <c r="C3600" s="376" t="s">
        <v>628</v>
      </c>
      <c r="D3600" s="376">
        <v>2029</v>
      </c>
      <c r="E3600" s="376">
        <v>2031</v>
      </c>
      <c r="F3600" s="376">
        <v>1</v>
      </c>
      <c r="G3600" s="376">
        <v>3247.4029942357824</v>
      </c>
      <c r="H3600" s="376">
        <v>0</v>
      </c>
      <c r="I3600" s="376">
        <v>1</v>
      </c>
    </row>
    <row r="3601" spans="1:9" x14ac:dyDescent="0.35">
      <c r="A3601" s="376" t="s">
        <v>1636</v>
      </c>
      <c r="B3601" s="376" t="s">
        <v>1609</v>
      </c>
      <c r="C3601" s="376" t="s">
        <v>1051</v>
      </c>
      <c r="D3601" s="376">
        <v>2029</v>
      </c>
      <c r="E3601" s="376">
        <v>2031</v>
      </c>
      <c r="F3601" s="376">
        <v>1</v>
      </c>
      <c r="G3601" s="376">
        <v>3247.4029942357824</v>
      </c>
      <c r="H3601" s="376">
        <v>0</v>
      </c>
      <c r="I3601" s="376">
        <v>1</v>
      </c>
    </row>
    <row r="3602" spans="1:9" x14ac:dyDescent="0.35">
      <c r="A3602" s="376" t="s">
        <v>1636</v>
      </c>
      <c r="B3602" s="376" t="s">
        <v>1609</v>
      </c>
      <c r="C3602" s="376" t="s">
        <v>1054</v>
      </c>
      <c r="D3602" s="376">
        <v>2029</v>
      </c>
      <c r="E3602" s="376">
        <v>2031</v>
      </c>
      <c r="F3602" s="376">
        <v>1</v>
      </c>
      <c r="G3602" s="376">
        <v>3247.4029942357824</v>
      </c>
      <c r="H3602" s="376">
        <v>0</v>
      </c>
      <c r="I3602" s="376">
        <v>1</v>
      </c>
    </row>
    <row r="3603" spans="1:9" x14ac:dyDescent="0.35">
      <c r="A3603" s="376" t="s">
        <v>1606</v>
      </c>
      <c r="B3603" s="376" t="s">
        <v>1609</v>
      </c>
      <c r="C3603" s="376" t="s">
        <v>1046</v>
      </c>
      <c r="D3603" s="376">
        <v>2029</v>
      </c>
      <c r="E3603" s="376">
        <v>2029</v>
      </c>
      <c r="F3603" s="376">
        <v>1</v>
      </c>
      <c r="G3603" s="376">
        <v>5699.6268521940774</v>
      </c>
      <c r="H3603" s="376">
        <v>0</v>
      </c>
      <c r="I3603" s="376">
        <v>1</v>
      </c>
    </row>
    <row r="3604" spans="1:9" x14ac:dyDescent="0.35">
      <c r="A3604" s="376" t="s">
        <v>1606</v>
      </c>
      <c r="B3604" s="376" t="s">
        <v>1609</v>
      </c>
      <c r="C3604" s="376" t="s">
        <v>644</v>
      </c>
      <c r="D3604" s="376">
        <v>2029</v>
      </c>
      <c r="E3604" s="376">
        <v>2029</v>
      </c>
      <c r="F3604" s="376">
        <v>1</v>
      </c>
      <c r="G3604" s="376">
        <v>5699.6268521940774</v>
      </c>
      <c r="H3604" s="376">
        <v>0</v>
      </c>
      <c r="I3604" s="376">
        <v>1</v>
      </c>
    </row>
    <row r="3605" spans="1:9" x14ac:dyDescent="0.35">
      <c r="A3605" s="376" t="s">
        <v>1606</v>
      </c>
      <c r="B3605" s="376" t="s">
        <v>1609</v>
      </c>
      <c r="C3605" s="376" t="s">
        <v>628</v>
      </c>
      <c r="D3605" s="376">
        <v>2029</v>
      </c>
      <c r="E3605" s="376">
        <v>2029</v>
      </c>
      <c r="F3605" s="376">
        <v>1</v>
      </c>
      <c r="G3605" s="376">
        <v>5699.6268521940774</v>
      </c>
      <c r="H3605" s="376">
        <v>0</v>
      </c>
      <c r="I3605" s="376">
        <v>1</v>
      </c>
    </row>
    <row r="3606" spans="1:9" x14ac:dyDescent="0.35">
      <c r="A3606" s="376" t="s">
        <v>1606</v>
      </c>
      <c r="B3606" s="376" t="s">
        <v>1609</v>
      </c>
      <c r="C3606" s="376" t="s">
        <v>1051</v>
      </c>
      <c r="D3606" s="376">
        <v>2029</v>
      </c>
      <c r="E3606" s="376">
        <v>2029</v>
      </c>
      <c r="F3606" s="376">
        <v>1</v>
      </c>
      <c r="G3606" s="376">
        <v>5699.6268521940774</v>
      </c>
      <c r="H3606" s="376">
        <v>0</v>
      </c>
      <c r="I3606" s="376">
        <v>1</v>
      </c>
    </row>
    <row r="3607" spans="1:9" x14ac:dyDescent="0.35">
      <c r="A3607" s="376" t="s">
        <v>1606</v>
      </c>
      <c r="B3607" s="376" t="s">
        <v>1609</v>
      </c>
      <c r="C3607" s="376" t="s">
        <v>1054</v>
      </c>
      <c r="D3607" s="376">
        <v>2029</v>
      </c>
      <c r="E3607" s="376">
        <v>2029</v>
      </c>
      <c r="F3607" s="376">
        <v>1</v>
      </c>
      <c r="G3607" s="376">
        <v>5699.6268521940774</v>
      </c>
      <c r="H3607" s="376">
        <v>0</v>
      </c>
      <c r="I3607" s="376">
        <v>1</v>
      </c>
    </row>
    <row r="3608" spans="1:9" x14ac:dyDescent="0.35">
      <c r="A3608" s="376" t="s">
        <v>1606</v>
      </c>
      <c r="B3608" s="376" t="s">
        <v>1609</v>
      </c>
      <c r="C3608" s="376" t="s">
        <v>1046</v>
      </c>
      <c r="D3608" s="376">
        <v>2029</v>
      </c>
      <c r="E3608" s="376">
        <v>2030</v>
      </c>
      <c r="F3608" s="376">
        <v>1</v>
      </c>
      <c r="G3608" s="376">
        <v>5699.6268521940774</v>
      </c>
      <c r="H3608" s="376">
        <v>0</v>
      </c>
      <c r="I3608" s="376">
        <v>1</v>
      </c>
    </row>
    <row r="3609" spans="1:9" x14ac:dyDescent="0.35">
      <c r="A3609" s="376" t="s">
        <v>1606</v>
      </c>
      <c r="B3609" s="376" t="s">
        <v>1609</v>
      </c>
      <c r="C3609" s="376" t="s">
        <v>644</v>
      </c>
      <c r="D3609" s="376">
        <v>2029</v>
      </c>
      <c r="E3609" s="376">
        <v>2030</v>
      </c>
      <c r="F3609" s="376">
        <v>1</v>
      </c>
      <c r="G3609" s="376">
        <v>5699.6268521940774</v>
      </c>
      <c r="H3609" s="376">
        <v>0</v>
      </c>
      <c r="I3609" s="376">
        <v>1</v>
      </c>
    </row>
    <row r="3610" spans="1:9" x14ac:dyDescent="0.35">
      <c r="A3610" s="376" t="s">
        <v>1606</v>
      </c>
      <c r="B3610" s="376" t="s">
        <v>1609</v>
      </c>
      <c r="C3610" s="376" t="s">
        <v>628</v>
      </c>
      <c r="D3610" s="376">
        <v>2029</v>
      </c>
      <c r="E3610" s="376">
        <v>2030</v>
      </c>
      <c r="F3610" s="376">
        <v>1</v>
      </c>
      <c r="G3610" s="376">
        <v>5699.6268521940774</v>
      </c>
      <c r="H3610" s="376">
        <v>0</v>
      </c>
      <c r="I3610" s="376">
        <v>1</v>
      </c>
    </row>
    <row r="3611" spans="1:9" x14ac:dyDescent="0.35">
      <c r="A3611" s="376" t="s">
        <v>1606</v>
      </c>
      <c r="B3611" s="376" t="s">
        <v>1609</v>
      </c>
      <c r="C3611" s="376" t="s">
        <v>1051</v>
      </c>
      <c r="D3611" s="376">
        <v>2029</v>
      </c>
      <c r="E3611" s="376">
        <v>2030</v>
      </c>
      <c r="F3611" s="376">
        <v>1</v>
      </c>
      <c r="G3611" s="376">
        <v>5699.6268521940774</v>
      </c>
      <c r="H3611" s="376">
        <v>0</v>
      </c>
      <c r="I3611" s="376">
        <v>1</v>
      </c>
    </row>
    <row r="3612" spans="1:9" x14ac:dyDescent="0.35">
      <c r="A3612" s="376" t="s">
        <v>1606</v>
      </c>
      <c r="B3612" s="376" t="s">
        <v>1609</v>
      </c>
      <c r="C3612" s="376" t="s">
        <v>1054</v>
      </c>
      <c r="D3612" s="376">
        <v>2029</v>
      </c>
      <c r="E3612" s="376">
        <v>2030</v>
      </c>
      <c r="F3612" s="376">
        <v>1</v>
      </c>
      <c r="G3612" s="376">
        <v>5699.6268521940774</v>
      </c>
      <c r="H3612" s="376">
        <v>0</v>
      </c>
      <c r="I3612" s="376">
        <v>1</v>
      </c>
    </row>
    <row r="3613" spans="1:9" x14ac:dyDescent="0.35">
      <c r="A3613" s="376" t="s">
        <v>1606</v>
      </c>
      <c r="B3613" s="376" t="s">
        <v>1609</v>
      </c>
      <c r="C3613" s="376" t="s">
        <v>1046</v>
      </c>
      <c r="D3613" s="376">
        <v>2029</v>
      </c>
      <c r="E3613" s="376">
        <v>2031</v>
      </c>
      <c r="F3613" s="376">
        <v>1</v>
      </c>
      <c r="G3613" s="376">
        <v>5699.6268521940774</v>
      </c>
      <c r="H3613" s="376">
        <v>0</v>
      </c>
      <c r="I3613" s="376">
        <v>1</v>
      </c>
    </row>
    <row r="3614" spans="1:9" x14ac:dyDescent="0.35">
      <c r="A3614" s="376" t="s">
        <v>1606</v>
      </c>
      <c r="B3614" s="376" t="s">
        <v>1609</v>
      </c>
      <c r="C3614" s="376" t="s">
        <v>644</v>
      </c>
      <c r="D3614" s="376">
        <v>2029</v>
      </c>
      <c r="E3614" s="376">
        <v>2031</v>
      </c>
      <c r="F3614" s="376">
        <v>1</v>
      </c>
      <c r="G3614" s="376">
        <v>5699.6268521940774</v>
      </c>
      <c r="H3614" s="376">
        <v>0</v>
      </c>
      <c r="I3614" s="376">
        <v>1</v>
      </c>
    </row>
    <row r="3615" spans="1:9" x14ac:dyDescent="0.35">
      <c r="A3615" s="376" t="s">
        <v>1606</v>
      </c>
      <c r="B3615" s="376" t="s">
        <v>1609</v>
      </c>
      <c r="C3615" s="376" t="s">
        <v>628</v>
      </c>
      <c r="D3615" s="376">
        <v>2029</v>
      </c>
      <c r="E3615" s="376">
        <v>2031</v>
      </c>
      <c r="F3615" s="376">
        <v>1</v>
      </c>
      <c r="G3615" s="376">
        <v>5699.6268521940774</v>
      </c>
      <c r="H3615" s="376">
        <v>0</v>
      </c>
      <c r="I3615" s="376">
        <v>1</v>
      </c>
    </row>
    <row r="3616" spans="1:9" x14ac:dyDescent="0.35">
      <c r="A3616" s="376" t="s">
        <v>1606</v>
      </c>
      <c r="B3616" s="376" t="s">
        <v>1609</v>
      </c>
      <c r="C3616" s="376" t="s">
        <v>1051</v>
      </c>
      <c r="D3616" s="376">
        <v>2029</v>
      </c>
      <c r="E3616" s="376">
        <v>2031</v>
      </c>
      <c r="F3616" s="376">
        <v>1</v>
      </c>
      <c r="G3616" s="376">
        <v>5699.6268521940774</v>
      </c>
      <c r="H3616" s="376">
        <v>0</v>
      </c>
      <c r="I3616" s="376">
        <v>1</v>
      </c>
    </row>
    <row r="3617" spans="1:9" x14ac:dyDescent="0.35">
      <c r="A3617" s="376" t="s">
        <v>1606</v>
      </c>
      <c r="B3617" s="376" t="s">
        <v>1609</v>
      </c>
      <c r="C3617" s="376" t="s">
        <v>1054</v>
      </c>
      <c r="D3617" s="376">
        <v>2029</v>
      </c>
      <c r="E3617" s="376">
        <v>2031</v>
      </c>
      <c r="F3617" s="376">
        <v>1</v>
      </c>
      <c r="G3617" s="376">
        <v>5699.6268521940774</v>
      </c>
      <c r="H3617" s="376">
        <v>0</v>
      </c>
      <c r="I3617" s="376">
        <v>1</v>
      </c>
    </row>
    <row r="3618" spans="1:9" x14ac:dyDescent="0.35">
      <c r="A3618" s="376" t="s">
        <v>1612</v>
      </c>
      <c r="B3618" s="376" t="s">
        <v>1609</v>
      </c>
      <c r="C3618" s="376" t="s">
        <v>1046</v>
      </c>
      <c r="D3618" s="376">
        <v>2030</v>
      </c>
      <c r="E3618" s="376">
        <v>2030</v>
      </c>
      <c r="F3618" s="376">
        <v>0.37384575124303709</v>
      </c>
      <c r="G3618" s="376">
        <v>9928.6887826901675</v>
      </c>
      <c r="H3618" s="376">
        <v>0.29487517685500947</v>
      </c>
      <c r="I3618" s="376">
        <v>0.85</v>
      </c>
    </row>
    <row r="3619" spans="1:9" x14ac:dyDescent="0.35">
      <c r="A3619" s="376" t="s">
        <v>1612</v>
      </c>
      <c r="B3619" s="376" t="s">
        <v>1609</v>
      </c>
      <c r="C3619" s="376" t="s">
        <v>644</v>
      </c>
      <c r="D3619" s="376">
        <v>2030</v>
      </c>
      <c r="E3619" s="376">
        <v>2030</v>
      </c>
      <c r="F3619" s="376">
        <v>0.37384575124303709</v>
      </c>
      <c r="G3619" s="376">
        <v>9928.6887826901675</v>
      </c>
      <c r="H3619" s="376">
        <v>0.29487517685500947</v>
      </c>
      <c r="I3619" s="376">
        <v>0.85</v>
      </c>
    </row>
    <row r="3620" spans="1:9" x14ac:dyDescent="0.35">
      <c r="A3620" s="376" t="s">
        <v>1612</v>
      </c>
      <c r="B3620" s="376" t="s">
        <v>1609</v>
      </c>
      <c r="C3620" s="376" t="s">
        <v>628</v>
      </c>
      <c r="D3620" s="376">
        <v>2030</v>
      </c>
      <c r="E3620" s="376">
        <v>2030</v>
      </c>
      <c r="F3620" s="376">
        <v>0.37384575124303709</v>
      </c>
      <c r="G3620" s="376">
        <v>9928.6887826901675</v>
      </c>
      <c r="H3620" s="376">
        <v>0.29487517685500947</v>
      </c>
      <c r="I3620" s="376">
        <v>0.85</v>
      </c>
    </row>
    <row r="3621" spans="1:9" x14ac:dyDescent="0.35">
      <c r="A3621" s="376" t="s">
        <v>1612</v>
      </c>
      <c r="B3621" s="376" t="s">
        <v>1609</v>
      </c>
      <c r="C3621" s="376" t="s">
        <v>1051</v>
      </c>
      <c r="D3621" s="376">
        <v>2030</v>
      </c>
      <c r="E3621" s="376">
        <v>2030</v>
      </c>
      <c r="F3621" s="376">
        <v>0.37384575124303709</v>
      </c>
      <c r="G3621" s="376">
        <v>9928.6887826901675</v>
      </c>
      <c r="H3621" s="376">
        <v>0.29487517685500947</v>
      </c>
      <c r="I3621" s="376">
        <v>0.85</v>
      </c>
    </row>
    <row r="3622" spans="1:9" x14ac:dyDescent="0.35">
      <c r="A3622" s="376" t="s">
        <v>1612</v>
      </c>
      <c r="B3622" s="376" t="s">
        <v>1609</v>
      </c>
      <c r="C3622" s="376" t="s">
        <v>1054</v>
      </c>
      <c r="D3622" s="376">
        <v>2030</v>
      </c>
      <c r="E3622" s="376">
        <v>2030</v>
      </c>
      <c r="F3622" s="376">
        <v>0.37384575124303709</v>
      </c>
      <c r="G3622" s="376">
        <v>9928.6887826901675</v>
      </c>
      <c r="H3622" s="376">
        <v>0.29487517685500947</v>
      </c>
      <c r="I3622" s="376">
        <v>0.85</v>
      </c>
    </row>
    <row r="3623" spans="1:9" x14ac:dyDescent="0.35">
      <c r="A3623" s="376" t="s">
        <v>1612</v>
      </c>
      <c r="B3623" s="376" t="s">
        <v>1609</v>
      </c>
      <c r="C3623" s="376" t="s">
        <v>1046</v>
      </c>
      <c r="D3623" s="376">
        <v>2030</v>
      </c>
      <c r="E3623" s="376">
        <v>2031</v>
      </c>
      <c r="F3623" s="376">
        <v>0.37384575124303709</v>
      </c>
      <c r="G3623" s="376">
        <v>9928.6887826901675</v>
      </c>
      <c r="H3623" s="376">
        <v>0.29487517685500947</v>
      </c>
      <c r="I3623" s="376">
        <v>0.85</v>
      </c>
    </row>
    <row r="3624" spans="1:9" x14ac:dyDescent="0.35">
      <c r="A3624" s="376" t="s">
        <v>1612</v>
      </c>
      <c r="B3624" s="376" t="s">
        <v>1609</v>
      </c>
      <c r="C3624" s="376" t="s">
        <v>644</v>
      </c>
      <c r="D3624" s="376">
        <v>2030</v>
      </c>
      <c r="E3624" s="376">
        <v>2031</v>
      </c>
      <c r="F3624" s="376">
        <v>0.37384575124303709</v>
      </c>
      <c r="G3624" s="376">
        <v>9928.6887826901675</v>
      </c>
      <c r="H3624" s="376">
        <v>0.29487517685500947</v>
      </c>
      <c r="I3624" s="376">
        <v>0.85</v>
      </c>
    </row>
    <row r="3625" spans="1:9" x14ac:dyDescent="0.35">
      <c r="A3625" s="376" t="s">
        <v>1612</v>
      </c>
      <c r="B3625" s="376" t="s">
        <v>1609</v>
      </c>
      <c r="C3625" s="376" t="s">
        <v>628</v>
      </c>
      <c r="D3625" s="376">
        <v>2030</v>
      </c>
      <c r="E3625" s="376">
        <v>2031</v>
      </c>
      <c r="F3625" s="376">
        <v>0.37384575124303709</v>
      </c>
      <c r="G3625" s="376">
        <v>9928.6887826901675</v>
      </c>
      <c r="H3625" s="376">
        <v>0.29487517685500947</v>
      </c>
      <c r="I3625" s="376">
        <v>0.85</v>
      </c>
    </row>
    <row r="3626" spans="1:9" x14ac:dyDescent="0.35">
      <c r="A3626" s="376" t="s">
        <v>1612</v>
      </c>
      <c r="B3626" s="376" t="s">
        <v>1609</v>
      </c>
      <c r="C3626" s="376" t="s">
        <v>1051</v>
      </c>
      <c r="D3626" s="376">
        <v>2030</v>
      </c>
      <c r="E3626" s="376">
        <v>2031</v>
      </c>
      <c r="F3626" s="376">
        <v>0.37384575124303709</v>
      </c>
      <c r="G3626" s="376">
        <v>9928.6887826901675</v>
      </c>
      <c r="H3626" s="376">
        <v>0.29487517685500947</v>
      </c>
      <c r="I3626" s="376">
        <v>0.85</v>
      </c>
    </row>
    <row r="3627" spans="1:9" x14ac:dyDescent="0.35">
      <c r="A3627" s="376" t="s">
        <v>1612</v>
      </c>
      <c r="B3627" s="376" t="s">
        <v>1609</v>
      </c>
      <c r="C3627" s="376" t="s">
        <v>1054</v>
      </c>
      <c r="D3627" s="376">
        <v>2030</v>
      </c>
      <c r="E3627" s="376">
        <v>2031</v>
      </c>
      <c r="F3627" s="376">
        <v>0.37384575124303709</v>
      </c>
      <c r="G3627" s="376">
        <v>9928.6887826901675</v>
      </c>
      <c r="H3627" s="376">
        <v>0.29487517685500947</v>
      </c>
      <c r="I3627" s="376">
        <v>0.85</v>
      </c>
    </row>
    <row r="3628" spans="1:9" x14ac:dyDescent="0.35">
      <c r="A3628" s="376" t="s">
        <v>1613</v>
      </c>
      <c r="B3628" s="376" t="s">
        <v>1609</v>
      </c>
      <c r="C3628" s="376" t="s">
        <v>1046</v>
      </c>
      <c r="D3628" s="376">
        <v>2030</v>
      </c>
      <c r="E3628" s="376">
        <v>2030</v>
      </c>
      <c r="F3628" s="376">
        <v>0.40444272241720852</v>
      </c>
      <c r="G3628" s="376">
        <v>8848.5269568257354</v>
      </c>
      <c r="H3628" s="376">
        <v>0.28157136688417045</v>
      </c>
      <c r="I3628" s="376">
        <v>0.85</v>
      </c>
    </row>
    <row r="3629" spans="1:9" x14ac:dyDescent="0.35">
      <c r="A3629" s="376" t="s">
        <v>1613</v>
      </c>
      <c r="B3629" s="376" t="s">
        <v>1609</v>
      </c>
      <c r="C3629" s="376" t="s">
        <v>644</v>
      </c>
      <c r="D3629" s="376">
        <v>2030</v>
      </c>
      <c r="E3629" s="376">
        <v>2030</v>
      </c>
      <c r="F3629" s="376">
        <v>0.40444272241720852</v>
      </c>
      <c r="G3629" s="376">
        <v>8848.5269568257354</v>
      </c>
      <c r="H3629" s="376">
        <v>0.28157136688417045</v>
      </c>
      <c r="I3629" s="376">
        <v>0.85</v>
      </c>
    </row>
    <row r="3630" spans="1:9" x14ac:dyDescent="0.35">
      <c r="A3630" s="376" t="s">
        <v>1613</v>
      </c>
      <c r="B3630" s="376" t="s">
        <v>1609</v>
      </c>
      <c r="C3630" s="376" t="s">
        <v>628</v>
      </c>
      <c r="D3630" s="376">
        <v>2030</v>
      </c>
      <c r="E3630" s="376">
        <v>2030</v>
      </c>
      <c r="F3630" s="376">
        <v>0.40444272241720852</v>
      </c>
      <c r="G3630" s="376">
        <v>8848.5269568257354</v>
      </c>
      <c r="H3630" s="376">
        <v>0.28157136688417045</v>
      </c>
      <c r="I3630" s="376">
        <v>0.85</v>
      </c>
    </row>
    <row r="3631" spans="1:9" x14ac:dyDescent="0.35">
      <c r="A3631" s="376" t="s">
        <v>1613</v>
      </c>
      <c r="B3631" s="376" t="s">
        <v>1609</v>
      </c>
      <c r="C3631" s="376" t="s">
        <v>1051</v>
      </c>
      <c r="D3631" s="376">
        <v>2030</v>
      </c>
      <c r="E3631" s="376">
        <v>2030</v>
      </c>
      <c r="F3631" s="376">
        <v>0.40444272241720852</v>
      </c>
      <c r="G3631" s="376">
        <v>8848.5269568257354</v>
      </c>
      <c r="H3631" s="376">
        <v>0.28157136688417045</v>
      </c>
      <c r="I3631" s="376">
        <v>0.85</v>
      </c>
    </row>
    <row r="3632" spans="1:9" x14ac:dyDescent="0.35">
      <c r="A3632" s="376" t="s">
        <v>1613</v>
      </c>
      <c r="B3632" s="376" t="s">
        <v>1609</v>
      </c>
      <c r="C3632" s="376" t="s">
        <v>1054</v>
      </c>
      <c r="D3632" s="376">
        <v>2030</v>
      </c>
      <c r="E3632" s="376">
        <v>2030</v>
      </c>
      <c r="F3632" s="376">
        <v>0.40444272241720852</v>
      </c>
      <c r="G3632" s="376">
        <v>8848.5269568257354</v>
      </c>
      <c r="H3632" s="376">
        <v>0.28157136688417045</v>
      </c>
      <c r="I3632" s="376">
        <v>0.85</v>
      </c>
    </row>
    <row r="3633" spans="1:9" x14ac:dyDescent="0.35">
      <c r="A3633" s="376" t="s">
        <v>1613</v>
      </c>
      <c r="B3633" s="376" t="s">
        <v>1609</v>
      </c>
      <c r="C3633" s="376" t="s">
        <v>1046</v>
      </c>
      <c r="D3633" s="376">
        <v>2030</v>
      </c>
      <c r="E3633" s="376">
        <v>2031</v>
      </c>
      <c r="F3633" s="376">
        <v>0.40444272241720852</v>
      </c>
      <c r="G3633" s="376">
        <v>8848.5269568257354</v>
      </c>
      <c r="H3633" s="376">
        <v>0.28157136688417045</v>
      </c>
      <c r="I3633" s="376">
        <v>0.85</v>
      </c>
    </row>
    <row r="3634" spans="1:9" x14ac:dyDescent="0.35">
      <c r="A3634" s="376" t="s">
        <v>1613</v>
      </c>
      <c r="B3634" s="376" t="s">
        <v>1609</v>
      </c>
      <c r="C3634" s="376" t="s">
        <v>644</v>
      </c>
      <c r="D3634" s="376">
        <v>2030</v>
      </c>
      <c r="E3634" s="376">
        <v>2031</v>
      </c>
      <c r="F3634" s="376">
        <v>0.40444272241720852</v>
      </c>
      <c r="G3634" s="376">
        <v>8848.5269568257354</v>
      </c>
      <c r="H3634" s="376">
        <v>0.28157136688417045</v>
      </c>
      <c r="I3634" s="376">
        <v>0.85</v>
      </c>
    </row>
    <row r="3635" spans="1:9" x14ac:dyDescent="0.35">
      <c r="A3635" s="376" t="s">
        <v>1613</v>
      </c>
      <c r="B3635" s="376" t="s">
        <v>1609</v>
      </c>
      <c r="C3635" s="376" t="s">
        <v>628</v>
      </c>
      <c r="D3635" s="376">
        <v>2030</v>
      </c>
      <c r="E3635" s="376">
        <v>2031</v>
      </c>
      <c r="F3635" s="376">
        <v>0.40444272241720852</v>
      </c>
      <c r="G3635" s="376">
        <v>8848.5269568257354</v>
      </c>
      <c r="H3635" s="376">
        <v>0.28157136688417045</v>
      </c>
      <c r="I3635" s="376">
        <v>0.85</v>
      </c>
    </row>
    <row r="3636" spans="1:9" x14ac:dyDescent="0.35">
      <c r="A3636" s="376" t="s">
        <v>1613</v>
      </c>
      <c r="B3636" s="376" t="s">
        <v>1609</v>
      </c>
      <c r="C3636" s="376" t="s">
        <v>1051</v>
      </c>
      <c r="D3636" s="376">
        <v>2030</v>
      </c>
      <c r="E3636" s="376">
        <v>2031</v>
      </c>
      <c r="F3636" s="376">
        <v>0.40444272241720852</v>
      </c>
      <c r="G3636" s="376">
        <v>8848.5269568257354</v>
      </c>
      <c r="H3636" s="376">
        <v>0.28157136688417045</v>
      </c>
      <c r="I3636" s="376">
        <v>0.85</v>
      </c>
    </row>
    <row r="3637" spans="1:9" x14ac:dyDescent="0.35">
      <c r="A3637" s="376" t="s">
        <v>1613</v>
      </c>
      <c r="B3637" s="376" t="s">
        <v>1609</v>
      </c>
      <c r="C3637" s="376" t="s">
        <v>1054</v>
      </c>
      <c r="D3637" s="376">
        <v>2030</v>
      </c>
      <c r="E3637" s="376">
        <v>2031</v>
      </c>
      <c r="F3637" s="376">
        <v>0.40444272241720852</v>
      </c>
      <c r="G3637" s="376">
        <v>8848.5269568257354</v>
      </c>
      <c r="H3637" s="376">
        <v>0.28157136688417045</v>
      </c>
      <c r="I3637" s="376">
        <v>0.85</v>
      </c>
    </row>
    <row r="3638" spans="1:9" x14ac:dyDescent="0.35">
      <c r="A3638" s="376" t="s">
        <v>1614</v>
      </c>
      <c r="B3638" s="376" t="s">
        <v>1609</v>
      </c>
      <c r="C3638" s="376" t="s">
        <v>1046</v>
      </c>
      <c r="D3638" s="376">
        <v>2030</v>
      </c>
      <c r="E3638" s="376">
        <v>2030</v>
      </c>
      <c r="F3638" s="376">
        <v>0.28070162831646173</v>
      </c>
      <c r="G3638" s="376">
        <v>6454.3984013550207</v>
      </c>
      <c r="H3638" s="376">
        <v>0.28157136688417045</v>
      </c>
      <c r="I3638" s="376">
        <v>0.85</v>
      </c>
    </row>
    <row r="3639" spans="1:9" x14ac:dyDescent="0.35">
      <c r="A3639" s="376" t="s">
        <v>1614</v>
      </c>
      <c r="B3639" s="376" t="s">
        <v>1609</v>
      </c>
      <c r="C3639" s="376" t="s">
        <v>644</v>
      </c>
      <c r="D3639" s="376">
        <v>2030</v>
      </c>
      <c r="E3639" s="376">
        <v>2030</v>
      </c>
      <c r="F3639" s="376">
        <v>0.28070162831646173</v>
      </c>
      <c r="G3639" s="376">
        <v>6454.3984013550207</v>
      </c>
      <c r="H3639" s="376">
        <v>0.28157136688417045</v>
      </c>
      <c r="I3639" s="376">
        <v>0.85</v>
      </c>
    </row>
    <row r="3640" spans="1:9" x14ac:dyDescent="0.35">
      <c r="A3640" s="376" t="s">
        <v>1614</v>
      </c>
      <c r="B3640" s="376" t="s">
        <v>1609</v>
      </c>
      <c r="C3640" s="376" t="s">
        <v>628</v>
      </c>
      <c r="D3640" s="376">
        <v>2030</v>
      </c>
      <c r="E3640" s="376">
        <v>2030</v>
      </c>
      <c r="F3640" s="376">
        <v>0.28070162831646173</v>
      </c>
      <c r="G3640" s="376">
        <v>6454.3984013550207</v>
      </c>
      <c r="H3640" s="376">
        <v>0.28157136688417045</v>
      </c>
      <c r="I3640" s="376">
        <v>0.85</v>
      </c>
    </row>
    <row r="3641" spans="1:9" x14ac:dyDescent="0.35">
      <c r="A3641" s="376" t="s">
        <v>1614</v>
      </c>
      <c r="B3641" s="376" t="s">
        <v>1609</v>
      </c>
      <c r="C3641" s="376" t="s">
        <v>1051</v>
      </c>
      <c r="D3641" s="376">
        <v>2030</v>
      </c>
      <c r="E3641" s="376">
        <v>2030</v>
      </c>
      <c r="F3641" s="376">
        <v>0.28070162831646173</v>
      </c>
      <c r="G3641" s="376">
        <v>6454.3984013550207</v>
      </c>
      <c r="H3641" s="376">
        <v>0.28157136688417045</v>
      </c>
      <c r="I3641" s="376">
        <v>0.85</v>
      </c>
    </row>
    <row r="3642" spans="1:9" x14ac:dyDescent="0.35">
      <c r="A3642" s="376" t="s">
        <v>1614</v>
      </c>
      <c r="B3642" s="376" t="s">
        <v>1609</v>
      </c>
      <c r="C3642" s="376" t="s">
        <v>1054</v>
      </c>
      <c r="D3642" s="376">
        <v>2030</v>
      </c>
      <c r="E3642" s="376">
        <v>2030</v>
      </c>
      <c r="F3642" s="376">
        <v>0.28070162831646173</v>
      </c>
      <c r="G3642" s="376">
        <v>6454.3984013550207</v>
      </c>
      <c r="H3642" s="376">
        <v>0.28157136688417045</v>
      </c>
      <c r="I3642" s="376">
        <v>0.85</v>
      </c>
    </row>
    <row r="3643" spans="1:9" x14ac:dyDescent="0.35">
      <c r="A3643" s="376" t="s">
        <v>1614</v>
      </c>
      <c r="B3643" s="376" t="s">
        <v>1609</v>
      </c>
      <c r="C3643" s="376" t="s">
        <v>1046</v>
      </c>
      <c r="D3643" s="376">
        <v>2030</v>
      </c>
      <c r="E3643" s="376">
        <v>2031</v>
      </c>
      <c r="F3643" s="376">
        <v>0.28070162831646173</v>
      </c>
      <c r="G3643" s="376">
        <v>6454.3984013550207</v>
      </c>
      <c r="H3643" s="376">
        <v>0.28157136688417045</v>
      </c>
      <c r="I3643" s="376">
        <v>0.85</v>
      </c>
    </row>
    <row r="3644" spans="1:9" x14ac:dyDescent="0.35">
      <c r="A3644" s="376" t="s">
        <v>1614</v>
      </c>
      <c r="B3644" s="376" t="s">
        <v>1609</v>
      </c>
      <c r="C3644" s="376" t="s">
        <v>644</v>
      </c>
      <c r="D3644" s="376">
        <v>2030</v>
      </c>
      <c r="E3644" s="376">
        <v>2031</v>
      </c>
      <c r="F3644" s="376">
        <v>0.28070162831646173</v>
      </c>
      <c r="G3644" s="376">
        <v>6454.3984013550207</v>
      </c>
      <c r="H3644" s="376">
        <v>0.28157136688417045</v>
      </c>
      <c r="I3644" s="376">
        <v>0.85</v>
      </c>
    </row>
    <row r="3645" spans="1:9" x14ac:dyDescent="0.35">
      <c r="A3645" s="376" t="s">
        <v>1614</v>
      </c>
      <c r="B3645" s="376" t="s">
        <v>1609</v>
      </c>
      <c r="C3645" s="376" t="s">
        <v>628</v>
      </c>
      <c r="D3645" s="376">
        <v>2030</v>
      </c>
      <c r="E3645" s="376">
        <v>2031</v>
      </c>
      <c r="F3645" s="376">
        <v>0.28070162831646173</v>
      </c>
      <c r="G3645" s="376">
        <v>6454.3984013550207</v>
      </c>
      <c r="H3645" s="376">
        <v>0.28157136688417045</v>
      </c>
      <c r="I3645" s="376">
        <v>0.85</v>
      </c>
    </row>
    <row r="3646" spans="1:9" x14ac:dyDescent="0.35">
      <c r="A3646" s="376" t="s">
        <v>1614</v>
      </c>
      <c r="B3646" s="376" t="s">
        <v>1609</v>
      </c>
      <c r="C3646" s="376" t="s">
        <v>1051</v>
      </c>
      <c r="D3646" s="376">
        <v>2030</v>
      </c>
      <c r="E3646" s="376">
        <v>2031</v>
      </c>
      <c r="F3646" s="376">
        <v>0.28070162831646173</v>
      </c>
      <c r="G3646" s="376">
        <v>6454.3984013550207</v>
      </c>
      <c r="H3646" s="376">
        <v>0.28157136688417045</v>
      </c>
      <c r="I3646" s="376">
        <v>0.85</v>
      </c>
    </row>
    <row r="3647" spans="1:9" x14ac:dyDescent="0.35">
      <c r="A3647" s="376" t="s">
        <v>1614</v>
      </c>
      <c r="B3647" s="376" t="s">
        <v>1609</v>
      </c>
      <c r="C3647" s="376" t="s">
        <v>1054</v>
      </c>
      <c r="D3647" s="376">
        <v>2030</v>
      </c>
      <c r="E3647" s="376">
        <v>2031</v>
      </c>
      <c r="F3647" s="376">
        <v>0.28070162831646173</v>
      </c>
      <c r="G3647" s="376">
        <v>6454.3984013550207</v>
      </c>
      <c r="H3647" s="376">
        <v>0.28157136688417045</v>
      </c>
      <c r="I3647" s="376">
        <v>0.85</v>
      </c>
    </row>
    <row r="3648" spans="1:9" x14ac:dyDescent="0.35">
      <c r="A3648" s="376" t="s">
        <v>1604</v>
      </c>
      <c r="B3648" s="376" t="s">
        <v>1609</v>
      </c>
      <c r="C3648" s="376" t="s">
        <v>1046</v>
      </c>
      <c r="D3648" s="376">
        <v>2030</v>
      </c>
      <c r="E3648" s="376">
        <v>2030</v>
      </c>
      <c r="F3648" s="376">
        <v>1</v>
      </c>
      <c r="G3648" s="376">
        <v>10872.741503138899</v>
      </c>
      <c r="H3648" s="376">
        <v>0</v>
      </c>
      <c r="I3648" s="376">
        <v>1</v>
      </c>
    </row>
    <row r="3649" spans="1:9" x14ac:dyDescent="0.35">
      <c r="A3649" s="376" t="s">
        <v>1604</v>
      </c>
      <c r="B3649" s="376" t="s">
        <v>1609</v>
      </c>
      <c r="C3649" s="376" t="s">
        <v>644</v>
      </c>
      <c r="D3649" s="376">
        <v>2030</v>
      </c>
      <c r="E3649" s="376">
        <v>2030</v>
      </c>
      <c r="F3649" s="376">
        <v>1</v>
      </c>
      <c r="G3649" s="376">
        <v>10872.741503138899</v>
      </c>
      <c r="H3649" s="376">
        <v>0</v>
      </c>
      <c r="I3649" s="376">
        <v>1</v>
      </c>
    </row>
    <row r="3650" spans="1:9" x14ac:dyDescent="0.35">
      <c r="A3650" s="376" t="s">
        <v>1604</v>
      </c>
      <c r="B3650" s="376" t="s">
        <v>1609</v>
      </c>
      <c r="C3650" s="376" t="s">
        <v>628</v>
      </c>
      <c r="D3650" s="376">
        <v>2030</v>
      </c>
      <c r="E3650" s="376">
        <v>2030</v>
      </c>
      <c r="F3650" s="376">
        <v>1</v>
      </c>
      <c r="G3650" s="376">
        <v>10872.741503138899</v>
      </c>
      <c r="H3650" s="376">
        <v>0</v>
      </c>
      <c r="I3650" s="376">
        <v>1</v>
      </c>
    </row>
    <row r="3651" spans="1:9" x14ac:dyDescent="0.35">
      <c r="A3651" s="376" t="s">
        <v>1604</v>
      </c>
      <c r="B3651" s="376" t="s">
        <v>1609</v>
      </c>
      <c r="C3651" s="376" t="s">
        <v>1051</v>
      </c>
      <c r="D3651" s="376">
        <v>2030</v>
      </c>
      <c r="E3651" s="376">
        <v>2030</v>
      </c>
      <c r="F3651" s="376">
        <v>1</v>
      </c>
      <c r="G3651" s="376">
        <v>10872.741503138899</v>
      </c>
      <c r="H3651" s="376">
        <v>0</v>
      </c>
      <c r="I3651" s="376">
        <v>1</v>
      </c>
    </row>
    <row r="3652" spans="1:9" x14ac:dyDescent="0.35">
      <c r="A3652" s="376" t="s">
        <v>1604</v>
      </c>
      <c r="B3652" s="376" t="s">
        <v>1609</v>
      </c>
      <c r="C3652" s="376" t="s">
        <v>1054</v>
      </c>
      <c r="D3652" s="376">
        <v>2030</v>
      </c>
      <c r="E3652" s="376">
        <v>2030</v>
      </c>
      <c r="F3652" s="376">
        <v>1</v>
      </c>
      <c r="G3652" s="376">
        <v>10872.741503138899</v>
      </c>
      <c r="H3652" s="376">
        <v>0</v>
      </c>
      <c r="I3652" s="376">
        <v>1</v>
      </c>
    </row>
    <row r="3653" spans="1:9" x14ac:dyDescent="0.35">
      <c r="A3653" s="376" t="s">
        <v>1604</v>
      </c>
      <c r="B3653" s="376" t="s">
        <v>1609</v>
      </c>
      <c r="C3653" s="376" t="s">
        <v>1046</v>
      </c>
      <c r="D3653" s="376">
        <v>2030</v>
      </c>
      <c r="E3653" s="376">
        <v>2031</v>
      </c>
      <c r="F3653" s="376">
        <v>1</v>
      </c>
      <c r="G3653" s="376">
        <v>10872.741503138899</v>
      </c>
      <c r="H3653" s="376">
        <v>0</v>
      </c>
      <c r="I3653" s="376">
        <v>1</v>
      </c>
    </row>
    <row r="3654" spans="1:9" x14ac:dyDescent="0.35">
      <c r="A3654" s="376" t="s">
        <v>1604</v>
      </c>
      <c r="B3654" s="376" t="s">
        <v>1609</v>
      </c>
      <c r="C3654" s="376" t="s">
        <v>644</v>
      </c>
      <c r="D3654" s="376">
        <v>2030</v>
      </c>
      <c r="E3654" s="376">
        <v>2031</v>
      </c>
      <c r="F3654" s="376">
        <v>1</v>
      </c>
      <c r="G3654" s="376">
        <v>10872.741503138899</v>
      </c>
      <c r="H3654" s="376">
        <v>0</v>
      </c>
      <c r="I3654" s="376">
        <v>1</v>
      </c>
    </row>
    <row r="3655" spans="1:9" x14ac:dyDescent="0.35">
      <c r="A3655" s="376" t="s">
        <v>1604</v>
      </c>
      <c r="B3655" s="376" t="s">
        <v>1609</v>
      </c>
      <c r="C3655" s="376" t="s">
        <v>628</v>
      </c>
      <c r="D3655" s="376">
        <v>2030</v>
      </c>
      <c r="E3655" s="376">
        <v>2031</v>
      </c>
      <c r="F3655" s="376">
        <v>1</v>
      </c>
      <c r="G3655" s="376">
        <v>10872.741503138899</v>
      </c>
      <c r="H3655" s="376">
        <v>0</v>
      </c>
      <c r="I3655" s="376">
        <v>1</v>
      </c>
    </row>
    <row r="3656" spans="1:9" x14ac:dyDescent="0.35">
      <c r="A3656" s="376" t="s">
        <v>1604</v>
      </c>
      <c r="B3656" s="376" t="s">
        <v>1609</v>
      </c>
      <c r="C3656" s="376" t="s">
        <v>1051</v>
      </c>
      <c r="D3656" s="376">
        <v>2030</v>
      </c>
      <c r="E3656" s="376">
        <v>2031</v>
      </c>
      <c r="F3656" s="376">
        <v>1</v>
      </c>
      <c r="G3656" s="376">
        <v>10872.741503138899</v>
      </c>
      <c r="H3656" s="376">
        <v>0</v>
      </c>
      <c r="I3656" s="376">
        <v>1</v>
      </c>
    </row>
    <row r="3657" spans="1:9" x14ac:dyDescent="0.35">
      <c r="A3657" s="376" t="s">
        <v>1604</v>
      </c>
      <c r="B3657" s="376" t="s">
        <v>1609</v>
      </c>
      <c r="C3657" s="376" t="s">
        <v>1054</v>
      </c>
      <c r="D3657" s="376">
        <v>2030</v>
      </c>
      <c r="E3657" s="376">
        <v>2031</v>
      </c>
      <c r="F3657" s="376">
        <v>1</v>
      </c>
      <c r="G3657" s="376">
        <v>10872.741503138899</v>
      </c>
      <c r="H3657" s="376">
        <v>0</v>
      </c>
      <c r="I3657" s="376">
        <v>1</v>
      </c>
    </row>
    <row r="3658" spans="1:9" x14ac:dyDescent="0.35">
      <c r="A3658" s="376" t="s">
        <v>1615</v>
      </c>
      <c r="B3658" s="376" t="s">
        <v>1609</v>
      </c>
      <c r="C3658" s="376" t="s">
        <v>1046</v>
      </c>
      <c r="D3658" s="376">
        <v>2030</v>
      </c>
      <c r="E3658" s="376">
        <v>2030</v>
      </c>
      <c r="F3658" s="376">
        <v>1</v>
      </c>
      <c r="G3658" s="376">
        <v>20148.813739673951</v>
      </c>
      <c r="H3658" s="376">
        <v>0</v>
      </c>
      <c r="I3658" s="376">
        <v>0.65716939790195539</v>
      </c>
    </row>
    <row r="3659" spans="1:9" x14ac:dyDescent="0.35">
      <c r="A3659" s="376" t="s">
        <v>1615</v>
      </c>
      <c r="B3659" s="376" t="s">
        <v>1609</v>
      </c>
      <c r="C3659" s="376" t="s">
        <v>644</v>
      </c>
      <c r="D3659" s="376">
        <v>2030</v>
      </c>
      <c r="E3659" s="376">
        <v>2030</v>
      </c>
      <c r="F3659" s="376">
        <v>1</v>
      </c>
      <c r="G3659" s="376">
        <v>20148.813739673951</v>
      </c>
      <c r="H3659" s="376">
        <v>0</v>
      </c>
      <c r="I3659" s="376">
        <v>0.65716939790195539</v>
      </c>
    </row>
    <row r="3660" spans="1:9" x14ac:dyDescent="0.35">
      <c r="A3660" s="376" t="s">
        <v>1615</v>
      </c>
      <c r="B3660" s="376" t="s">
        <v>1609</v>
      </c>
      <c r="C3660" s="376" t="s">
        <v>628</v>
      </c>
      <c r="D3660" s="376">
        <v>2030</v>
      </c>
      <c r="E3660" s="376">
        <v>2030</v>
      </c>
      <c r="F3660" s="376">
        <v>1</v>
      </c>
      <c r="G3660" s="376">
        <v>20148.813739673951</v>
      </c>
      <c r="H3660" s="376">
        <v>0</v>
      </c>
      <c r="I3660" s="376">
        <v>0.65716939790195539</v>
      </c>
    </row>
    <row r="3661" spans="1:9" x14ac:dyDescent="0.35">
      <c r="A3661" s="376" t="s">
        <v>1615</v>
      </c>
      <c r="B3661" s="376" t="s">
        <v>1609</v>
      </c>
      <c r="C3661" s="376" t="s">
        <v>1051</v>
      </c>
      <c r="D3661" s="376">
        <v>2030</v>
      </c>
      <c r="E3661" s="376">
        <v>2030</v>
      </c>
      <c r="F3661" s="376">
        <v>1</v>
      </c>
      <c r="G3661" s="376">
        <v>20148.813739673951</v>
      </c>
      <c r="H3661" s="376">
        <v>0</v>
      </c>
      <c r="I3661" s="376">
        <v>0.65716939790195539</v>
      </c>
    </row>
    <row r="3662" spans="1:9" x14ac:dyDescent="0.35">
      <c r="A3662" s="376" t="s">
        <v>1615</v>
      </c>
      <c r="B3662" s="376" t="s">
        <v>1609</v>
      </c>
      <c r="C3662" s="376" t="s">
        <v>1054</v>
      </c>
      <c r="D3662" s="376">
        <v>2030</v>
      </c>
      <c r="E3662" s="376">
        <v>2030</v>
      </c>
      <c r="F3662" s="376">
        <v>1</v>
      </c>
      <c r="G3662" s="376">
        <v>20148.813739673951</v>
      </c>
      <c r="H3662" s="376">
        <v>0</v>
      </c>
      <c r="I3662" s="376">
        <v>0.65716939790195539</v>
      </c>
    </row>
    <row r="3663" spans="1:9" x14ac:dyDescent="0.35">
      <c r="A3663" s="376" t="s">
        <v>1615</v>
      </c>
      <c r="B3663" s="376" t="s">
        <v>1609</v>
      </c>
      <c r="C3663" s="376" t="s">
        <v>1046</v>
      </c>
      <c r="D3663" s="376">
        <v>2030</v>
      </c>
      <c r="E3663" s="376">
        <v>2031</v>
      </c>
      <c r="F3663" s="376">
        <v>1</v>
      </c>
      <c r="G3663" s="376">
        <v>20148.813739673951</v>
      </c>
      <c r="H3663" s="376">
        <v>0</v>
      </c>
      <c r="I3663" s="376">
        <v>0.65716939790195539</v>
      </c>
    </row>
    <row r="3664" spans="1:9" x14ac:dyDescent="0.35">
      <c r="A3664" s="376" t="s">
        <v>1615</v>
      </c>
      <c r="B3664" s="376" t="s">
        <v>1609</v>
      </c>
      <c r="C3664" s="376" t="s">
        <v>644</v>
      </c>
      <c r="D3664" s="376">
        <v>2030</v>
      </c>
      <c r="E3664" s="376">
        <v>2031</v>
      </c>
      <c r="F3664" s="376">
        <v>1</v>
      </c>
      <c r="G3664" s="376">
        <v>20148.813739673951</v>
      </c>
      <c r="H3664" s="376">
        <v>0</v>
      </c>
      <c r="I3664" s="376">
        <v>0.65716939790195539</v>
      </c>
    </row>
    <row r="3665" spans="1:9" x14ac:dyDescent="0.35">
      <c r="A3665" s="376" t="s">
        <v>1615</v>
      </c>
      <c r="B3665" s="376" t="s">
        <v>1609</v>
      </c>
      <c r="C3665" s="376" t="s">
        <v>628</v>
      </c>
      <c r="D3665" s="376">
        <v>2030</v>
      </c>
      <c r="E3665" s="376">
        <v>2031</v>
      </c>
      <c r="F3665" s="376">
        <v>1</v>
      </c>
      <c r="G3665" s="376">
        <v>20148.813739673951</v>
      </c>
      <c r="H3665" s="376">
        <v>0</v>
      </c>
      <c r="I3665" s="376">
        <v>0.65716939790195539</v>
      </c>
    </row>
    <row r="3666" spans="1:9" x14ac:dyDescent="0.35">
      <c r="A3666" s="376" t="s">
        <v>1615</v>
      </c>
      <c r="B3666" s="376" t="s">
        <v>1609</v>
      </c>
      <c r="C3666" s="376" t="s">
        <v>1051</v>
      </c>
      <c r="D3666" s="376">
        <v>2030</v>
      </c>
      <c r="E3666" s="376">
        <v>2031</v>
      </c>
      <c r="F3666" s="376">
        <v>1</v>
      </c>
      <c r="G3666" s="376">
        <v>20148.813739673951</v>
      </c>
      <c r="H3666" s="376">
        <v>0</v>
      </c>
      <c r="I3666" s="376">
        <v>0.65716939790195539</v>
      </c>
    </row>
    <row r="3667" spans="1:9" x14ac:dyDescent="0.35">
      <c r="A3667" s="376" t="s">
        <v>1615</v>
      </c>
      <c r="B3667" s="376" t="s">
        <v>1609</v>
      </c>
      <c r="C3667" s="376" t="s">
        <v>1054</v>
      </c>
      <c r="D3667" s="376">
        <v>2030</v>
      </c>
      <c r="E3667" s="376">
        <v>2031</v>
      </c>
      <c r="F3667" s="376">
        <v>1</v>
      </c>
      <c r="G3667" s="376">
        <v>20148.813739673951</v>
      </c>
      <c r="H3667" s="376">
        <v>0</v>
      </c>
      <c r="I3667" s="376">
        <v>0.65716939790195539</v>
      </c>
    </row>
    <row r="3668" spans="1:9" x14ac:dyDescent="0.35">
      <c r="A3668" s="376" t="s">
        <v>1603</v>
      </c>
      <c r="B3668" s="376" t="s">
        <v>1609</v>
      </c>
      <c r="C3668" s="376" t="s">
        <v>1046</v>
      </c>
      <c r="D3668" s="376">
        <v>2030</v>
      </c>
      <c r="E3668" s="376">
        <v>2030</v>
      </c>
      <c r="F3668" s="376">
        <v>1</v>
      </c>
      <c r="G3668" s="376">
        <v>6101.463203368502</v>
      </c>
      <c r="H3668" s="376">
        <v>0</v>
      </c>
      <c r="I3668" s="376">
        <v>1</v>
      </c>
    </row>
    <row r="3669" spans="1:9" x14ac:dyDescent="0.35">
      <c r="A3669" s="376" t="s">
        <v>1603</v>
      </c>
      <c r="B3669" s="376" t="s">
        <v>1609</v>
      </c>
      <c r="C3669" s="376" t="s">
        <v>644</v>
      </c>
      <c r="D3669" s="376">
        <v>2030</v>
      </c>
      <c r="E3669" s="376">
        <v>2030</v>
      </c>
      <c r="F3669" s="376">
        <v>1</v>
      </c>
      <c r="G3669" s="376">
        <v>6101.463203368502</v>
      </c>
      <c r="H3669" s="376">
        <v>0</v>
      </c>
      <c r="I3669" s="376">
        <v>1</v>
      </c>
    </row>
    <row r="3670" spans="1:9" x14ac:dyDescent="0.35">
      <c r="A3670" s="376" t="s">
        <v>1603</v>
      </c>
      <c r="B3670" s="376" t="s">
        <v>1609</v>
      </c>
      <c r="C3670" s="376" t="s">
        <v>628</v>
      </c>
      <c r="D3670" s="376">
        <v>2030</v>
      </c>
      <c r="E3670" s="376">
        <v>2030</v>
      </c>
      <c r="F3670" s="376">
        <v>1</v>
      </c>
      <c r="G3670" s="376">
        <v>6101.463203368502</v>
      </c>
      <c r="H3670" s="376">
        <v>0</v>
      </c>
      <c r="I3670" s="376">
        <v>1</v>
      </c>
    </row>
    <row r="3671" spans="1:9" x14ac:dyDescent="0.35">
      <c r="A3671" s="376" t="s">
        <v>1603</v>
      </c>
      <c r="B3671" s="376" t="s">
        <v>1609</v>
      </c>
      <c r="C3671" s="376" t="s">
        <v>1051</v>
      </c>
      <c r="D3671" s="376">
        <v>2030</v>
      </c>
      <c r="E3671" s="376">
        <v>2030</v>
      </c>
      <c r="F3671" s="376">
        <v>1</v>
      </c>
      <c r="G3671" s="376">
        <v>6101.463203368502</v>
      </c>
      <c r="H3671" s="376">
        <v>0</v>
      </c>
      <c r="I3671" s="376">
        <v>1</v>
      </c>
    </row>
    <row r="3672" spans="1:9" x14ac:dyDescent="0.35">
      <c r="A3672" s="376" t="s">
        <v>1603</v>
      </c>
      <c r="B3672" s="376" t="s">
        <v>1609</v>
      </c>
      <c r="C3672" s="376" t="s">
        <v>1054</v>
      </c>
      <c r="D3672" s="376">
        <v>2030</v>
      </c>
      <c r="E3672" s="376">
        <v>2030</v>
      </c>
      <c r="F3672" s="376">
        <v>1</v>
      </c>
      <c r="G3672" s="376">
        <v>6101.463203368502</v>
      </c>
      <c r="H3672" s="376">
        <v>0</v>
      </c>
      <c r="I3672" s="376">
        <v>1</v>
      </c>
    </row>
    <row r="3673" spans="1:9" x14ac:dyDescent="0.35">
      <c r="A3673" s="376" t="s">
        <v>1603</v>
      </c>
      <c r="B3673" s="376" t="s">
        <v>1609</v>
      </c>
      <c r="C3673" s="376" t="s">
        <v>1046</v>
      </c>
      <c r="D3673" s="376">
        <v>2030</v>
      </c>
      <c r="E3673" s="376">
        <v>2031</v>
      </c>
      <c r="F3673" s="376">
        <v>1</v>
      </c>
      <c r="G3673" s="376">
        <v>6101.463203368502</v>
      </c>
      <c r="H3673" s="376">
        <v>0</v>
      </c>
      <c r="I3673" s="376">
        <v>1</v>
      </c>
    </row>
    <row r="3674" spans="1:9" x14ac:dyDescent="0.35">
      <c r="A3674" s="376" t="s">
        <v>1603</v>
      </c>
      <c r="B3674" s="376" t="s">
        <v>1609</v>
      </c>
      <c r="C3674" s="376" t="s">
        <v>644</v>
      </c>
      <c r="D3674" s="376">
        <v>2030</v>
      </c>
      <c r="E3674" s="376">
        <v>2031</v>
      </c>
      <c r="F3674" s="376">
        <v>1</v>
      </c>
      <c r="G3674" s="376">
        <v>6101.463203368502</v>
      </c>
      <c r="H3674" s="376">
        <v>0</v>
      </c>
      <c r="I3674" s="376">
        <v>1</v>
      </c>
    </row>
    <row r="3675" spans="1:9" x14ac:dyDescent="0.35">
      <c r="A3675" s="376" t="s">
        <v>1603</v>
      </c>
      <c r="B3675" s="376" t="s">
        <v>1609</v>
      </c>
      <c r="C3675" s="376" t="s">
        <v>628</v>
      </c>
      <c r="D3675" s="376">
        <v>2030</v>
      </c>
      <c r="E3675" s="376">
        <v>2031</v>
      </c>
      <c r="F3675" s="376">
        <v>1</v>
      </c>
      <c r="G3675" s="376">
        <v>6101.463203368502</v>
      </c>
      <c r="H3675" s="376">
        <v>0</v>
      </c>
      <c r="I3675" s="376">
        <v>1</v>
      </c>
    </row>
    <row r="3676" spans="1:9" x14ac:dyDescent="0.35">
      <c r="A3676" s="376" t="s">
        <v>1603</v>
      </c>
      <c r="B3676" s="376" t="s">
        <v>1609</v>
      </c>
      <c r="C3676" s="376" t="s">
        <v>1051</v>
      </c>
      <c r="D3676" s="376">
        <v>2030</v>
      </c>
      <c r="E3676" s="376">
        <v>2031</v>
      </c>
      <c r="F3676" s="376">
        <v>1</v>
      </c>
      <c r="G3676" s="376">
        <v>6101.463203368502</v>
      </c>
      <c r="H3676" s="376">
        <v>0</v>
      </c>
      <c r="I3676" s="376">
        <v>1</v>
      </c>
    </row>
    <row r="3677" spans="1:9" x14ac:dyDescent="0.35">
      <c r="A3677" s="376" t="s">
        <v>1603</v>
      </c>
      <c r="B3677" s="376" t="s">
        <v>1609</v>
      </c>
      <c r="C3677" s="376" t="s">
        <v>1054</v>
      </c>
      <c r="D3677" s="376">
        <v>2030</v>
      </c>
      <c r="E3677" s="376">
        <v>2031</v>
      </c>
      <c r="F3677" s="376">
        <v>1</v>
      </c>
      <c r="G3677" s="376">
        <v>6101.463203368502</v>
      </c>
      <c r="H3677" s="376">
        <v>0</v>
      </c>
      <c r="I3677" s="376">
        <v>1</v>
      </c>
    </row>
    <row r="3678" spans="1:9" x14ac:dyDescent="0.35">
      <c r="A3678" s="376" t="s">
        <v>1605</v>
      </c>
      <c r="B3678" s="376" t="s">
        <v>1609</v>
      </c>
      <c r="C3678" s="376" t="s">
        <v>1046</v>
      </c>
      <c r="D3678" s="376">
        <v>2030</v>
      </c>
      <c r="E3678" s="376">
        <v>2030</v>
      </c>
      <c r="F3678" s="376">
        <v>0.23884589662749595</v>
      </c>
      <c r="G3678" s="376">
        <v>10426.102375692073</v>
      </c>
      <c r="H3678" s="376">
        <v>0</v>
      </c>
      <c r="I3678" s="376">
        <v>1</v>
      </c>
    </row>
    <row r="3679" spans="1:9" x14ac:dyDescent="0.35">
      <c r="A3679" s="376" t="s">
        <v>1605</v>
      </c>
      <c r="B3679" s="376" t="s">
        <v>1609</v>
      </c>
      <c r="C3679" s="376" t="s">
        <v>644</v>
      </c>
      <c r="D3679" s="376">
        <v>2030</v>
      </c>
      <c r="E3679" s="376">
        <v>2030</v>
      </c>
      <c r="F3679" s="376">
        <v>0.23884589662749595</v>
      </c>
      <c r="G3679" s="376">
        <v>10426.102375692073</v>
      </c>
      <c r="H3679" s="376">
        <v>0</v>
      </c>
      <c r="I3679" s="376">
        <v>1</v>
      </c>
    </row>
    <row r="3680" spans="1:9" x14ac:dyDescent="0.35">
      <c r="A3680" s="376" t="s">
        <v>1605</v>
      </c>
      <c r="B3680" s="376" t="s">
        <v>1609</v>
      </c>
      <c r="C3680" s="376" t="s">
        <v>628</v>
      </c>
      <c r="D3680" s="376">
        <v>2030</v>
      </c>
      <c r="E3680" s="376">
        <v>2030</v>
      </c>
      <c r="F3680" s="376">
        <v>0.23884589662749595</v>
      </c>
      <c r="G3680" s="376">
        <v>10426.102375692073</v>
      </c>
      <c r="H3680" s="376">
        <v>0</v>
      </c>
      <c r="I3680" s="376">
        <v>1</v>
      </c>
    </row>
    <row r="3681" spans="1:9" x14ac:dyDescent="0.35">
      <c r="A3681" s="376" t="s">
        <v>1605</v>
      </c>
      <c r="B3681" s="376" t="s">
        <v>1609</v>
      </c>
      <c r="C3681" s="376" t="s">
        <v>1051</v>
      </c>
      <c r="D3681" s="376">
        <v>2030</v>
      </c>
      <c r="E3681" s="376">
        <v>2030</v>
      </c>
      <c r="F3681" s="376">
        <v>0.23884589662749595</v>
      </c>
      <c r="G3681" s="376">
        <v>10426.102375692073</v>
      </c>
      <c r="H3681" s="376">
        <v>0</v>
      </c>
      <c r="I3681" s="376">
        <v>1</v>
      </c>
    </row>
    <row r="3682" spans="1:9" x14ac:dyDescent="0.35">
      <c r="A3682" s="376" t="s">
        <v>1605</v>
      </c>
      <c r="B3682" s="376" t="s">
        <v>1609</v>
      </c>
      <c r="C3682" s="376" t="s">
        <v>1054</v>
      </c>
      <c r="D3682" s="376">
        <v>2030</v>
      </c>
      <c r="E3682" s="376">
        <v>2030</v>
      </c>
      <c r="F3682" s="376">
        <v>0.23884589662749595</v>
      </c>
      <c r="G3682" s="376">
        <v>10426.102375692073</v>
      </c>
      <c r="H3682" s="376">
        <v>0</v>
      </c>
      <c r="I3682" s="376">
        <v>1</v>
      </c>
    </row>
    <row r="3683" spans="1:9" x14ac:dyDescent="0.35">
      <c r="A3683" s="376" t="s">
        <v>1605</v>
      </c>
      <c r="B3683" s="376" t="s">
        <v>1609</v>
      </c>
      <c r="C3683" s="376" t="s">
        <v>1046</v>
      </c>
      <c r="D3683" s="376">
        <v>2030</v>
      </c>
      <c r="E3683" s="376">
        <v>2031</v>
      </c>
      <c r="F3683" s="376">
        <v>0.23884589662749595</v>
      </c>
      <c r="G3683" s="376">
        <v>10426.102375692073</v>
      </c>
      <c r="H3683" s="376">
        <v>0</v>
      </c>
      <c r="I3683" s="376">
        <v>1</v>
      </c>
    </row>
    <row r="3684" spans="1:9" x14ac:dyDescent="0.35">
      <c r="A3684" s="376" t="s">
        <v>1605</v>
      </c>
      <c r="B3684" s="376" t="s">
        <v>1609</v>
      </c>
      <c r="C3684" s="376" t="s">
        <v>644</v>
      </c>
      <c r="D3684" s="376">
        <v>2030</v>
      </c>
      <c r="E3684" s="376">
        <v>2031</v>
      </c>
      <c r="F3684" s="376">
        <v>0.23884589662749595</v>
      </c>
      <c r="G3684" s="376">
        <v>10426.102375692073</v>
      </c>
      <c r="H3684" s="376">
        <v>0</v>
      </c>
      <c r="I3684" s="376">
        <v>1</v>
      </c>
    </row>
    <row r="3685" spans="1:9" x14ac:dyDescent="0.35">
      <c r="A3685" s="376" t="s">
        <v>1605</v>
      </c>
      <c r="B3685" s="376" t="s">
        <v>1609</v>
      </c>
      <c r="C3685" s="376" t="s">
        <v>628</v>
      </c>
      <c r="D3685" s="376">
        <v>2030</v>
      </c>
      <c r="E3685" s="376">
        <v>2031</v>
      </c>
      <c r="F3685" s="376">
        <v>0.23884589662749595</v>
      </c>
      <c r="G3685" s="376">
        <v>10426.102375692073</v>
      </c>
      <c r="H3685" s="376">
        <v>0</v>
      </c>
      <c r="I3685" s="376">
        <v>1</v>
      </c>
    </row>
    <row r="3686" spans="1:9" x14ac:dyDescent="0.35">
      <c r="A3686" s="376" t="s">
        <v>1605</v>
      </c>
      <c r="B3686" s="376" t="s">
        <v>1609</v>
      </c>
      <c r="C3686" s="376" t="s">
        <v>1051</v>
      </c>
      <c r="D3686" s="376">
        <v>2030</v>
      </c>
      <c r="E3686" s="376">
        <v>2031</v>
      </c>
      <c r="F3686" s="376">
        <v>0.23884589662749595</v>
      </c>
      <c r="G3686" s="376">
        <v>10426.102375692073</v>
      </c>
      <c r="H3686" s="376">
        <v>0</v>
      </c>
      <c r="I3686" s="376">
        <v>1</v>
      </c>
    </row>
    <row r="3687" spans="1:9" x14ac:dyDescent="0.35">
      <c r="A3687" s="376" t="s">
        <v>1605</v>
      </c>
      <c r="B3687" s="376" t="s">
        <v>1609</v>
      </c>
      <c r="C3687" s="376" t="s">
        <v>1054</v>
      </c>
      <c r="D3687" s="376">
        <v>2030</v>
      </c>
      <c r="E3687" s="376">
        <v>2031</v>
      </c>
      <c r="F3687" s="376">
        <v>0.23884589662749595</v>
      </c>
      <c r="G3687" s="376">
        <v>10426.102375692073</v>
      </c>
      <c r="H3687" s="376">
        <v>0</v>
      </c>
      <c r="I3687" s="376">
        <v>1</v>
      </c>
    </row>
    <row r="3688" spans="1:9" x14ac:dyDescent="0.35">
      <c r="A3688" s="376" t="s">
        <v>1636</v>
      </c>
      <c r="B3688" s="376" t="s">
        <v>1609</v>
      </c>
      <c r="C3688" s="376" t="s">
        <v>1046</v>
      </c>
      <c r="D3688" s="376">
        <v>2030</v>
      </c>
      <c r="E3688" s="376">
        <v>2030</v>
      </c>
      <c r="F3688" s="376">
        <v>1</v>
      </c>
      <c r="G3688" s="376">
        <v>3182.4549343510666</v>
      </c>
      <c r="H3688" s="376">
        <v>0</v>
      </c>
      <c r="I3688" s="376">
        <v>1</v>
      </c>
    </row>
    <row r="3689" spans="1:9" x14ac:dyDescent="0.35">
      <c r="A3689" s="376" t="s">
        <v>1636</v>
      </c>
      <c r="B3689" s="376" t="s">
        <v>1609</v>
      </c>
      <c r="C3689" s="376" t="s">
        <v>644</v>
      </c>
      <c r="D3689" s="376">
        <v>2030</v>
      </c>
      <c r="E3689" s="376">
        <v>2030</v>
      </c>
      <c r="F3689" s="376">
        <v>1</v>
      </c>
      <c r="G3689" s="376">
        <v>3182.4549343510666</v>
      </c>
      <c r="H3689" s="376">
        <v>0</v>
      </c>
      <c r="I3689" s="376">
        <v>1</v>
      </c>
    </row>
    <row r="3690" spans="1:9" x14ac:dyDescent="0.35">
      <c r="A3690" s="376" t="s">
        <v>1636</v>
      </c>
      <c r="B3690" s="376" t="s">
        <v>1609</v>
      </c>
      <c r="C3690" s="376" t="s">
        <v>628</v>
      </c>
      <c r="D3690" s="376">
        <v>2030</v>
      </c>
      <c r="E3690" s="376">
        <v>2030</v>
      </c>
      <c r="F3690" s="376">
        <v>1</v>
      </c>
      <c r="G3690" s="376">
        <v>3182.4549343510666</v>
      </c>
      <c r="H3690" s="376">
        <v>0</v>
      </c>
      <c r="I3690" s="376">
        <v>1</v>
      </c>
    </row>
    <row r="3691" spans="1:9" x14ac:dyDescent="0.35">
      <c r="A3691" s="376" t="s">
        <v>1636</v>
      </c>
      <c r="B3691" s="376" t="s">
        <v>1609</v>
      </c>
      <c r="C3691" s="376" t="s">
        <v>1051</v>
      </c>
      <c r="D3691" s="376">
        <v>2030</v>
      </c>
      <c r="E3691" s="376">
        <v>2030</v>
      </c>
      <c r="F3691" s="376">
        <v>1</v>
      </c>
      <c r="G3691" s="376">
        <v>3182.4549343510666</v>
      </c>
      <c r="H3691" s="376">
        <v>0</v>
      </c>
      <c r="I3691" s="376">
        <v>1</v>
      </c>
    </row>
    <row r="3692" spans="1:9" x14ac:dyDescent="0.35">
      <c r="A3692" s="376" t="s">
        <v>1636</v>
      </c>
      <c r="B3692" s="376" t="s">
        <v>1609</v>
      </c>
      <c r="C3692" s="376" t="s">
        <v>1054</v>
      </c>
      <c r="D3692" s="376">
        <v>2030</v>
      </c>
      <c r="E3692" s="376">
        <v>2030</v>
      </c>
      <c r="F3692" s="376">
        <v>1</v>
      </c>
      <c r="G3692" s="376">
        <v>3182.4549343510666</v>
      </c>
      <c r="H3692" s="376">
        <v>0</v>
      </c>
      <c r="I3692" s="376">
        <v>1</v>
      </c>
    </row>
    <row r="3693" spans="1:9" x14ac:dyDescent="0.35">
      <c r="A3693" s="376" t="s">
        <v>1636</v>
      </c>
      <c r="B3693" s="376" t="s">
        <v>1609</v>
      </c>
      <c r="C3693" s="376" t="s">
        <v>1046</v>
      </c>
      <c r="D3693" s="376">
        <v>2030</v>
      </c>
      <c r="E3693" s="376">
        <v>2031</v>
      </c>
      <c r="F3693" s="376">
        <v>1</v>
      </c>
      <c r="G3693" s="376">
        <v>3182.4549343510666</v>
      </c>
      <c r="H3693" s="376">
        <v>0</v>
      </c>
      <c r="I3693" s="376">
        <v>1</v>
      </c>
    </row>
    <row r="3694" spans="1:9" x14ac:dyDescent="0.35">
      <c r="A3694" s="376" t="s">
        <v>1636</v>
      </c>
      <c r="B3694" s="376" t="s">
        <v>1609</v>
      </c>
      <c r="C3694" s="376" t="s">
        <v>644</v>
      </c>
      <c r="D3694" s="376">
        <v>2030</v>
      </c>
      <c r="E3694" s="376">
        <v>2031</v>
      </c>
      <c r="F3694" s="376">
        <v>1</v>
      </c>
      <c r="G3694" s="376">
        <v>3182.4549343510666</v>
      </c>
      <c r="H3694" s="376">
        <v>0</v>
      </c>
      <c r="I3694" s="376">
        <v>1</v>
      </c>
    </row>
    <row r="3695" spans="1:9" x14ac:dyDescent="0.35">
      <c r="A3695" s="376" t="s">
        <v>1636</v>
      </c>
      <c r="B3695" s="376" t="s">
        <v>1609</v>
      </c>
      <c r="C3695" s="376" t="s">
        <v>628</v>
      </c>
      <c r="D3695" s="376">
        <v>2030</v>
      </c>
      <c r="E3695" s="376">
        <v>2031</v>
      </c>
      <c r="F3695" s="376">
        <v>1</v>
      </c>
      <c r="G3695" s="376">
        <v>3182.4549343510666</v>
      </c>
      <c r="H3695" s="376">
        <v>0</v>
      </c>
      <c r="I3695" s="376">
        <v>1</v>
      </c>
    </row>
    <row r="3696" spans="1:9" x14ac:dyDescent="0.35">
      <c r="A3696" s="376" t="s">
        <v>1636</v>
      </c>
      <c r="B3696" s="376" t="s">
        <v>1609</v>
      </c>
      <c r="C3696" s="376" t="s">
        <v>1051</v>
      </c>
      <c r="D3696" s="376">
        <v>2030</v>
      </c>
      <c r="E3696" s="376">
        <v>2031</v>
      </c>
      <c r="F3696" s="376">
        <v>1</v>
      </c>
      <c r="G3696" s="376">
        <v>3182.4549343510666</v>
      </c>
      <c r="H3696" s="376">
        <v>0</v>
      </c>
      <c r="I3696" s="376">
        <v>1</v>
      </c>
    </row>
    <row r="3697" spans="1:9" x14ac:dyDescent="0.35">
      <c r="A3697" s="376" t="s">
        <v>1636</v>
      </c>
      <c r="B3697" s="376" t="s">
        <v>1609</v>
      </c>
      <c r="C3697" s="376" t="s">
        <v>1054</v>
      </c>
      <c r="D3697" s="376">
        <v>2030</v>
      </c>
      <c r="E3697" s="376">
        <v>2031</v>
      </c>
      <c r="F3697" s="376">
        <v>1</v>
      </c>
      <c r="G3697" s="376">
        <v>3182.4549343510666</v>
      </c>
      <c r="H3697" s="376">
        <v>0</v>
      </c>
      <c r="I3697" s="376">
        <v>1</v>
      </c>
    </row>
    <row r="3698" spans="1:9" x14ac:dyDescent="0.35">
      <c r="A3698" s="376" t="s">
        <v>1606</v>
      </c>
      <c r="B3698" s="376" t="s">
        <v>1609</v>
      </c>
      <c r="C3698" s="376" t="s">
        <v>1046</v>
      </c>
      <c r="D3698" s="376">
        <v>2030</v>
      </c>
      <c r="E3698" s="376">
        <v>2030</v>
      </c>
      <c r="F3698" s="376">
        <v>1</v>
      </c>
      <c r="G3698" s="376">
        <v>5642.6305836721367</v>
      </c>
      <c r="H3698" s="376">
        <v>0</v>
      </c>
      <c r="I3698" s="376">
        <v>1</v>
      </c>
    </row>
    <row r="3699" spans="1:9" x14ac:dyDescent="0.35">
      <c r="A3699" s="376" t="s">
        <v>1606</v>
      </c>
      <c r="B3699" s="376" t="s">
        <v>1609</v>
      </c>
      <c r="C3699" s="376" t="s">
        <v>644</v>
      </c>
      <c r="D3699" s="376">
        <v>2030</v>
      </c>
      <c r="E3699" s="376">
        <v>2030</v>
      </c>
      <c r="F3699" s="376">
        <v>1</v>
      </c>
      <c r="G3699" s="376">
        <v>5642.6305836721367</v>
      </c>
      <c r="H3699" s="376">
        <v>0</v>
      </c>
      <c r="I3699" s="376">
        <v>1</v>
      </c>
    </row>
    <row r="3700" spans="1:9" x14ac:dyDescent="0.35">
      <c r="A3700" s="376" t="s">
        <v>1606</v>
      </c>
      <c r="B3700" s="376" t="s">
        <v>1609</v>
      </c>
      <c r="C3700" s="376" t="s">
        <v>628</v>
      </c>
      <c r="D3700" s="376">
        <v>2030</v>
      </c>
      <c r="E3700" s="376">
        <v>2030</v>
      </c>
      <c r="F3700" s="376">
        <v>1</v>
      </c>
      <c r="G3700" s="376">
        <v>5642.6305836721367</v>
      </c>
      <c r="H3700" s="376">
        <v>0</v>
      </c>
      <c r="I3700" s="376">
        <v>1</v>
      </c>
    </row>
    <row r="3701" spans="1:9" x14ac:dyDescent="0.35">
      <c r="A3701" s="376" t="s">
        <v>1606</v>
      </c>
      <c r="B3701" s="376" t="s">
        <v>1609</v>
      </c>
      <c r="C3701" s="376" t="s">
        <v>1051</v>
      </c>
      <c r="D3701" s="376">
        <v>2030</v>
      </c>
      <c r="E3701" s="376">
        <v>2030</v>
      </c>
      <c r="F3701" s="376">
        <v>1</v>
      </c>
      <c r="G3701" s="376">
        <v>5642.6305836721367</v>
      </c>
      <c r="H3701" s="376">
        <v>0</v>
      </c>
      <c r="I3701" s="376">
        <v>1</v>
      </c>
    </row>
    <row r="3702" spans="1:9" x14ac:dyDescent="0.35">
      <c r="A3702" s="376" t="s">
        <v>1606</v>
      </c>
      <c r="B3702" s="376" t="s">
        <v>1609</v>
      </c>
      <c r="C3702" s="376" t="s">
        <v>1054</v>
      </c>
      <c r="D3702" s="376">
        <v>2030</v>
      </c>
      <c r="E3702" s="376">
        <v>2030</v>
      </c>
      <c r="F3702" s="376">
        <v>1</v>
      </c>
      <c r="G3702" s="376">
        <v>5642.6305836721367</v>
      </c>
      <c r="H3702" s="376">
        <v>0</v>
      </c>
      <c r="I3702" s="376">
        <v>1</v>
      </c>
    </row>
    <row r="3703" spans="1:9" x14ac:dyDescent="0.35">
      <c r="A3703" s="376" t="s">
        <v>1606</v>
      </c>
      <c r="B3703" s="376" t="s">
        <v>1609</v>
      </c>
      <c r="C3703" s="376" t="s">
        <v>1046</v>
      </c>
      <c r="D3703" s="376">
        <v>2030</v>
      </c>
      <c r="E3703" s="376">
        <v>2031</v>
      </c>
      <c r="F3703" s="376">
        <v>1</v>
      </c>
      <c r="G3703" s="376">
        <v>5642.6305836721367</v>
      </c>
      <c r="H3703" s="376">
        <v>0</v>
      </c>
      <c r="I3703" s="376">
        <v>1</v>
      </c>
    </row>
    <row r="3704" spans="1:9" x14ac:dyDescent="0.35">
      <c r="A3704" s="376" t="s">
        <v>1606</v>
      </c>
      <c r="B3704" s="376" t="s">
        <v>1609</v>
      </c>
      <c r="C3704" s="376" t="s">
        <v>644</v>
      </c>
      <c r="D3704" s="376">
        <v>2030</v>
      </c>
      <c r="E3704" s="376">
        <v>2031</v>
      </c>
      <c r="F3704" s="376">
        <v>1</v>
      </c>
      <c r="G3704" s="376">
        <v>5642.6305836721367</v>
      </c>
      <c r="H3704" s="376">
        <v>0</v>
      </c>
      <c r="I3704" s="376">
        <v>1</v>
      </c>
    </row>
    <row r="3705" spans="1:9" x14ac:dyDescent="0.35">
      <c r="A3705" s="376" t="s">
        <v>1606</v>
      </c>
      <c r="B3705" s="376" t="s">
        <v>1609</v>
      </c>
      <c r="C3705" s="376" t="s">
        <v>628</v>
      </c>
      <c r="D3705" s="376">
        <v>2030</v>
      </c>
      <c r="E3705" s="376">
        <v>2031</v>
      </c>
      <c r="F3705" s="376">
        <v>1</v>
      </c>
      <c r="G3705" s="376">
        <v>5642.6305836721367</v>
      </c>
      <c r="H3705" s="376">
        <v>0</v>
      </c>
      <c r="I3705" s="376">
        <v>1</v>
      </c>
    </row>
    <row r="3706" spans="1:9" x14ac:dyDescent="0.35">
      <c r="A3706" s="376" t="s">
        <v>1606</v>
      </c>
      <c r="B3706" s="376" t="s">
        <v>1609</v>
      </c>
      <c r="C3706" s="376" t="s">
        <v>1051</v>
      </c>
      <c r="D3706" s="376">
        <v>2030</v>
      </c>
      <c r="E3706" s="376">
        <v>2031</v>
      </c>
      <c r="F3706" s="376">
        <v>1</v>
      </c>
      <c r="G3706" s="376">
        <v>5642.6305836721367</v>
      </c>
      <c r="H3706" s="376">
        <v>0</v>
      </c>
      <c r="I3706" s="376">
        <v>1</v>
      </c>
    </row>
    <row r="3707" spans="1:9" x14ac:dyDescent="0.35">
      <c r="A3707" s="376" t="s">
        <v>1606</v>
      </c>
      <c r="B3707" s="376" t="s">
        <v>1609</v>
      </c>
      <c r="C3707" s="376" t="s">
        <v>1054</v>
      </c>
      <c r="D3707" s="376">
        <v>2030</v>
      </c>
      <c r="E3707" s="376">
        <v>2031</v>
      </c>
      <c r="F3707" s="376">
        <v>1</v>
      </c>
      <c r="G3707" s="376">
        <v>5642.6305836721367</v>
      </c>
      <c r="H3707" s="376">
        <v>0</v>
      </c>
      <c r="I3707" s="376">
        <v>1</v>
      </c>
    </row>
    <row r="3708" spans="1:9" x14ac:dyDescent="0.35">
      <c r="A3708" s="376" t="s">
        <v>1612</v>
      </c>
      <c r="B3708" s="376" t="s">
        <v>1609</v>
      </c>
      <c r="C3708" s="376" t="s">
        <v>1046</v>
      </c>
      <c r="D3708" s="376">
        <v>2031</v>
      </c>
      <c r="E3708" s="376">
        <v>2031</v>
      </c>
      <c r="F3708" s="376">
        <v>0.37384575124303709</v>
      </c>
      <c r="G3708" s="376">
        <v>9928.6887826901675</v>
      </c>
      <c r="H3708" s="376">
        <v>0.29978371344302385</v>
      </c>
      <c r="I3708" s="376">
        <v>0.85</v>
      </c>
    </row>
    <row r="3709" spans="1:9" x14ac:dyDescent="0.35">
      <c r="A3709" s="376" t="s">
        <v>1612</v>
      </c>
      <c r="B3709" s="376" t="s">
        <v>1609</v>
      </c>
      <c r="C3709" s="376" t="s">
        <v>644</v>
      </c>
      <c r="D3709" s="376">
        <v>2031</v>
      </c>
      <c r="E3709" s="376">
        <v>2031</v>
      </c>
      <c r="F3709" s="376">
        <v>0.37384575124303709</v>
      </c>
      <c r="G3709" s="376">
        <v>9928.6887826901675</v>
      </c>
      <c r="H3709" s="376">
        <v>0.29978371344302385</v>
      </c>
      <c r="I3709" s="376">
        <v>0.85</v>
      </c>
    </row>
    <row r="3710" spans="1:9" x14ac:dyDescent="0.35">
      <c r="A3710" s="376" t="s">
        <v>1612</v>
      </c>
      <c r="B3710" s="376" t="s">
        <v>1609</v>
      </c>
      <c r="C3710" s="376" t="s">
        <v>628</v>
      </c>
      <c r="D3710" s="376">
        <v>2031</v>
      </c>
      <c r="E3710" s="376">
        <v>2031</v>
      </c>
      <c r="F3710" s="376">
        <v>0.37384575124303709</v>
      </c>
      <c r="G3710" s="376">
        <v>9928.6887826901675</v>
      </c>
      <c r="H3710" s="376">
        <v>0.29978371344302385</v>
      </c>
      <c r="I3710" s="376">
        <v>0.85</v>
      </c>
    </row>
    <row r="3711" spans="1:9" x14ac:dyDescent="0.35">
      <c r="A3711" s="376" t="s">
        <v>1612</v>
      </c>
      <c r="B3711" s="376" t="s">
        <v>1609</v>
      </c>
      <c r="C3711" s="376" t="s">
        <v>1051</v>
      </c>
      <c r="D3711" s="376">
        <v>2031</v>
      </c>
      <c r="E3711" s="376">
        <v>2031</v>
      </c>
      <c r="F3711" s="376">
        <v>0.37384575124303709</v>
      </c>
      <c r="G3711" s="376">
        <v>9928.6887826901675</v>
      </c>
      <c r="H3711" s="376">
        <v>0.29978371344302385</v>
      </c>
      <c r="I3711" s="376">
        <v>0.85</v>
      </c>
    </row>
    <row r="3712" spans="1:9" x14ac:dyDescent="0.35">
      <c r="A3712" s="376" t="s">
        <v>1612</v>
      </c>
      <c r="B3712" s="376" t="s">
        <v>1609</v>
      </c>
      <c r="C3712" s="376" t="s">
        <v>1054</v>
      </c>
      <c r="D3712" s="376">
        <v>2031</v>
      </c>
      <c r="E3712" s="376">
        <v>2031</v>
      </c>
      <c r="F3712" s="376">
        <v>0.37384575124303709</v>
      </c>
      <c r="G3712" s="376">
        <v>9928.6887826901675</v>
      </c>
      <c r="H3712" s="376">
        <v>0.29978371344302385</v>
      </c>
      <c r="I3712" s="376">
        <v>0.85</v>
      </c>
    </row>
    <row r="3713" spans="1:9" x14ac:dyDescent="0.35">
      <c r="A3713" s="376" t="s">
        <v>1613</v>
      </c>
      <c r="B3713" s="376" t="s">
        <v>1609</v>
      </c>
      <c r="C3713" s="376" t="s">
        <v>1046</v>
      </c>
      <c r="D3713" s="376">
        <v>2031</v>
      </c>
      <c r="E3713" s="376">
        <v>2031</v>
      </c>
      <c r="F3713" s="376">
        <v>0.40444272241720852</v>
      </c>
      <c r="G3713" s="376">
        <v>8848.5269568257354</v>
      </c>
      <c r="H3713" s="376">
        <v>0.28493994567377445</v>
      </c>
      <c r="I3713" s="376">
        <v>0.85</v>
      </c>
    </row>
    <row r="3714" spans="1:9" x14ac:dyDescent="0.35">
      <c r="A3714" s="376" t="s">
        <v>1613</v>
      </c>
      <c r="B3714" s="376" t="s">
        <v>1609</v>
      </c>
      <c r="C3714" s="376" t="s">
        <v>644</v>
      </c>
      <c r="D3714" s="376">
        <v>2031</v>
      </c>
      <c r="E3714" s="376">
        <v>2031</v>
      </c>
      <c r="F3714" s="376">
        <v>0.40444272241720852</v>
      </c>
      <c r="G3714" s="376">
        <v>8848.5269568257354</v>
      </c>
      <c r="H3714" s="376">
        <v>0.28493994567377445</v>
      </c>
      <c r="I3714" s="376">
        <v>0.85</v>
      </c>
    </row>
    <row r="3715" spans="1:9" x14ac:dyDescent="0.35">
      <c r="A3715" s="376" t="s">
        <v>1613</v>
      </c>
      <c r="B3715" s="376" t="s">
        <v>1609</v>
      </c>
      <c r="C3715" s="376" t="s">
        <v>628</v>
      </c>
      <c r="D3715" s="376">
        <v>2031</v>
      </c>
      <c r="E3715" s="376">
        <v>2031</v>
      </c>
      <c r="F3715" s="376">
        <v>0.40444272241720852</v>
      </c>
      <c r="G3715" s="376">
        <v>8848.5269568257354</v>
      </c>
      <c r="H3715" s="376">
        <v>0.28493994567377445</v>
      </c>
      <c r="I3715" s="376">
        <v>0.85</v>
      </c>
    </row>
    <row r="3716" spans="1:9" x14ac:dyDescent="0.35">
      <c r="A3716" s="376" t="s">
        <v>1613</v>
      </c>
      <c r="B3716" s="376" t="s">
        <v>1609</v>
      </c>
      <c r="C3716" s="376" t="s">
        <v>1051</v>
      </c>
      <c r="D3716" s="376">
        <v>2031</v>
      </c>
      <c r="E3716" s="376">
        <v>2031</v>
      </c>
      <c r="F3716" s="376">
        <v>0.40444272241720852</v>
      </c>
      <c r="G3716" s="376">
        <v>8848.5269568257354</v>
      </c>
      <c r="H3716" s="376">
        <v>0.28493994567377445</v>
      </c>
      <c r="I3716" s="376">
        <v>0.85</v>
      </c>
    </row>
    <row r="3717" spans="1:9" x14ac:dyDescent="0.35">
      <c r="A3717" s="376" t="s">
        <v>1613</v>
      </c>
      <c r="B3717" s="376" t="s">
        <v>1609</v>
      </c>
      <c r="C3717" s="376" t="s">
        <v>1054</v>
      </c>
      <c r="D3717" s="376">
        <v>2031</v>
      </c>
      <c r="E3717" s="376">
        <v>2031</v>
      </c>
      <c r="F3717" s="376">
        <v>0.40444272241720852</v>
      </c>
      <c r="G3717" s="376">
        <v>8848.5269568257354</v>
      </c>
      <c r="H3717" s="376">
        <v>0.28493994567377445</v>
      </c>
      <c r="I3717" s="376">
        <v>0.85</v>
      </c>
    </row>
    <row r="3718" spans="1:9" x14ac:dyDescent="0.35">
      <c r="A3718" s="376" t="s">
        <v>1614</v>
      </c>
      <c r="B3718" s="376" t="s">
        <v>1609</v>
      </c>
      <c r="C3718" s="376" t="s">
        <v>1046</v>
      </c>
      <c r="D3718" s="376">
        <v>2031</v>
      </c>
      <c r="E3718" s="376">
        <v>2031</v>
      </c>
      <c r="F3718" s="376">
        <v>0.28070162831646173</v>
      </c>
      <c r="G3718" s="376">
        <v>6454.3984013550207</v>
      </c>
      <c r="H3718" s="376">
        <v>0.28493994567377445</v>
      </c>
      <c r="I3718" s="376">
        <v>0.85</v>
      </c>
    </row>
    <row r="3719" spans="1:9" x14ac:dyDescent="0.35">
      <c r="A3719" s="376" t="s">
        <v>1614</v>
      </c>
      <c r="B3719" s="376" t="s">
        <v>1609</v>
      </c>
      <c r="C3719" s="376" t="s">
        <v>644</v>
      </c>
      <c r="D3719" s="376">
        <v>2031</v>
      </c>
      <c r="E3719" s="376">
        <v>2031</v>
      </c>
      <c r="F3719" s="376">
        <v>0.28070162831646173</v>
      </c>
      <c r="G3719" s="376">
        <v>6454.3984013550207</v>
      </c>
      <c r="H3719" s="376">
        <v>0.28493994567377445</v>
      </c>
      <c r="I3719" s="376">
        <v>0.85</v>
      </c>
    </row>
    <row r="3720" spans="1:9" x14ac:dyDescent="0.35">
      <c r="A3720" s="376" t="s">
        <v>1614</v>
      </c>
      <c r="B3720" s="376" t="s">
        <v>1609</v>
      </c>
      <c r="C3720" s="376" t="s">
        <v>628</v>
      </c>
      <c r="D3720" s="376">
        <v>2031</v>
      </c>
      <c r="E3720" s="376">
        <v>2031</v>
      </c>
      <c r="F3720" s="376">
        <v>0.28070162831646173</v>
      </c>
      <c r="G3720" s="376">
        <v>6454.3984013550207</v>
      </c>
      <c r="H3720" s="376">
        <v>0.28493994567377445</v>
      </c>
      <c r="I3720" s="376">
        <v>0.85</v>
      </c>
    </row>
    <row r="3721" spans="1:9" x14ac:dyDescent="0.35">
      <c r="A3721" s="376" t="s">
        <v>1614</v>
      </c>
      <c r="B3721" s="376" t="s">
        <v>1609</v>
      </c>
      <c r="C3721" s="376" t="s">
        <v>1051</v>
      </c>
      <c r="D3721" s="376">
        <v>2031</v>
      </c>
      <c r="E3721" s="376">
        <v>2031</v>
      </c>
      <c r="F3721" s="376">
        <v>0.28070162831646173</v>
      </c>
      <c r="G3721" s="376">
        <v>6454.3984013550207</v>
      </c>
      <c r="H3721" s="376">
        <v>0.28493994567377445</v>
      </c>
      <c r="I3721" s="376">
        <v>0.85</v>
      </c>
    </row>
    <row r="3722" spans="1:9" x14ac:dyDescent="0.35">
      <c r="A3722" s="376" t="s">
        <v>1614</v>
      </c>
      <c r="B3722" s="376" t="s">
        <v>1609</v>
      </c>
      <c r="C3722" s="376" t="s">
        <v>1054</v>
      </c>
      <c r="D3722" s="376">
        <v>2031</v>
      </c>
      <c r="E3722" s="376">
        <v>2031</v>
      </c>
      <c r="F3722" s="376">
        <v>0.28070162831646173</v>
      </c>
      <c r="G3722" s="376">
        <v>6454.3984013550207</v>
      </c>
      <c r="H3722" s="376">
        <v>0.28493994567377445</v>
      </c>
      <c r="I3722" s="376">
        <v>0.85</v>
      </c>
    </row>
    <row r="3723" spans="1:9" x14ac:dyDescent="0.35">
      <c r="A3723" s="376" t="s">
        <v>1604</v>
      </c>
      <c r="B3723" s="376" t="s">
        <v>1609</v>
      </c>
      <c r="C3723" s="376" t="s">
        <v>1046</v>
      </c>
      <c r="D3723" s="376">
        <v>2031</v>
      </c>
      <c r="E3723" s="376">
        <v>2031</v>
      </c>
      <c r="F3723" s="376">
        <v>1</v>
      </c>
      <c r="G3723" s="376">
        <v>10872.741503138899</v>
      </c>
      <c r="H3723" s="376">
        <v>0</v>
      </c>
      <c r="I3723" s="376">
        <v>1</v>
      </c>
    </row>
    <row r="3724" spans="1:9" x14ac:dyDescent="0.35">
      <c r="A3724" s="376" t="s">
        <v>1604</v>
      </c>
      <c r="B3724" s="376" t="s">
        <v>1609</v>
      </c>
      <c r="C3724" s="376" t="s">
        <v>644</v>
      </c>
      <c r="D3724" s="376">
        <v>2031</v>
      </c>
      <c r="E3724" s="376">
        <v>2031</v>
      </c>
      <c r="F3724" s="376">
        <v>1</v>
      </c>
      <c r="G3724" s="376">
        <v>10872.741503138899</v>
      </c>
      <c r="H3724" s="376">
        <v>0</v>
      </c>
      <c r="I3724" s="376">
        <v>1</v>
      </c>
    </row>
    <row r="3725" spans="1:9" x14ac:dyDescent="0.35">
      <c r="A3725" s="376" t="s">
        <v>1604</v>
      </c>
      <c r="B3725" s="376" t="s">
        <v>1609</v>
      </c>
      <c r="C3725" s="376" t="s">
        <v>628</v>
      </c>
      <c r="D3725" s="376">
        <v>2031</v>
      </c>
      <c r="E3725" s="376">
        <v>2031</v>
      </c>
      <c r="F3725" s="376">
        <v>1</v>
      </c>
      <c r="G3725" s="376">
        <v>10872.741503138899</v>
      </c>
      <c r="H3725" s="376">
        <v>0</v>
      </c>
      <c r="I3725" s="376">
        <v>1</v>
      </c>
    </row>
    <row r="3726" spans="1:9" x14ac:dyDescent="0.35">
      <c r="A3726" s="376" t="s">
        <v>1604</v>
      </c>
      <c r="B3726" s="376" t="s">
        <v>1609</v>
      </c>
      <c r="C3726" s="376" t="s">
        <v>1051</v>
      </c>
      <c r="D3726" s="376">
        <v>2031</v>
      </c>
      <c r="E3726" s="376">
        <v>2031</v>
      </c>
      <c r="F3726" s="376">
        <v>1</v>
      </c>
      <c r="G3726" s="376">
        <v>10872.741503138899</v>
      </c>
      <c r="H3726" s="376">
        <v>0</v>
      </c>
      <c r="I3726" s="376">
        <v>1</v>
      </c>
    </row>
    <row r="3727" spans="1:9" x14ac:dyDescent="0.35">
      <c r="A3727" s="376" t="s">
        <v>1604</v>
      </c>
      <c r="B3727" s="376" t="s">
        <v>1609</v>
      </c>
      <c r="C3727" s="376" t="s">
        <v>1054</v>
      </c>
      <c r="D3727" s="376">
        <v>2031</v>
      </c>
      <c r="E3727" s="376">
        <v>2031</v>
      </c>
      <c r="F3727" s="376">
        <v>1</v>
      </c>
      <c r="G3727" s="376">
        <v>10872.741503138899</v>
      </c>
      <c r="H3727" s="376">
        <v>0</v>
      </c>
      <c r="I3727" s="376">
        <v>1</v>
      </c>
    </row>
    <row r="3728" spans="1:9" x14ac:dyDescent="0.35">
      <c r="A3728" s="376" t="s">
        <v>1615</v>
      </c>
      <c r="B3728" s="376" t="s">
        <v>1609</v>
      </c>
      <c r="C3728" s="376" t="s">
        <v>1046</v>
      </c>
      <c r="D3728" s="376">
        <v>2031</v>
      </c>
      <c r="E3728" s="376">
        <v>2031</v>
      </c>
      <c r="F3728" s="376">
        <v>1</v>
      </c>
      <c r="G3728" s="376">
        <v>20148.813739673951</v>
      </c>
      <c r="H3728" s="376">
        <v>0</v>
      </c>
      <c r="I3728" s="376">
        <v>0.65716939790195539</v>
      </c>
    </row>
    <row r="3729" spans="1:9" x14ac:dyDescent="0.35">
      <c r="A3729" s="376" t="s">
        <v>1615</v>
      </c>
      <c r="B3729" s="376" t="s">
        <v>1609</v>
      </c>
      <c r="C3729" s="376" t="s">
        <v>644</v>
      </c>
      <c r="D3729" s="376">
        <v>2031</v>
      </c>
      <c r="E3729" s="376">
        <v>2031</v>
      </c>
      <c r="F3729" s="376">
        <v>1</v>
      </c>
      <c r="G3729" s="376">
        <v>20148.813739673951</v>
      </c>
      <c r="H3729" s="376">
        <v>0</v>
      </c>
      <c r="I3729" s="376">
        <v>0.65716939790195539</v>
      </c>
    </row>
    <row r="3730" spans="1:9" x14ac:dyDescent="0.35">
      <c r="A3730" s="376" t="s">
        <v>1615</v>
      </c>
      <c r="B3730" s="376" t="s">
        <v>1609</v>
      </c>
      <c r="C3730" s="376" t="s">
        <v>628</v>
      </c>
      <c r="D3730" s="376">
        <v>2031</v>
      </c>
      <c r="E3730" s="376">
        <v>2031</v>
      </c>
      <c r="F3730" s="376">
        <v>1</v>
      </c>
      <c r="G3730" s="376">
        <v>20148.813739673951</v>
      </c>
      <c r="H3730" s="376">
        <v>0</v>
      </c>
      <c r="I3730" s="376">
        <v>0.65716939790195539</v>
      </c>
    </row>
    <row r="3731" spans="1:9" x14ac:dyDescent="0.35">
      <c r="A3731" s="376" t="s">
        <v>1615</v>
      </c>
      <c r="B3731" s="376" t="s">
        <v>1609</v>
      </c>
      <c r="C3731" s="376" t="s">
        <v>1051</v>
      </c>
      <c r="D3731" s="376">
        <v>2031</v>
      </c>
      <c r="E3731" s="376">
        <v>2031</v>
      </c>
      <c r="F3731" s="376">
        <v>1</v>
      </c>
      <c r="G3731" s="376">
        <v>20148.813739673951</v>
      </c>
      <c r="H3731" s="376">
        <v>0</v>
      </c>
      <c r="I3731" s="376">
        <v>0.65716939790195539</v>
      </c>
    </row>
    <row r="3732" spans="1:9" x14ac:dyDescent="0.35">
      <c r="A3732" s="376" t="s">
        <v>1615</v>
      </c>
      <c r="B3732" s="376" t="s">
        <v>1609</v>
      </c>
      <c r="C3732" s="376" t="s">
        <v>1054</v>
      </c>
      <c r="D3732" s="376">
        <v>2031</v>
      </c>
      <c r="E3732" s="376">
        <v>2031</v>
      </c>
      <c r="F3732" s="376">
        <v>1</v>
      </c>
      <c r="G3732" s="376">
        <v>20148.813739673951</v>
      </c>
      <c r="H3732" s="376">
        <v>0</v>
      </c>
      <c r="I3732" s="376">
        <v>0.65716939790195539</v>
      </c>
    </row>
    <row r="3733" spans="1:9" x14ac:dyDescent="0.35">
      <c r="A3733" s="376" t="s">
        <v>1603</v>
      </c>
      <c r="B3733" s="376" t="s">
        <v>1609</v>
      </c>
      <c r="C3733" s="376" t="s">
        <v>1046</v>
      </c>
      <c r="D3733" s="376">
        <v>2031</v>
      </c>
      <c r="E3733" s="376">
        <v>2031</v>
      </c>
      <c r="F3733" s="376">
        <v>1</v>
      </c>
      <c r="G3733" s="376">
        <v>6101.463203368502</v>
      </c>
      <c r="H3733" s="376">
        <v>0</v>
      </c>
      <c r="I3733" s="376">
        <v>1</v>
      </c>
    </row>
    <row r="3734" spans="1:9" x14ac:dyDescent="0.35">
      <c r="A3734" s="376" t="s">
        <v>1603</v>
      </c>
      <c r="B3734" s="376" t="s">
        <v>1609</v>
      </c>
      <c r="C3734" s="376" t="s">
        <v>644</v>
      </c>
      <c r="D3734" s="376">
        <v>2031</v>
      </c>
      <c r="E3734" s="376">
        <v>2031</v>
      </c>
      <c r="F3734" s="376">
        <v>1</v>
      </c>
      <c r="G3734" s="376">
        <v>6101.463203368502</v>
      </c>
      <c r="H3734" s="376">
        <v>0</v>
      </c>
      <c r="I3734" s="376">
        <v>1</v>
      </c>
    </row>
    <row r="3735" spans="1:9" x14ac:dyDescent="0.35">
      <c r="A3735" s="376" t="s">
        <v>1603</v>
      </c>
      <c r="B3735" s="376" t="s">
        <v>1609</v>
      </c>
      <c r="C3735" s="376" t="s">
        <v>628</v>
      </c>
      <c r="D3735" s="376">
        <v>2031</v>
      </c>
      <c r="E3735" s="376">
        <v>2031</v>
      </c>
      <c r="F3735" s="376">
        <v>1</v>
      </c>
      <c r="G3735" s="376">
        <v>6101.463203368502</v>
      </c>
      <c r="H3735" s="376">
        <v>0</v>
      </c>
      <c r="I3735" s="376">
        <v>1</v>
      </c>
    </row>
    <row r="3736" spans="1:9" x14ac:dyDescent="0.35">
      <c r="A3736" s="376" t="s">
        <v>1603</v>
      </c>
      <c r="B3736" s="376" t="s">
        <v>1609</v>
      </c>
      <c r="C3736" s="376" t="s">
        <v>1051</v>
      </c>
      <c r="D3736" s="376">
        <v>2031</v>
      </c>
      <c r="E3736" s="376">
        <v>2031</v>
      </c>
      <c r="F3736" s="376">
        <v>1</v>
      </c>
      <c r="G3736" s="376">
        <v>6101.463203368502</v>
      </c>
      <c r="H3736" s="376">
        <v>0</v>
      </c>
      <c r="I3736" s="376">
        <v>1</v>
      </c>
    </row>
    <row r="3737" spans="1:9" x14ac:dyDescent="0.35">
      <c r="A3737" s="376" t="s">
        <v>1603</v>
      </c>
      <c r="B3737" s="376" t="s">
        <v>1609</v>
      </c>
      <c r="C3737" s="376" t="s">
        <v>1054</v>
      </c>
      <c r="D3737" s="376">
        <v>2031</v>
      </c>
      <c r="E3737" s="376">
        <v>2031</v>
      </c>
      <c r="F3737" s="376">
        <v>1</v>
      </c>
      <c r="G3737" s="376">
        <v>6101.463203368502</v>
      </c>
      <c r="H3737" s="376">
        <v>0</v>
      </c>
      <c r="I3737" s="376">
        <v>1</v>
      </c>
    </row>
    <row r="3738" spans="1:9" x14ac:dyDescent="0.35">
      <c r="A3738" s="376" t="s">
        <v>1605</v>
      </c>
      <c r="B3738" s="376" t="s">
        <v>1609</v>
      </c>
      <c r="C3738" s="376" t="s">
        <v>1046</v>
      </c>
      <c r="D3738" s="376">
        <v>2031</v>
      </c>
      <c r="E3738" s="376">
        <v>2031</v>
      </c>
      <c r="F3738" s="376">
        <v>0.23884589662749595</v>
      </c>
      <c r="G3738" s="376">
        <v>10426.102375692073</v>
      </c>
      <c r="H3738" s="376">
        <v>0</v>
      </c>
      <c r="I3738" s="376">
        <v>1</v>
      </c>
    </row>
    <row r="3739" spans="1:9" x14ac:dyDescent="0.35">
      <c r="A3739" s="376" t="s">
        <v>1605</v>
      </c>
      <c r="B3739" s="376" t="s">
        <v>1609</v>
      </c>
      <c r="C3739" s="376" t="s">
        <v>644</v>
      </c>
      <c r="D3739" s="376">
        <v>2031</v>
      </c>
      <c r="E3739" s="376">
        <v>2031</v>
      </c>
      <c r="F3739" s="376">
        <v>0.23884589662749595</v>
      </c>
      <c r="G3739" s="376">
        <v>10426.102375692073</v>
      </c>
      <c r="H3739" s="376">
        <v>0</v>
      </c>
      <c r="I3739" s="376">
        <v>1</v>
      </c>
    </row>
    <row r="3740" spans="1:9" x14ac:dyDescent="0.35">
      <c r="A3740" s="376" t="s">
        <v>1605</v>
      </c>
      <c r="B3740" s="376" t="s">
        <v>1609</v>
      </c>
      <c r="C3740" s="376" t="s">
        <v>628</v>
      </c>
      <c r="D3740" s="376">
        <v>2031</v>
      </c>
      <c r="E3740" s="376">
        <v>2031</v>
      </c>
      <c r="F3740" s="376">
        <v>0.23884589662749595</v>
      </c>
      <c r="G3740" s="376">
        <v>10426.102375692073</v>
      </c>
      <c r="H3740" s="376">
        <v>0</v>
      </c>
      <c r="I3740" s="376">
        <v>1</v>
      </c>
    </row>
    <row r="3741" spans="1:9" x14ac:dyDescent="0.35">
      <c r="A3741" s="376" t="s">
        <v>1605</v>
      </c>
      <c r="B3741" s="376" t="s">
        <v>1609</v>
      </c>
      <c r="C3741" s="376" t="s">
        <v>1051</v>
      </c>
      <c r="D3741" s="376">
        <v>2031</v>
      </c>
      <c r="E3741" s="376">
        <v>2031</v>
      </c>
      <c r="F3741" s="376">
        <v>0.23884589662749595</v>
      </c>
      <c r="G3741" s="376">
        <v>10426.102375692073</v>
      </c>
      <c r="H3741" s="376">
        <v>0</v>
      </c>
      <c r="I3741" s="376">
        <v>1</v>
      </c>
    </row>
    <row r="3742" spans="1:9" x14ac:dyDescent="0.35">
      <c r="A3742" s="376" t="s">
        <v>1605</v>
      </c>
      <c r="B3742" s="376" t="s">
        <v>1609</v>
      </c>
      <c r="C3742" s="376" t="s">
        <v>1054</v>
      </c>
      <c r="D3742" s="376">
        <v>2031</v>
      </c>
      <c r="E3742" s="376">
        <v>2031</v>
      </c>
      <c r="F3742" s="376">
        <v>0.23884589662749595</v>
      </c>
      <c r="G3742" s="376">
        <v>10426.102375692073</v>
      </c>
      <c r="H3742" s="376">
        <v>0</v>
      </c>
      <c r="I3742" s="376">
        <v>1</v>
      </c>
    </row>
    <row r="3743" spans="1:9" x14ac:dyDescent="0.35">
      <c r="A3743" s="376" t="s">
        <v>1636</v>
      </c>
      <c r="B3743" s="376" t="s">
        <v>1609</v>
      </c>
      <c r="C3743" s="376" t="s">
        <v>1046</v>
      </c>
      <c r="D3743" s="376">
        <v>2031</v>
      </c>
      <c r="E3743" s="376">
        <v>2031</v>
      </c>
      <c r="F3743" s="376">
        <v>1</v>
      </c>
      <c r="G3743" s="376">
        <v>3118.8058356640454</v>
      </c>
      <c r="H3743" s="376">
        <v>0</v>
      </c>
      <c r="I3743" s="376">
        <v>1</v>
      </c>
    </row>
    <row r="3744" spans="1:9" x14ac:dyDescent="0.35">
      <c r="A3744" s="376" t="s">
        <v>1636</v>
      </c>
      <c r="B3744" s="376" t="s">
        <v>1609</v>
      </c>
      <c r="C3744" s="376" t="s">
        <v>644</v>
      </c>
      <c r="D3744" s="376">
        <v>2031</v>
      </c>
      <c r="E3744" s="376">
        <v>2031</v>
      </c>
      <c r="F3744" s="376">
        <v>1</v>
      </c>
      <c r="G3744" s="376">
        <v>3118.8058356640454</v>
      </c>
      <c r="H3744" s="376">
        <v>0</v>
      </c>
      <c r="I3744" s="376">
        <v>1</v>
      </c>
    </row>
    <row r="3745" spans="1:9" x14ac:dyDescent="0.35">
      <c r="A3745" s="376" t="s">
        <v>1636</v>
      </c>
      <c r="B3745" s="376" t="s">
        <v>1609</v>
      </c>
      <c r="C3745" s="376" t="s">
        <v>628</v>
      </c>
      <c r="D3745" s="376">
        <v>2031</v>
      </c>
      <c r="E3745" s="376">
        <v>2031</v>
      </c>
      <c r="F3745" s="376">
        <v>1</v>
      </c>
      <c r="G3745" s="376">
        <v>3118.8058356640454</v>
      </c>
      <c r="H3745" s="376">
        <v>0</v>
      </c>
      <c r="I3745" s="376">
        <v>1</v>
      </c>
    </row>
    <row r="3746" spans="1:9" x14ac:dyDescent="0.35">
      <c r="A3746" s="376" t="s">
        <v>1636</v>
      </c>
      <c r="B3746" s="376" t="s">
        <v>1609</v>
      </c>
      <c r="C3746" s="376" t="s">
        <v>1051</v>
      </c>
      <c r="D3746" s="376">
        <v>2031</v>
      </c>
      <c r="E3746" s="376">
        <v>2031</v>
      </c>
      <c r="F3746" s="376">
        <v>1</v>
      </c>
      <c r="G3746" s="376">
        <v>3118.8058356640454</v>
      </c>
      <c r="H3746" s="376">
        <v>0</v>
      </c>
      <c r="I3746" s="376">
        <v>1</v>
      </c>
    </row>
    <row r="3747" spans="1:9" x14ac:dyDescent="0.35">
      <c r="A3747" s="376" t="s">
        <v>1636</v>
      </c>
      <c r="B3747" s="376" t="s">
        <v>1609</v>
      </c>
      <c r="C3747" s="376" t="s">
        <v>1054</v>
      </c>
      <c r="D3747" s="376">
        <v>2031</v>
      </c>
      <c r="E3747" s="376">
        <v>2031</v>
      </c>
      <c r="F3747" s="376">
        <v>1</v>
      </c>
      <c r="G3747" s="376">
        <v>3118.8058356640454</v>
      </c>
      <c r="H3747" s="376">
        <v>0</v>
      </c>
      <c r="I3747" s="376">
        <v>1</v>
      </c>
    </row>
    <row r="3748" spans="1:9" x14ac:dyDescent="0.35">
      <c r="A3748" s="376" t="s">
        <v>1606</v>
      </c>
      <c r="B3748" s="376" t="s">
        <v>1609</v>
      </c>
      <c r="C3748" s="376" t="s">
        <v>1046</v>
      </c>
      <c r="D3748" s="376">
        <v>2031</v>
      </c>
      <c r="E3748" s="376">
        <v>2031</v>
      </c>
      <c r="F3748" s="376">
        <v>1</v>
      </c>
      <c r="G3748" s="376">
        <v>5586.2042778354153</v>
      </c>
      <c r="H3748" s="376">
        <v>0</v>
      </c>
      <c r="I3748" s="376">
        <v>1</v>
      </c>
    </row>
    <row r="3749" spans="1:9" x14ac:dyDescent="0.35">
      <c r="A3749" s="376" t="s">
        <v>1606</v>
      </c>
      <c r="B3749" s="376" t="s">
        <v>1609</v>
      </c>
      <c r="C3749" s="376" t="s">
        <v>644</v>
      </c>
      <c r="D3749" s="376">
        <v>2031</v>
      </c>
      <c r="E3749" s="376">
        <v>2031</v>
      </c>
      <c r="F3749" s="376">
        <v>1</v>
      </c>
      <c r="G3749" s="376">
        <v>5586.2042778354153</v>
      </c>
      <c r="H3749" s="376">
        <v>0</v>
      </c>
      <c r="I3749" s="376">
        <v>1</v>
      </c>
    </row>
    <row r="3750" spans="1:9" x14ac:dyDescent="0.35">
      <c r="A3750" s="376" t="s">
        <v>1606</v>
      </c>
      <c r="B3750" s="376" t="s">
        <v>1609</v>
      </c>
      <c r="C3750" s="376" t="s">
        <v>628</v>
      </c>
      <c r="D3750" s="376">
        <v>2031</v>
      </c>
      <c r="E3750" s="376">
        <v>2031</v>
      </c>
      <c r="F3750" s="376">
        <v>1</v>
      </c>
      <c r="G3750" s="376">
        <v>5586.2042778354153</v>
      </c>
      <c r="H3750" s="376">
        <v>0</v>
      </c>
      <c r="I3750" s="376">
        <v>1</v>
      </c>
    </row>
    <row r="3751" spans="1:9" x14ac:dyDescent="0.35">
      <c r="A3751" s="376" t="s">
        <v>1606</v>
      </c>
      <c r="B3751" s="376" t="s">
        <v>1609</v>
      </c>
      <c r="C3751" s="376" t="s">
        <v>1051</v>
      </c>
      <c r="D3751" s="376">
        <v>2031</v>
      </c>
      <c r="E3751" s="376">
        <v>2031</v>
      </c>
      <c r="F3751" s="376">
        <v>1</v>
      </c>
      <c r="G3751" s="376">
        <v>5586.2042778354153</v>
      </c>
      <c r="H3751" s="376">
        <v>0</v>
      </c>
      <c r="I3751" s="376">
        <v>1</v>
      </c>
    </row>
    <row r="3752" spans="1:9" x14ac:dyDescent="0.35">
      <c r="A3752" s="376" t="s">
        <v>1606</v>
      </c>
      <c r="B3752" s="376" t="s">
        <v>1609</v>
      </c>
      <c r="C3752" s="376" t="s">
        <v>1054</v>
      </c>
      <c r="D3752" s="376">
        <v>2031</v>
      </c>
      <c r="E3752" s="376">
        <v>2031</v>
      </c>
      <c r="F3752" s="376">
        <v>1</v>
      </c>
      <c r="G3752" s="376">
        <v>5586.2042778354153</v>
      </c>
      <c r="H3752" s="376">
        <v>0</v>
      </c>
      <c r="I3752" s="376">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3752"/>
  <sheetViews>
    <sheetView workbookViewId="0"/>
  </sheetViews>
  <sheetFormatPr defaultRowHeight="14.5" x14ac:dyDescent="0.35"/>
  <cols>
    <col min="1" max="1" width="16.90625" bestFit="1" customWidth="1"/>
    <col min="2" max="2" width="17.6328125" bestFit="1" customWidth="1"/>
    <col min="3" max="3" width="16.36328125" bestFit="1" customWidth="1"/>
    <col min="4" max="4" width="10" bestFit="1" customWidth="1"/>
    <col min="5" max="5" width="6.81640625" bestFit="1" customWidth="1"/>
    <col min="6" max="8" width="11.81640625" bestFit="1" customWidth="1"/>
    <col min="9" max="9" width="14.81640625" style="304" bestFit="1" customWidth="1"/>
  </cols>
  <sheetData>
    <row r="1" spans="1:9" x14ac:dyDescent="0.35">
      <c r="A1" s="376" t="s">
        <v>1561</v>
      </c>
      <c r="B1" s="376" t="s">
        <v>1562</v>
      </c>
      <c r="C1" s="376" t="s">
        <v>1563</v>
      </c>
      <c r="D1" s="376" t="s">
        <v>1619</v>
      </c>
      <c r="E1" s="376" t="s">
        <v>180</v>
      </c>
      <c r="F1" s="376" t="s">
        <v>1649</v>
      </c>
      <c r="G1" s="376" t="s">
        <v>1646</v>
      </c>
      <c r="H1" s="376" t="s">
        <v>1648</v>
      </c>
      <c r="I1" s="376" t="s">
        <v>1879</v>
      </c>
    </row>
    <row r="2" spans="1:9" x14ac:dyDescent="0.35">
      <c r="A2" s="376" t="s">
        <v>1840</v>
      </c>
      <c r="B2" s="376" t="s">
        <v>1609</v>
      </c>
      <c r="C2" s="376"/>
      <c r="D2" s="376">
        <v>2020</v>
      </c>
      <c r="E2" s="376">
        <v>2021</v>
      </c>
      <c r="F2" s="376">
        <v>0.98</v>
      </c>
      <c r="G2" s="376">
        <v>5705.3347119527834</v>
      </c>
      <c r="H2" s="376">
        <v>6889.2709138217533</v>
      </c>
      <c r="I2" s="376">
        <v>1</v>
      </c>
    </row>
    <row r="3" spans="1:9" x14ac:dyDescent="0.35">
      <c r="A3" s="376" t="s">
        <v>1840</v>
      </c>
      <c r="B3" s="376" t="s">
        <v>1609</v>
      </c>
      <c r="C3" s="376"/>
      <c r="D3" s="376">
        <v>2020</v>
      </c>
      <c r="E3" s="376">
        <v>2022</v>
      </c>
      <c r="F3" s="376">
        <v>0.98</v>
      </c>
      <c r="G3" s="376">
        <v>5705.3347119527834</v>
      </c>
      <c r="H3" s="376">
        <v>6889.2709138217533</v>
      </c>
      <c r="I3" s="376">
        <v>1</v>
      </c>
    </row>
    <row r="4" spans="1:9" x14ac:dyDescent="0.35">
      <c r="A4" s="376" t="s">
        <v>1840</v>
      </c>
      <c r="B4" s="376" t="s">
        <v>1609</v>
      </c>
      <c r="C4" s="376"/>
      <c r="D4" s="376">
        <v>2020</v>
      </c>
      <c r="E4" s="376">
        <v>2023</v>
      </c>
      <c r="F4" s="376">
        <v>0.98</v>
      </c>
      <c r="G4" s="376">
        <v>5705.3347119527834</v>
      </c>
      <c r="H4" s="376">
        <v>6889.2709138217533</v>
      </c>
      <c r="I4" s="376">
        <v>1</v>
      </c>
    </row>
    <row r="5" spans="1:9" x14ac:dyDescent="0.35">
      <c r="A5" s="376" t="s">
        <v>1840</v>
      </c>
      <c r="B5" s="376" t="s">
        <v>1609</v>
      </c>
      <c r="C5" s="376"/>
      <c r="D5" s="376">
        <v>2020</v>
      </c>
      <c r="E5" s="376">
        <v>2024</v>
      </c>
      <c r="F5" s="376">
        <v>0.98</v>
      </c>
      <c r="G5" s="376">
        <v>5705.3347119527834</v>
      </c>
      <c r="H5" s="376">
        <v>6889.2709138217533</v>
      </c>
      <c r="I5" s="376">
        <v>1</v>
      </c>
    </row>
    <row r="6" spans="1:9" x14ac:dyDescent="0.35">
      <c r="A6" s="376" t="s">
        <v>1840</v>
      </c>
      <c r="B6" s="376" t="s">
        <v>1609</v>
      </c>
      <c r="C6" s="376"/>
      <c r="D6" s="376">
        <v>2020</v>
      </c>
      <c r="E6" s="376">
        <v>2025</v>
      </c>
      <c r="F6" s="376">
        <v>0.98</v>
      </c>
      <c r="G6" s="376">
        <v>5705.3347119527834</v>
      </c>
      <c r="H6" s="376">
        <v>6889.2709138217533</v>
      </c>
      <c r="I6" s="376">
        <v>1</v>
      </c>
    </row>
    <row r="7" spans="1:9" x14ac:dyDescent="0.35">
      <c r="A7" s="376" t="s">
        <v>1840</v>
      </c>
      <c r="B7" s="376" t="s">
        <v>1609</v>
      </c>
      <c r="C7" s="376"/>
      <c r="D7" s="376">
        <v>2020</v>
      </c>
      <c r="E7" s="376">
        <v>2026</v>
      </c>
      <c r="F7" s="376">
        <v>0.98</v>
      </c>
      <c r="G7" s="376">
        <v>5705.3347119527834</v>
      </c>
      <c r="H7" s="376">
        <v>6889.2709138217533</v>
      </c>
      <c r="I7" s="376">
        <v>1</v>
      </c>
    </row>
    <row r="8" spans="1:9" x14ac:dyDescent="0.35">
      <c r="A8" s="376" t="s">
        <v>1840</v>
      </c>
      <c r="B8" s="376" t="s">
        <v>1609</v>
      </c>
      <c r="C8" s="376"/>
      <c r="D8" s="376">
        <v>2020</v>
      </c>
      <c r="E8" s="376">
        <v>2027</v>
      </c>
      <c r="F8" s="376">
        <v>0.98</v>
      </c>
      <c r="G8" s="376">
        <v>5705.3347119527834</v>
      </c>
      <c r="H8" s="376">
        <v>6889.2709138217533</v>
      </c>
      <c r="I8" s="376">
        <v>1</v>
      </c>
    </row>
    <row r="9" spans="1:9" x14ac:dyDescent="0.35">
      <c r="A9" s="376" t="s">
        <v>1840</v>
      </c>
      <c r="B9" s="376" t="s">
        <v>1609</v>
      </c>
      <c r="C9" s="376"/>
      <c r="D9" s="376">
        <v>2020</v>
      </c>
      <c r="E9" s="376">
        <v>2028</v>
      </c>
      <c r="F9" s="376">
        <v>0.98</v>
      </c>
      <c r="G9" s="376">
        <v>5705.3347119527834</v>
      </c>
      <c r="H9" s="376">
        <v>6889.2709138217533</v>
      </c>
      <c r="I9" s="376">
        <v>1</v>
      </c>
    </row>
    <row r="10" spans="1:9" x14ac:dyDescent="0.35">
      <c r="A10" s="376" t="s">
        <v>1840</v>
      </c>
      <c r="B10" s="376" t="s">
        <v>1609</v>
      </c>
      <c r="C10" s="376"/>
      <c r="D10" s="376">
        <v>2020</v>
      </c>
      <c r="E10" s="376">
        <v>2029</v>
      </c>
      <c r="F10" s="376">
        <v>0.98</v>
      </c>
      <c r="G10" s="376">
        <v>5705.3347119527834</v>
      </c>
      <c r="H10" s="376">
        <v>6889.2709138217533</v>
      </c>
      <c r="I10" s="376">
        <v>1</v>
      </c>
    </row>
    <row r="11" spans="1:9" x14ac:dyDescent="0.35">
      <c r="A11" s="376" t="s">
        <v>1840</v>
      </c>
      <c r="B11" s="376" t="s">
        <v>1609</v>
      </c>
      <c r="C11" s="376"/>
      <c r="D11" s="376">
        <v>2020</v>
      </c>
      <c r="E11" s="376">
        <v>2030</v>
      </c>
      <c r="F11" s="376">
        <v>0.98</v>
      </c>
      <c r="G11" s="376">
        <v>5705.3347119527834</v>
      </c>
      <c r="H11" s="376">
        <v>6889.2709138217533</v>
      </c>
      <c r="I11" s="376">
        <v>1</v>
      </c>
    </row>
    <row r="12" spans="1:9" x14ac:dyDescent="0.35">
      <c r="A12" s="376" t="s">
        <v>1840</v>
      </c>
      <c r="B12" s="376" t="s">
        <v>1609</v>
      </c>
      <c r="C12" s="376"/>
      <c r="D12" s="376">
        <v>2020</v>
      </c>
      <c r="E12" s="376">
        <v>2031</v>
      </c>
      <c r="F12" s="376">
        <v>0.98</v>
      </c>
      <c r="G12" s="376">
        <v>5705.3347119527834</v>
      </c>
      <c r="H12" s="376">
        <v>6889.2709138217533</v>
      </c>
      <c r="I12" s="376">
        <v>1</v>
      </c>
    </row>
    <row r="13" spans="1:9" x14ac:dyDescent="0.35">
      <c r="A13" s="376" t="s">
        <v>1840</v>
      </c>
      <c r="B13" s="376" t="s">
        <v>1609</v>
      </c>
      <c r="C13" s="376"/>
      <c r="D13" s="376">
        <v>2021</v>
      </c>
      <c r="E13" s="376">
        <v>2021</v>
      </c>
      <c r="F13" s="376">
        <v>0.98</v>
      </c>
      <c r="G13" s="376">
        <v>5705.3347119527834</v>
      </c>
      <c r="H13" s="376">
        <v>6889.2709138217533</v>
      </c>
      <c r="I13" s="376">
        <v>1</v>
      </c>
    </row>
    <row r="14" spans="1:9" x14ac:dyDescent="0.35">
      <c r="A14" s="376" t="s">
        <v>1840</v>
      </c>
      <c r="B14" s="376" t="s">
        <v>1609</v>
      </c>
      <c r="C14" s="376"/>
      <c r="D14" s="376">
        <v>2021</v>
      </c>
      <c r="E14" s="376">
        <v>2022</v>
      </c>
      <c r="F14" s="376">
        <v>0.98</v>
      </c>
      <c r="G14" s="376">
        <v>5705.3347119527834</v>
      </c>
      <c r="H14" s="376">
        <v>6889.2709138217533</v>
      </c>
      <c r="I14" s="376">
        <v>1</v>
      </c>
    </row>
    <row r="15" spans="1:9" x14ac:dyDescent="0.35">
      <c r="A15" s="376" t="s">
        <v>1840</v>
      </c>
      <c r="B15" s="376" t="s">
        <v>1609</v>
      </c>
      <c r="C15" s="376"/>
      <c r="D15" s="376">
        <v>2022</v>
      </c>
      <c r="E15" s="376">
        <v>2022</v>
      </c>
      <c r="F15" s="376">
        <v>0.98</v>
      </c>
      <c r="G15" s="376">
        <v>5705.3347119527834</v>
      </c>
      <c r="H15" s="376">
        <v>6889.2709138217533</v>
      </c>
      <c r="I15" s="376">
        <v>1</v>
      </c>
    </row>
    <row r="16" spans="1:9" x14ac:dyDescent="0.35">
      <c r="A16" s="376" t="s">
        <v>1840</v>
      </c>
      <c r="B16" s="376" t="s">
        <v>1609</v>
      </c>
      <c r="C16" s="376"/>
      <c r="D16" s="376">
        <v>2021</v>
      </c>
      <c r="E16" s="376">
        <v>2023</v>
      </c>
      <c r="F16" s="376">
        <v>0.98</v>
      </c>
      <c r="G16" s="376">
        <v>5705.3347119527834</v>
      </c>
      <c r="H16" s="376">
        <v>6889.2709138217533</v>
      </c>
      <c r="I16" s="376">
        <v>1</v>
      </c>
    </row>
    <row r="17" spans="1:9" x14ac:dyDescent="0.35">
      <c r="A17" s="376" t="s">
        <v>1840</v>
      </c>
      <c r="B17" s="376" t="s">
        <v>1609</v>
      </c>
      <c r="C17" s="376"/>
      <c r="D17" s="376">
        <v>2022</v>
      </c>
      <c r="E17" s="376">
        <v>2023</v>
      </c>
      <c r="F17" s="376">
        <v>0.98</v>
      </c>
      <c r="G17" s="376">
        <v>5705.3347119527834</v>
      </c>
      <c r="H17" s="376">
        <v>6889.2709138217533</v>
      </c>
      <c r="I17" s="376">
        <v>1</v>
      </c>
    </row>
    <row r="18" spans="1:9" x14ac:dyDescent="0.35">
      <c r="A18" s="376" t="s">
        <v>1840</v>
      </c>
      <c r="B18" s="376" t="s">
        <v>1609</v>
      </c>
      <c r="C18" s="376"/>
      <c r="D18" s="376">
        <v>2023</v>
      </c>
      <c r="E18" s="376">
        <v>2023</v>
      </c>
      <c r="F18" s="376">
        <v>0.98</v>
      </c>
      <c r="G18" s="376">
        <v>5705.3347119527834</v>
      </c>
      <c r="H18" s="376">
        <v>6889.2709138217533</v>
      </c>
      <c r="I18" s="376">
        <v>1</v>
      </c>
    </row>
    <row r="19" spans="1:9" x14ac:dyDescent="0.35">
      <c r="A19" s="376" t="s">
        <v>1840</v>
      </c>
      <c r="B19" s="376" t="s">
        <v>1609</v>
      </c>
      <c r="C19" s="376"/>
      <c r="D19" s="376">
        <v>2021</v>
      </c>
      <c r="E19" s="376">
        <v>2024</v>
      </c>
      <c r="F19" s="376">
        <v>0.98</v>
      </c>
      <c r="G19" s="376">
        <v>5705.3347119527834</v>
      </c>
      <c r="H19" s="376">
        <v>6889.2709138217533</v>
      </c>
      <c r="I19" s="376">
        <v>1</v>
      </c>
    </row>
    <row r="20" spans="1:9" x14ac:dyDescent="0.35">
      <c r="A20" s="376" t="s">
        <v>1840</v>
      </c>
      <c r="B20" s="376" t="s">
        <v>1609</v>
      </c>
      <c r="C20" s="376"/>
      <c r="D20" s="376">
        <v>2022</v>
      </c>
      <c r="E20" s="376">
        <v>2024</v>
      </c>
      <c r="F20" s="376">
        <v>0.98</v>
      </c>
      <c r="G20" s="376">
        <v>5705.3347119527834</v>
      </c>
      <c r="H20" s="376">
        <v>6889.2709138217533</v>
      </c>
      <c r="I20" s="376">
        <v>1</v>
      </c>
    </row>
    <row r="21" spans="1:9" x14ac:dyDescent="0.35">
      <c r="A21" s="376" t="s">
        <v>1840</v>
      </c>
      <c r="B21" s="376" t="s">
        <v>1609</v>
      </c>
      <c r="C21" s="376"/>
      <c r="D21" s="376">
        <v>2023</v>
      </c>
      <c r="E21" s="376">
        <v>2024</v>
      </c>
      <c r="F21" s="376">
        <v>0.98</v>
      </c>
      <c r="G21" s="376">
        <v>5705.3347119527834</v>
      </c>
      <c r="H21" s="376">
        <v>6889.2709138217533</v>
      </c>
      <c r="I21" s="376">
        <v>1</v>
      </c>
    </row>
    <row r="22" spans="1:9" x14ac:dyDescent="0.35">
      <c r="A22" s="376" t="s">
        <v>1840</v>
      </c>
      <c r="B22" s="376" t="s">
        <v>1609</v>
      </c>
      <c r="C22" s="376"/>
      <c r="D22" s="376">
        <v>2024</v>
      </c>
      <c r="E22" s="376">
        <v>2024</v>
      </c>
      <c r="F22" s="376">
        <v>0.98</v>
      </c>
      <c r="G22" s="376">
        <v>5705.3347119527834</v>
      </c>
      <c r="H22" s="376">
        <v>6889.2709138217533</v>
      </c>
      <c r="I22" s="376">
        <v>1</v>
      </c>
    </row>
    <row r="23" spans="1:9" x14ac:dyDescent="0.35">
      <c r="A23" s="376" t="s">
        <v>1840</v>
      </c>
      <c r="B23" s="376" t="s">
        <v>1609</v>
      </c>
      <c r="C23" s="376"/>
      <c r="D23" s="376">
        <v>2021</v>
      </c>
      <c r="E23" s="376">
        <v>2025</v>
      </c>
      <c r="F23" s="376">
        <v>0.98</v>
      </c>
      <c r="G23" s="376">
        <v>5705.3347119527834</v>
      </c>
      <c r="H23" s="376">
        <v>6889.2709138217533</v>
      </c>
      <c r="I23" s="376">
        <v>1</v>
      </c>
    </row>
    <row r="24" spans="1:9" x14ac:dyDescent="0.35">
      <c r="A24" s="376" t="s">
        <v>1840</v>
      </c>
      <c r="B24" s="376" t="s">
        <v>1609</v>
      </c>
      <c r="C24" s="376"/>
      <c r="D24" s="376">
        <v>2022</v>
      </c>
      <c r="E24" s="376">
        <v>2025</v>
      </c>
      <c r="F24" s="376">
        <v>0.98</v>
      </c>
      <c r="G24" s="376">
        <v>5705.3347119527834</v>
      </c>
      <c r="H24" s="376">
        <v>6889.2709138217533</v>
      </c>
      <c r="I24" s="376">
        <v>1</v>
      </c>
    </row>
    <row r="25" spans="1:9" x14ac:dyDescent="0.35">
      <c r="A25" s="376" t="s">
        <v>1840</v>
      </c>
      <c r="B25" s="376" t="s">
        <v>1609</v>
      </c>
      <c r="C25" s="376"/>
      <c r="D25" s="376">
        <v>2023</v>
      </c>
      <c r="E25" s="376">
        <v>2025</v>
      </c>
      <c r="F25" s="376">
        <v>0.98</v>
      </c>
      <c r="G25" s="376">
        <v>5705.3347119527834</v>
      </c>
      <c r="H25" s="376">
        <v>6889.2709138217533</v>
      </c>
      <c r="I25" s="376">
        <v>1</v>
      </c>
    </row>
    <row r="26" spans="1:9" x14ac:dyDescent="0.35">
      <c r="A26" s="376" t="s">
        <v>1840</v>
      </c>
      <c r="B26" s="376" t="s">
        <v>1609</v>
      </c>
      <c r="C26" s="376"/>
      <c r="D26" s="376">
        <v>2024</v>
      </c>
      <c r="E26" s="376">
        <v>2025</v>
      </c>
      <c r="F26" s="376">
        <v>0.98</v>
      </c>
      <c r="G26" s="376">
        <v>5705.3347119527834</v>
      </c>
      <c r="H26" s="376">
        <v>6889.2709138217533</v>
      </c>
      <c r="I26" s="376">
        <v>1</v>
      </c>
    </row>
    <row r="27" spans="1:9" x14ac:dyDescent="0.35">
      <c r="A27" s="376" t="s">
        <v>1840</v>
      </c>
      <c r="B27" s="376" t="s">
        <v>1609</v>
      </c>
      <c r="C27" s="376"/>
      <c r="D27" s="376">
        <v>2025</v>
      </c>
      <c r="E27" s="376">
        <v>2025</v>
      </c>
      <c r="F27" s="376">
        <v>0.98</v>
      </c>
      <c r="G27" s="376">
        <v>5705.3347119527834</v>
      </c>
      <c r="H27" s="376">
        <v>6889.2709138217533</v>
      </c>
      <c r="I27" s="376">
        <v>1</v>
      </c>
    </row>
    <row r="28" spans="1:9" x14ac:dyDescent="0.35">
      <c r="A28" s="376" t="s">
        <v>1840</v>
      </c>
      <c r="B28" s="376" t="s">
        <v>1609</v>
      </c>
      <c r="C28" s="376"/>
      <c r="D28" s="376">
        <v>2021</v>
      </c>
      <c r="E28" s="376">
        <v>2026</v>
      </c>
      <c r="F28" s="376">
        <v>0.98</v>
      </c>
      <c r="G28" s="376">
        <v>5705.3347119527834</v>
      </c>
      <c r="H28" s="376">
        <v>6889.2709138217533</v>
      </c>
      <c r="I28" s="376">
        <v>1</v>
      </c>
    </row>
    <row r="29" spans="1:9" x14ac:dyDescent="0.35">
      <c r="A29" s="376" t="s">
        <v>1840</v>
      </c>
      <c r="B29" s="376" t="s">
        <v>1609</v>
      </c>
      <c r="C29" s="376"/>
      <c r="D29" s="376">
        <v>2022</v>
      </c>
      <c r="E29" s="376">
        <v>2026</v>
      </c>
      <c r="F29" s="376">
        <v>0.98</v>
      </c>
      <c r="G29" s="376">
        <v>5705.3347119527834</v>
      </c>
      <c r="H29" s="376">
        <v>6889.2709138217533</v>
      </c>
      <c r="I29" s="376">
        <v>1</v>
      </c>
    </row>
    <row r="30" spans="1:9" x14ac:dyDescent="0.35">
      <c r="A30" s="376" t="s">
        <v>1840</v>
      </c>
      <c r="B30" s="376" t="s">
        <v>1609</v>
      </c>
      <c r="C30" s="376"/>
      <c r="D30" s="376">
        <v>2023</v>
      </c>
      <c r="E30" s="376">
        <v>2026</v>
      </c>
      <c r="F30" s="376">
        <v>0.98</v>
      </c>
      <c r="G30" s="376">
        <v>5705.3347119527834</v>
      </c>
      <c r="H30" s="376">
        <v>6889.2709138217533</v>
      </c>
      <c r="I30" s="376">
        <v>1</v>
      </c>
    </row>
    <row r="31" spans="1:9" x14ac:dyDescent="0.35">
      <c r="A31" s="376" t="s">
        <v>1840</v>
      </c>
      <c r="B31" s="376" t="s">
        <v>1609</v>
      </c>
      <c r="C31" s="376"/>
      <c r="D31" s="376">
        <v>2024</v>
      </c>
      <c r="E31" s="376">
        <v>2026</v>
      </c>
      <c r="F31" s="376">
        <v>0.98</v>
      </c>
      <c r="G31" s="376">
        <v>5705.3347119527834</v>
      </c>
      <c r="H31" s="376">
        <v>6889.2709138217533</v>
      </c>
      <c r="I31" s="376">
        <v>1</v>
      </c>
    </row>
    <row r="32" spans="1:9" x14ac:dyDescent="0.35">
      <c r="A32" s="376" t="s">
        <v>1840</v>
      </c>
      <c r="B32" s="376" t="s">
        <v>1609</v>
      </c>
      <c r="C32" s="376"/>
      <c r="D32" s="376">
        <v>2025</v>
      </c>
      <c r="E32" s="376">
        <v>2026</v>
      </c>
      <c r="F32" s="376">
        <v>0.98</v>
      </c>
      <c r="G32" s="376">
        <v>5705.3347119527834</v>
      </c>
      <c r="H32" s="376">
        <v>6889.2709138217533</v>
      </c>
      <c r="I32" s="376">
        <v>1</v>
      </c>
    </row>
    <row r="33" spans="1:9" x14ac:dyDescent="0.35">
      <c r="A33" s="376" t="s">
        <v>1840</v>
      </c>
      <c r="B33" s="376" t="s">
        <v>1609</v>
      </c>
      <c r="C33" s="376"/>
      <c r="D33" s="376">
        <v>2026</v>
      </c>
      <c r="E33" s="376">
        <v>2026</v>
      </c>
      <c r="F33" s="376">
        <v>0.98</v>
      </c>
      <c r="G33" s="376">
        <v>5705.3347119527834</v>
      </c>
      <c r="H33" s="376">
        <v>6889.2709138217533</v>
      </c>
      <c r="I33" s="376">
        <v>1</v>
      </c>
    </row>
    <row r="34" spans="1:9" x14ac:dyDescent="0.35">
      <c r="A34" s="376" t="s">
        <v>1840</v>
      </c>
      <c r="B34" s="376" t="s">
        <v>1609</v>
      </c>
      <c r="C34" s="376"/>
      <c r="D34" s="376">
        <v>2021</v>
      </c>
      <c r="E34" s="376">
        <v>2027</v>
      </c>
      <c r="F34" s="376">
        <v>0.98</v>
      </c>
      <c r="G34" s="376">
        <v>5705.3347119527834</v>
      </c>
      <c r="H34" s="376">
        <v>6889.2709138217533</v>
      </c>
      <c r="I34" s="376">
        <v>1</v>
      </c>
    </row>
    <row r="35" spans="1:9" x14ac:dyDescent="0.35">
      <c r="A35" s="376" t="s">
        <v>1840</v>
      </c>
      <c r="B35" s="376" t="s">
        <v>1609</v>
      </c>
      <c r="C35" s="376"/>
      <c r="D35" s="376">
        <v>2022</v>
      </c>
      <c r="E35" s="376">
        <v>2027</v>
      </c>
      <c r="F35" s="376">
        <v>0.98</v>
      </c>
      <c r="G35" s="376">
        <v>5705.3347119527834</v>
      </c>
      <c r="H35" s="376">
        <v>6889.2709138217533</v>
      </c>
      <c r="I35" s="376">
        <v>1</v>
      </c>
    </row>
    <row r="36" spans="1:9" x14ac:dyDescent="0.35">
      <c r="A36" s="376" t="s">
        <v>1840</v>
      </c>
      <c r="B36" s="376" t="s">
        <v>1609</v>
      </c>
      <c r="C36" s="376"/>
      <c r="D36" s="376">
        <v>2023</v>
      </c>
      <c r="E36" s="376">
        <v>2027</v>
      </c>
      <c r="F36" s="376">
        <v>0.98</v>
      </c>
      <c r="G36" s="376">
        <v>5705.3347119527834</v>
      </c>
      <c r="H36" s="376">
        <v>6889.2709138217533</v>
      </c>
      <c r="I36" s="376">
        <v>1</v>
      </c>
    </row>
    <row r="37" spans="1:9" x14ac:dyDescent="0.35">
      <c r="A37" s="376" t="s">
        <v>1840</v>
      </c>
      <c r="B37" s="376" t="s">
        <v>1609</v>
      </c>
      <c r="C37" s="376"/>
      <c r="D37" s="376">
        <v>2024</v>
      </c>
      <c r="E37" s="376">
        <v>2027</v>
      </c>
      <c r="F37" s="376">
        <v>0.98</v>
      </c>
      <c r="G37" s="376">
        <v>5705.3347119527834</v>
      </c>
      <c r="H37" s="376">
        <v>6889.2709138217533</v>
      </c>
      <c r="I37" s="376">
        <v>1</v>
      </c>
    </row>
    <row r="38" spans="1:9" x14ac:dyDescent="0.35">
      <c r="A38" s="376" t="s">
        <v>1840</v>
      </c>
      <c r="B38" s="376" t="s">
        <v>1609</v>
      </c>
      <c r="C38" s="376"/>
      <c r="D38" s="376">
        <v>2025</v>
      </c>
      <c r="E38" s="376">
        <v>2027</v>
      </c>
      <c r="F38" s="376">
        <v>0.98</v>
      </c>
      <c r="G38" s="376">
        <v>5705.3347119527834</v>
      </c>
      <c r="H38" s="376">
        <v>6889.2709138217533</v>
      </c>
      <c r="I38" s="376">
        <v>1</v>
      </c>
    </row>
    <row r="39" spans="1:9" x14ac:dyDescent="0.35">
      <c r="A39" s="376" t="s">
        <v>1840</v>
      </c>
      <c r="B39" s="376" t="s">
        <v>1609</v>
      </c>
      <c r="C39" s="376"/>
      <c r="D39" s="376">
        <v>2026</v>
      </c>
      <c r="E39" s="376">
        <v>2027</v>
      </c>
      <c r="F39" s="376">
        <v>0.98</v>
      </c>
      <c r="G39" s="376">
        <v>5705.3347119527834</v>
      </c>
      <c r="H39" s="376">
        <v>6889.2709138217533</v>
      </c>
      <c r="I39" s="376">
        <v>1</v>
      </c>
    </row>
    <row r="40" spans="1:9" x14ac:dyDescent="0.35">
      <c r="A40" s="376" t="s">
        <v>1840</v>
      </c>
      <c r="B40" s="376" t="s">
        <v>1609</v>
      </c>
      <c r="C40" s="376"/>
      <c r="D40" s="376">
        <v>2027</v>
      </c>
      <c r="E40" s="376">
        <v>2027</v>
      </c>
      <c r="F40" s="376">
        <v>0.98</v>
      </c>
      <c r="G40" s="376">
        <v>5705.3347119527834</v>
      </c>
      <c r="H40" s="376">
        <v>6889.2709138217533</v>
      </c>
      <c r="I40" s="376">
        <v>1</v>
      </c>
    </row>
    <row r="41" spans="1:9" x14ac:dyDescent="0.35">
      <c r="A41" s="376" t="s">
        <v>1840</v>
      </c>
      <c r="B41" s="376" t="s">
        <v>1609</v>
      </c>
      <c r="C41" s="376"/>
      <c r="D41" s="376">
        <v>2021</v>
      </c>
      <c r="E41" s="376">
        <v>2028</v>
      </c>
      <c r="F41" s="376">
        <v>0.98</v>
      </c>
      <c r="G41" s="376">
        <v>5705.3347119527834</v>
      </c>
      <c r="H41" s="376">
        <v>6889.2709138217533</v>
      </c>
      <c r="I41" s="376">
        <v>1</v>
      </c>
    </row>
    <row r="42" spans="1:9" x14ac:dyDescent="0.35">
      <c r="A42" s="376" t="s">
        <v>1840</v>
      </c>
      <c r="B42" s="376" t="s">
        <v>1609</v>
      </c>
      <c r="C42" s="376"/>
      <c r="D42" s="376">
        <v>2022</v>
      </c>
      <c r="E42" s="376">
        <v>2028</v>
      </c>
      <c r="F42" s="376">
        <v>0.98</v>
      </c>
      <c r="G42" s="376">
        <v>5705.3347119527834</v>
      </c>
      <c r="H42" s="376">
        <v>6889.2709138217533</v>
      </c>
      <c r="I42" s="376">
        <v>1</v>
      </c>
    </row>
    <row r="43" spans="1:9" x14ac:dyDescent="0.35">
      <c r="A43" s="376" t="s">
        <v>1840</v>
      </c>
      <c r="B43" s="376" t="s">
        <v>1609</v>
      </c>
      <c r="C43" s="376"/>
      <c r="D43" s="376">
        <v>2023</v>
      </c>
      <c r="E43" s="376">
        <v>2028</v>
      </c>
      <c r="F43" s="376">
        <v>0.98</v>
      </c>
      <c r="G43" s="376">
        <v>5705.3347119527834</v>
      </c>
      <c r="H43" s="376">
        <v>6889.2709138217533</v>
      </c>
      <c r="I43" s="376">
        <v>1</v>
      </c>
    </row>
    <row r="44" spans="1:9" x14ac:dyDescent="0.35">
      <c r="A44" s="376" t="s">
        <v>1840</v>
      </c>
      <c r="B44" s="376" t="s">
        <v>1609</v>
      </c>
      <c r="C44" s="376"/>
      <c r="D44" s="376">
        <v>2024</v>
      </c>
      <c r="E44" s="376">
        <v>2028</v>
      </c>
      <c r="F44" s="376">
        <v>0.98</v>
      </c>
      <c r="G44" s="376">
        <v>5705.3347119527834</v>
      </c>
      <c r="H44" s="376">
        <v>6889.2709138217533</v>
      </c>
      <c r="I44" s="376">
        <v>1</v>
      </c>
    </row>
    <row r="45" spans="1:9" x14ac:dyDescent="0.35">
      <c r="A45" s="376" t="s">
        <v>1840</v>
      </c>
      <c r="B45" s="376" t="s">
        <v>1609</v>
      </c>
      <c r="C45" s="376"/>
      <c r="D45" s="376">
        <v>2025</v>
      </c>
      <c r="E45" s="376">
        <v>2028</v>
      </c>
      <c r="F45" s="376">
        <v>0.98</v>
      </c>
      <c r="G45" s="376">
        <v>5705.3347119527834</v>
      </c>
      <c r="H45" s="376">
        <v>6889.2709138217533</v>
      </c>
      <c r="I45" s="376">
        <v>1</v>
      </c>
    </row>
    <row r="46" spans="1:9" x14ac:dyDescent="0.35">
      <c r="A46" s="376" t="s">
        <v>1840</v>
      </c>
      <c r="B46" s="376" t="s">
        <v>1609</v>
      </c>
      <c r="C46" s="376"/>
      <c r="D46" s="376">
        <v>2026</v>
      </c>
      <c r="E46" s="376">
        <v>2028</v>
      </c>
      <c r="F46" s="376">
        <v>0.98</v>
      </c>
      <c r="G46" s="376">
        <v>5705.3347119527834</v>
      </c>
      <c r="H46" s="376">
        <v>6889.2709138217533</v>
      </c>
      <c r="I46" s="376">
        <v>1</v>
      </c>
    </row>
    <row r="47" spans="1:9" x14ac:dyDescent="0.35">
      <c r="A47" s="376" t="s">
        <v>1840</v>
      </c>
      <c r="B47" s="376" t="s">
        <v>1609</v>
      </c>
      <c r="C47" s="376"/>
      <c r="D47" s="376">
        <v>2027</v>
      </c>
      <c r="E47" s="376">
        <v>2028</v>
      </c>
      <c r="F47" s="376">
        <v>0.98</v>
      </c>
      <c r="G47" s="376">
        <v>5705.3347119527834</v>
      </c>
      <c r="H47" s="376">
        <v>6889.2709138217533</v>
      </c>
      <c r="I47" s="376">
        <v>1</v>
      </c>
    </row>
    <row r="48" spans="1:9" x14ac:dyDescent="0.35">
      <c r="A48" s="376" t="s">
        <v>1840</v>
      </c>
      <c r="B48" s="376" t="s">
        <v>1609</v>
      </c>
      <c r="C48" s="376"/>
      <c r="D48" s="376">
        <v>2028</v>
      </c>
      <c r="E48" s="376">
        <v>2028</v>
      </c>
      <c r="F48" s="376">
        <v>0.98</v>
      </c>
      <c r="G48" s="376">
        <v>5705.3347119527834</v>
      </c>
      <c r="H48" s="376">
        <v>6889.2709138217533</v>
      </c>
      <c r="I48" s="376">
        <v>1</v>
      </c>
    </row>
    <row r="49" spans="1:9" x14ac:dyDescent="0.35">
      <c r="A49" s="376" t="s">
        <v>1840</v>
      </c>
      <c r="B49" s="376" t="s">
        <v>1609</v>
      </c>
      <c r="C49" s="376"/>
      <c r="D49" s="376">
        <v>2021</v>
      </c>
      <c r="E49" s="376">
        <v>2029</v>
      </c>
      <c r="F49" s="376">
        <v>0.98</v>
      </c>
      <c r="G49" s="376">
        <v>5705.3347119527834</v>
      </c>
      <c r="H49" s="376">
        <v>6889.2709138217533</v>
      </c>
      <c r="I49" s="376">
        <v>1</v>
      </c>
    </row>
    <row r="50" spans="1:9" x14ac:dyDescent="0.35">
      <c r="A50" s="376" t="s">
        <v>1840</v>
      </c>
      <c r="B50" s="376" t="s">
        <v>1609</v>
      </c>
      <c r="C50" s="376"/>
      <c r="D50" s="376">
        <v>2022</v>
      </c>
      <c r="E50" s="376">
        <v>2029</v>
      </c>
      <c r="F50" s="376">
        <v>0.98</v>
      </c>
      <c r="G50" s="376">
        <v>5705.3347119527834</v>
      </c>
      <c r="H50" s="376">
        <v>6889.2709138217533</v>
      </c>
      <c r="I50" s="376">
        <v>1</v>
      </c>
    </row>
    <row r="51" spans="1:9" x14ac:dyDescent="0.35">
      <c r="A51" s="376" t="s">
        <v>1840</v>
      </c>
      <c r="B51" s="376" t="s">
        <v>1609</v>
      </c>
      <c r="C51" s="376"/>
      <c r="D51" s="376">
        <v>2023</v>
      </c>
      <c r="E51" s="376">
        <v>2029</v>
      </c>
      <c r="F51" s="376">
        <v>0.98</v>
      </c>
      <c r="G51" s="376">
        <v>5705.3347119527834</v>
      </c>
      <c r="H51" s="376">
        <v>6889.2709138217533</v>
      </c>
      <c r="I51" s="376">
        <v>1</v>
      </c>
    </row>
    <row r="52" spans="1:9" x14ac:dyDescent="0.35">
      <c r="A52" s="376" t="s">
        <v>1840</v>
      </c>
      <c r="B52" s="376" t="s">
        <v>1609</v>
      </c>
      <c r="C52" s="376"/>
      <c r="D52" s="376">
        <v>2024</v>
      </c>
      <c r="E52" s="376">
        <v>2029</v>
      </c>
      <c r="F52" s="376">
        <v>0.98</v>
      </c>
      <c r="G52" s="376">
        <v>5705.3347119527834</v>
      </c>
      <c r="H52" s="376">
        <v>6889.2709138217533</v>
      </c>
      <c r="I52" s="376">
        <v>1</v>
      </c>
    </row>
    <row r="53" spans="1:9" x14ac:dyDescent="0.35">
      <c r="A53" s="376" t="s">
        <v>1840</v>
      </c>
      <c r="B53" s="376" t="s">
        <v>1609</v>
      </c>
      <c r="C53" s="376"/>
      <c r="D53" s="376">
        <v>2025</v>
      </c>
      <c r="E53" s="376">
        <v>2029</v>
      </c>
      <c r="F53" s="376">
        <v>0.98</v>
      </c>
      <c r="G53" s="376">
        <v>5705.3347119527834</v>
      </c>
      <c r="H53" s="376">
        <v>6889.2709138217533</v>
      </c>
      <c r="I53" s="376">
        <v>1</v>
      </c>
    </row>
    <row r="54" spans="1:9" x14ac:dyDescent="0.35">
      <c r="A54" s="376" t="s">
        <v>1840</v>
      </c>
      <c r="B54" s="376" t="s">
        <v>1609</v>
      </c>
      <c r="C54" s="376"/>
      <c r="D54" s="376">
        <v>2026</v>
      </c>
      <c r="E54" s="376">
        <v>2029</v>
      </c>
      <c r="F54" s="376">
        <v>0.98</v>
      </c>
      <c r="G54" s="376">
        <v>5705.3347119527834</v>
      </c>
      <c r="H54" s="376">
        <v>6889.2709138217533</v>
      </c>
      <c r="I54" s="376">
        <v>1</v>
      </c>
    </row>
    <row r="55" spans="1:9" x14ac:dyDescent="0.35">
      <c r="A55" s="376" t="s">
        <v>1840</v>
      </c>
      <c r="B55" s="376" t="s">
        <v>1609</v>
      </c>
      <c r="C55" s="376"/>
      <c r="D55" s="376">
        <v>2027</v>
      </c>
      <c r="E55" s="376">
        <v>2029</v>
      </c>
      <c r="F55" s="376">
        <v>0.98</v>
      </c>
      <c r="G55" s="376">
        <v>5705.3347119527834</v>
      </c>
      <c r="H55" s="376">
        <v>6889.2709138217533</v>
      </c>
      <c r="I55" s="376">
        <v>1</v>
      </c>
    </row>
    <row r="56" spans="1:9" x14ac:dyDescent="0.35">
      <c r="A56" s="376" t="s">
        <v>1840</v>
      </c>
      <c r="B56" s="376" t="s">
        <v>1609</v>
      </c>
      <c r="C56" s="376"/>
      <c r="D56" s="376">
        <v>2028</v>
      </c>
      <c r="E56" s="376">
        <v>2029</v>
      </c>
      <c r="F56" s="376">
        <v>0.98</v>
      </c>
      <c r="G56" s="376">
        <v>5705.3347119527834</v>
      </c>
      <c r="H56" s="376">
        <v>6889.2709138217533</v>
      </c>
      <c r="I56" s="376">
        <v>1</v>
      </c>
    </row>
    <row r="57" spans="1:9" x14ac:dyDescent="0.35">
      <c r="A57" s="376" t="s">
        <v>1840</v>
      </c>
      <c r="B57" s="376" t="s">
        <v>1609</v>
      </c>
      <c r="C57" s="376"/>
      <c r="D57" s="376">
        <v>2029</v>
      </c>
      <c r="E57" s="376">
        <v>2029</v>
      </c>
      <c r="F57" s="376">
        <v>0.98</v>
      </c>
      <c r="G57" s="376">
        <v>5705.3347119527834</v>
      </c>
      <c r="H57" s="376">
        <v>6889.2709138217533</v>
      </c>
      <c r="I57" s="376">
        <v>1</v>
      </c>
    </row>
    <row r="58" spans="1:9" x14ac:dyDescent="0.35">
      <c r="A58" s="376" t="s">
        <v>1840</v>
      </c>
      <c r="B58" s="376" t="s">
        <v>1609</v>
      </c>
      <c r="C58" s="376"/>
      <c r="D58" s="376">
        <v>2021</v>
      </c>
      <c r="E58" s="376">
        <v>2030</v>
      </c>
      <c r="F58" s="376">
        <v>0.98</v>
      </c>
      <c r="G58" s="376">
        <v>5705.3347119527834</v>
      </c>
      <c r="H58" s="376">
        <v>6889.2709138217533</v>
      </c>
      <c r="I58" s="376">
        <v>1</v>
      </c>
    </row>
    <row r="59" spans="1:9" x14ac:dyDescent="0.35">
      <c r="A59" s="376" t="s">
        <v>1840</v>
      </c>
      <c r="B59" s="376" t="s">
        <v>1609</v>
      </c>
      <c r="C59" s="376"/>
      <c r="D59" s="376">
        <v>2022</v>
      </c>
      <c r="E59" s="376">
        <v>2030</v>
      </c>
      <c r="F59" s="376">
        <v>0.98</v>
      </c>
      <c r="G59" s="376">
        <v>5705.3347119527834</v>
      </c>
      <c r="H59" s="376">
        <v>6889.2709138217533</v>
      </c>
      <c r="I59" s="376">
        <v>1</v>
      </c>
    </row>
    <row r="60" spans="1:9" x14ac:dyDescent="0.35">
      <c r="A60" s="376" t="s">
        <v>1840</v>
      </c>
      <c r="B60" s="376" t="s">
        <v>1609</v>
      </c>
      <c r="C60" s="376"/>
      <c r="D60" s="376">
        <v>2023</v>
      </c>
      <c r="E60" s="376">
        <v>2030</v>
      </c>
      <c r="F60" s="376">
        <v>0.98</v>
      </c>
      <c r="G60" s="376">
        <v>5705.3347119527834</v>
      </c>
      <c r="H60" s="376">
        <v>6889.2709138217533</v>
      </c>
      <c r="I60" s="376">
        <v>1</v>
      </c>
    </row>
    <row r="61" spans="1:9" x14ac:dyDescent="0.35">
      <c r="A61" s="376" t="s">
        <v>1840</v>
      </c>
      <c r="B61" s="376" t="s">
        <v>1609</v>
      </c>
      <c r="C61" s="376"/>
      <c r="D61" s="376">
        <v>2024</v>
      </c>
      <c r="E61" s="376">
        <v>2030</v>
      </c>
      <c r="F61" s="376">
        <v>0.98</v>
      </c>
      <c r="G61" s="376">
        <v>5705.3347119527834</v>
      </c>
      <c r="H61" s="376">
        <v>6889.2709138217533</v>
      </c>
      <c r="I61" s="376">
        <v>1</v>
      </c>
    </row>
    <row r="62" spans="1:9" x14ac:dyDescent="0.35">
      <c r="A62" s="376" t="s">
        <v>1840</v>
      </c>
      <c r="B62" s="376" t="s">
        <v>1609</v>
      </c>
      <c r="C62" s="376"/>
      <c r="D62" s="376">
        <v>2025</v>
      </c>
      <c r="E62" s="376">
        <v>2030</v>
      </c>
      <c r="F62" s="376">
        <v>0.98</v>
      </c>
      <c r="G62" s="376">
        <v>5705.3347119527834</v>
      </c>
      <c r="H62" s="376">
        <v>6889.2709138217533</v>
      </c>
      <c r="I62" s="376">
        <v>1</v>
      </c>
    </row>
    <row r="63" spans="1:9" x14ac:dyDescent="0.35">
      <c r="A63" s="376" t="s">
        <v>1840</v>
      </c>
      <c r="B63" s="376" t="s">
        <v>1609</v>
      </c>
      <c r="C63" s="376"/>
      <c r="D63" s="376">
        <v>2026</v>
      </c>
      <c r="E63" s="376">
        <v>2030</v>
      </c>
      <c r="F63" s="376">
        <v>0.98</v>
      </c>
      <c r="G63" s="376">
        <v>5705.3347119527834</v>
      </c>
      <c r="H63" s="376">
        <v>6889.2709138217533</v>
      </c>
      <c r="I63" s="376">
        <v>1</v>
      </c>
    </row>
    <row r="64" spans="1:9" x14ac:dyDescent="0.35">
      <c r="A64" s="376" t="s">
        <v>1840</v>
      </c>
      <c r="B64" s="376" t="s">
        <v>1609</v>
      </c>
      <c r="C64" s="376"/>
      <c r="D64" s="376">
        <v>2027</v>
      </c>
      <c r="E64" s="376">
        <v>2030</v>
      </c>
      <c r="F64" s="376">
        <v>0.98</v>
      </c>
      <c r="G64" s="376">
        <v>5705.3347119527834</v>
      </c>
      <c r="H64" s="376">
        <v>6889.2709138217533</v>
      </c>
      <c r="I64" s="376">
        <v>1</v>
      </c>
    </row>
    <row r="65" spans="1:9" x14ac:dyDescent="0.35">
      <c r="A65" s="376" t="s">
        <v>1840</v>
      </c>
      <c r="B65" s="376" t="s">
        <v>1609</v>
      </c>
      <c r="C65" s="376"/>
      <c r="D65" s="376">
        <v>2028</v>
      </c>
      <c r="E65" s="376">
        <v>2030</v>
      </c>
      <c r="F65" s="376">
        <v>0.98</v>
      </c>
      <c r="G65" s="376">
        <v>5705.3347119527834</v>
      </c>
      <c r="H65" s="376">
        <v>6889.2709138217533</v>
      </c>
      <c r="I65" s="376">
        <v>1</v>
      </c>
    </row>
    <row r="66" spans="1:9" x14ac:dyDescent="0.35">
      <c r="A66" s="376" t="s">
        <v>1840</v>
      </c>
      <c r="B66" s="376" t="s">
        <v>1609</v>
      </c>
      <c r="C66" s="376"/>
      <c r="D66" s="376">
        <v>2029</v>
      </c>
      <c r="E66" s="376">
        <v>2030</v>
      </c>
      <c r="F66" s="376">
        <v>0.98</v>
      </c>
      <c r="G66" s="376">
        <v>5705.3347119527834</v>
      </c>
      <c r="H66" s="376">
        <v>6889.2709138217533</v>
      </c>
      <c r="I66" s="376">
        <v>1</v>
      </c>
    </row>
    <row r="67" spans="1:9" x14ac:dyDescent="0.35">
      <c r="A67" s="376" t="s">
        <v>1840</v>
      </c>
      <c r="B67" s="376" t="s">
        <v>1609</v>
      </c>
      <c r="C67" s="376"/>
      <c r="D67" s="376">
        <v>2030</v>
      </c>
      <c r="E67" s="376">
        <v>2030</v>
      </c>
      <c r="F67" s="376">
        <v>0.98</v>
      </c>
      <c r="G67" s="376">
        <v>5705.3347119527834</v>
      </c>
      <c r="H67" s="376">
        <v>6889.2709138217533</v>
      </c>
      <c r="I67" s="376">
        <v>1</v>
      </c>
    </row>
    <row r="68" spans="1:9" x14ac:dyDescent="0.35">
      <c r="A68" s="376" t="s">
        <v>1840</v>
      </c>
      <c r="B68" s="376" t="s">
        <v>1609</v>
      </c>
      <c r="C68" s="376"/>
      <c r="D68" s="376">
        <v>2021</v>
      </c>
      <c r="E68" s="376">
        <v>2031</v>
      </c>
      <c r="F68" s="376">
        <v>0.98</v>
      </c>
      <c r="G68" s="376">
        <v>5705.3347119527834</v>
      </c>
      <c r="H68" s="376">
        <v>6889.2709138217533</v>
      </c>
      <c r="I68" s="376">
        <v>1</v>
      </c>
    </row>
    <row r="69" spans="1:9" x14ac:dyDescent="0.35">
      <c r="A69" s="376" t="s">
        <v>1840</v>
      </c>
      <c r="B69" s="376" t="s">
        <v>1609</v>
      </c>
      <c r="C69" s="376"/>
      <c r="D69" s="376">
        <v>2022</v>
      </c>
      <c r="E69" s="376">
        <v>2031</v>
      </c>
      <c r="F69" s="376">
        <v>0.98</v>
      </c>
      <c r="G69" s="376">
        <v>5705.3347119527834</v>
      </c>
      <c r="H69" s="376">
        <v>6889.2709138217533</v>
      </c>
      <c r="I69" s="376">
        <v>1</v>
      </c>
    </row>
    <row r="70" spans="1:9" x14ac:dyDescent="0.35">
      <c r="A70" s="376" t="s">
        <v>1840</v>
      </c>
      <c r="B70" s="376" t="s">
        <v>1609</v>
      </c>
      <c r="C70" s="376"/>
      <c r="D70" s="376">
        <v>2023</v>
      </c>
      <c r="E70" s="376">
        <v>2031</v>
      </c>
      <c r="F70" s="376">
        <v>0.98</v>
      </c>
      <c r="G70" s="376">
        <v>5705.3347119527834</v>
      </c>
      <c r="H70" s="376">
        <v>6889.2709138217533</v>
      </c>
      <c r="I70" s="376">
        <v>1</v>
      </c>
    </row>
    <row r="71" spans="1:9" x14ac:dyDescent="0.35">
      <c r="A71" s="376" t="s">
        <v>1840</v>
      </c>
      <c r="B71" s="376" t="s">
        <v>1609</v>
      </c>
      <c r="C71" s="376"/>
      <c r="D71" s="376">
        <v>2024</v>
      </c>
      <c r="E71" s="376">
        <v>2031</v>
      </c>
      <c r="F71" s="376">
        <v>0.98</v>
      </c>
      <c r="G71" s="376">
        <v>5705.3347119527834</v>
      </c>
      <c r="H71" s="376">
        <v>6889.2709138217533</v>
      </c>
      <c r="I71" s="376">
        <v>1</v>
      </c>
    </row>
    <row r="72" spans="1:9" x14ac:dyDescent="0.35">
      <c r="A72" s="376" t="s">
        <v>1840</v>
      </c>
      <c r="B72" s="376" t="s">
        <v>1609</v>
      </c>
      <c r="C72" s="376"/>
      <c r="D72" s="376">
        <v>2025</v>
      </c>
      <c r="E72" s="376">
        <v>2031</v>
      </c>
      <c r="F72" s="376">
        <v>0.98</v>
      </c>
      <c r="G72" s="376">
        <v>5705.3347119527834</v>
      </c>
      <c r="H72" s="376">
        <v>6889.2709138217533</v>
      </c>
      <c r="I72" s="376">
        <v>1</v>
      </c>
    </row>
    <row r="73" spans="1:9" x14ac:dyDescent="0.35">
      <c r="A73" s="376" t="s">
        <v>1840</v>
      </c>
      <c r="B73" s="376" t="s">
        <v>1609</v>
      </c>
      <c r="C73" s="376"/>
      <c r="D73" s="376">
        <v>2026</v>
      </c>
      <c r="E73" s="376">
        <v>2031</v>
      </c>
      <c r="F73" s="376">
        <v>0.98</v>
      </c>
      <c r="G73" s="376">
        <v>5705.3347119527834</v>
      </c>
      <c r="H73" s="376">
        <v>6889.2709138217533</v>
      </c>
      <c r="I73" s="376">
        <v>1</v>
      </c>
    </row>
    <row r="74" spans="1:9" x14ac:dyDescent="0.35">
      <c r="A74" s="376" t="s">
        <v>1840</v>
      </c>
      <c r="B74" s="376" t="s">
        <v>1609</v>
      </c>
      <c r="C74" s="376"/>
      <c r="D74" s="376">
        <v>2027</v>
      </c>
      <c r="E74" s="376">
        <v>2031</v>
      </c>
      <c r="F74" s="376">
        <v>0.98</v>
      </c>
      <c r="G74" s="376">
        <v>5705.3347119527834</v>
      </c>
      <c r="H74" s="376">
        <v>6889.2709138217533</v>
      </c>
      <c r="I74" s="376">
        <v>1</v>
      </c>
    </row>
    <row r="75" spans="1:9" x14ac:dyDescent="0.35">
      <c r="A75" s="376" t="s">
        <v>1840</v>
      </c>
      <c r="B75" s="376" t="s">
        <v>1609</v>
      </c>
      <c r="C75" s="376"/>
      <c r="D75" s="376">
        <v>2028</v>
      </c>
      <c r="E75" s="376">
        <v>2031</v>
      </c>
      <c r="F75" s="376">
        <v>0.98</v>
      </c>
      <c r="G75" s="376">
        <v>5705.3347119527834</v>
      </c>
      <c r="H75" s="376">
        <v>6889.2709138217533</v>
      </c>
      <c r="I75" s="376">
        <v>1</v>
      </c>
    </row>
    <row r="76" spans="1:9" x14ac:dyDescent="0.35">
      <c r="A76" s="376" t="s">
        <v>1840</v>
      </c>
      <c r="B76" s="376" t="s">
        <v>1609</v>
      </c>
      <c r="C76" s="376"/>
      <c r="D76" s="376">
        <v>2029</v>
      </c>
      <c r="E76" s="376">
        <v>2031</v>
      </c>
      <c r="F76" s="376">
        <v>0.98</v>
      </c>
      <c r="G76" s="376">
        <v>5705.3347119527834</v>
      </c>
      <c r="H76" s="376">
        <v>6889.2709138217533</v>
      </c>
      <c r="I76" s="376">
        <v>1</v>
      </c>
    </row>
    <row r="77" spans="1:9" x14ac:dyDescent="0.35">
      <c r="A77" s="376" t="s">
        <v>1840</v>
      </c>
      <c r="B77" s="376" t="s">
        <v>1609</v>
      </c>
      <c r="C77" s="376"/>
      <c r="D77" s="376">
        <v>2030</v>
      </c>
      <c r="E77" s="376">
        <v>2031</v>
      </c>
      <c r="F77" s="376">
        <v>0.98</v>
      </c>
      <c r="G77" s="376">
        <v>5705.3347119527834</v>
      </c>
      <c r="H77" s="376">
        <v>6889.2709138217533</v>
      </c>
      <c r="I77" s="376">
        <v>1</v>
      </c>
    </row>
    <row r="78" spans="1:9" x14ac:dyDescent="0.35">
      <c r="A78" s="376" t="s">
        <v>1840</v>
      </c>
      <c r="B78" s="376" t="s">
        <v>1609</v>
      </c>
      <c r="C78" s="376"/>
      <c r="D78" s="376">
        <v>2031</v>
      </c>
      <c r="E78" s="376">
        <v>2031</v>
      </c>
      <c r="F78" s="376">
        <v>0.98</v>
      </c>
      <c r="G78" s="376">
        <v>5705.3347119527834</v>
      </c>
      <c r="H78" s="376">
        <v>6889.2709138217533</v>
      </c>
      <c r="I78" s="376">
        <v>1</v>
      </c>
    </row>
    <row r="79" spans="1:9" x14ac:dyDescent="0.35">
      <c r="A79" s="376" t="s">
        <v>1848</v>
      </c>
      <c r="B79" s="376" t="s">
        <v>1609</v>
      </c>
      <c r="C79" s="376"/>
      <c r="D79" s="376">
        <v>2020</v>
      </c>
      <c r="E79" s="376">
        <v>2021</v>
      </c>
      <c r="F79" s="376">
        <v>0.98</v>
      </c>
      <c r="G79" s="376">
        <v>5705.3347119527834</v>
      </c>
      <c r="H79" s="376">
        <v>1864.2789281593423</v>
      </c>
      <c r="I79" s="376">
        <v>1</v>
      </c>
    </row>
    <row r="80" spans="1:9" x14ac:dyDescent="0.35">
      <c r="A80" s="376" t="s">
        <v>1848</v>
      </c>
      <c r="B80" s="376" t="s">
        <v>1609</v>
      </c>
      <c r="C80" s="376"/>
      <c r="D80" s="376">
        <v>2020</v>
      </c>
      <c r="E80" s="376">
        <v>2022</v>
      </c>
      <c r="F80" s="376">
        <v>0.98</v>
      </c>
      <c r="G80" s="376">
        <v>5705.3347119527834</v>
      </c>
      <c r="H80" s="376">
        <v>1864.2789281593423</v>
      </c>
      <c r="I80" s="376">
        <v>1</v>
      </c>
    </row>
    <row r="81" spans="1:9" x14ac:dyDescent="0.35">
      <c r="A81" s="376" t="s">
        <v>1848</v>
      </c>
      <c r="B81" s="376" t="s">
        <v>1609</v>
      </c>
      <c r="C81" s="376"/>
      <c r="D81" s="376">
        <v>2020</v>
      </c>
      <c r="E81" s="376">
        <v>2023</v>
      </c>
      <c r="F81" s="376">
        <v>0.98</v>
      </c>
      <c r="G81" s="376">
        <v>5705.3347119527834</v>
      </c>
      <c r="H81" s="376">
        <v>1864.2789281593423</v>
      </c>
      <c r="I81" s="376">
        <v>1</v>
      </c>
    </row>
    <row r="82" spans="1:9" x14ac:dyDescent="0.35">
      <c r="A82" s="376" t="s">
        <v>1848</v>
      </c>
      <c r="B82" s="376" t="s">
        <v>1609</v>
      </c>
      <c r="C82" s="376"/>
      <c r="D82" s="376">
        <v>2020</v>
      </c>
      <c r="E82" s="376">
        <v>2024</v>
      </c>
      <c r="F82" s="376">
        <v>0.98</v>
      </c>
      <c r="G82" s="376">
        <v>5705.3347119527834</v>
      </c>
      <c r="H82" s="376">
        <v>1864.2789281593423</v>
      </c>
      <c r="I82" s="376">
        <v>1</v>
      </c>
    </row>
    <row r="83" spans="1:9" x14ac:dyDescent="0.35">
      <c r="A83" s="376" t="s">
        <v>1848</v>
      </c>
      <c r="B83" s="376" t="s">
        <v>1609</v>
      </c>
      <c r="C83" s="376"/>
      <c r="D83" s="376">
        <v>2020</v>
      </c>
      <c r="E83" s="376">
        <v>2025</v>
      </c>
      <c r="F83" s="376">
        <v>0.98</v>
      </c>
      <c r="G83" s="376">
        <v>5705.3347119527834</v>
      </c>
      <c r="H83" s="376">
        <v>1864.2789281593423</v>
      </c>
      <c r="I83" s="376">
        <v>1</v>
      </c>
    </row>
    <row r="84" spans="1:9" x14ac:dyDescent="0.35">
      <c r="A84" s="376" t="s">
        <v>1848</v>
      </c>
      <c r="B84" s="376" t="s">
        <v>1609</v>
      </c>
      <c r="C84" s="376"/>
      <c r="D84" s="376">
        <v>2020</v>
      </c>
      <c r="E84" s="376">
        <v>2026</v>
      </c>
      <c r="F84" s="376">
        <v>0.98</v>
      </c>
      <c r="G84" s="376">
        <v>5705.3347119527834</v>
      </c>
      <c r="H84" s="376">
        <v>1864.2789281593423</v>
      </c>
      <c r="I84" s="376">
        <v>1</v>
      </c>
    </row>
    <row r="85" spans="1:9" x14ac:dyDescent="0.35">
      <c r="A85" s="376" t="s">
        <v>1848</v>
      </c>
      <c r="B85" s="376" t="s">
        <v>1609</v>
      </c>
      <c r="C85" s="376"/>
      <c r="D85" s="376">
        <v>2020</v>
      </c>
      <c r="E85" s="376">
        <v>2027</v>
      </c>
      <c r="F85" s="376">
        <v>0.98</v>
      </c>
      <c r="G85" s="376">
        <v>5705.3347119527834</v>
      </c>
      <c r="H85" s="376">
        <v>1864.2789281593423</v>
      </c>
      <c r="I85" s="376">
        <v>1</v>
      </c>
    </row>
    <row r="86" spans="1:9" x14ac:dyDescent="0.35">
      <c r="A86" s="376" t="s">
        <v>1848</v>
      </c>
      <c r="B86" s="376" t="s">
        <v>1609</v>
      </c>
      <c r="C86" s="376"/>
      <c r="D86" s="376">
        <v>2020</v>
      </c>
      <c r="E86" s="376">
        <v>2028</v>
      </c>
      <c r="F86" s="376">
        <v>0.98</v>
      </c>
      <c r="G86" s="376">
        <v>5705.3347119527834</v>
      </c>
      <c r="H86" s="376">
        <v>1864.2789281593423</v>
      </c>
      <c r="I86" s="376">
        <v>1</v>
      </c>
    </row>
    <row r="87" spans="1:9" x14ac:dyDescent="0.35">
      <c r="A87" s="376" t="s">
        <v>1848</v>
      </c>
      <c r="B87" s="376" t="s">
        <v>1609</v>
      </c>
      <c r="C87" s="376"/>
      <c r="D87" s="376">
        <v>2020</v>
      </c>
      <c r="E87" s="376">
        <v>2029</v>
      </c>
      <c r="F87" s="376">
        <v>0.98</v>
      </c>
      <c r="G87" s="376">
        <v>5705.3347119527834</v>
      </c>
      <c r="H87" s="376">
        <v>1864.2789281593423</v>
      </c>
      <c r="I87" s="376">
        <v>1</v>
      </c>
    </row>
    <row r="88" spans="1:9" x14ac:dyDescent="0.35">
      <c r="A88" s="376" t="s">
        <v>1848</v>
      </c>
      <c r="B88" s="376" t="s">
        <v>1609</v>
      </c>
      <c r="C88" s="376"/>
      <c r="D88" s="376">
        <v>2020</v>
      </c>
      <c r="E88" s="376">
        <v>2030</v>
      </c>
      <c r="F88" s="376">
        <v>0.98</v>
      </c>
      <c r="G88" s="376">
        <v>5705.3347119527834</v>
      </c>
      <c r="H88" s="376">
        <v>1864.2789281593423</v>
      </c>
      <c r="I88" s="376">
        <v>1</v>
      </c>
    </row>
    <row r="89" spans="1:9" x14ac:dyDescent="0.35">
      <c r="A89" s="376" t="s">
        <v>1848</v>
      </c>
      <c r="B89" s="376" t="s">
        <v>1609</v>
      </c>
      <c r="C89" s="376"/>
      <c r="D89" s="376">
        <v>2020</v>
      </c>
      <c r="E89" s="376">
        <v>2031</v>
      </c>
      <c r="F89" s="376">
        <v>0.98</v>
      </c>
      <c r="G89" s="376">
        <v>5705.3347119527834</v>
      </c>
      <c r="H89" s="376">
        <v>1864.2789281593423</v>
      </c>
      <c r="I89" s="376">
        <v>1</v>
      </c>
    </row>
    <row r="90" spans="1:9" x14ac:dyDescent="0.35">
      <c r="A90" s="376" t="s">
        <v>1848</v>
      </c>
      <c r="B90" s="376" t="s">
        <v>1609</v>
      </c>
      <c r="C90" s="376"/>
      <c r="D90" s="376">
        <v>2021</v>
      </c>
      <c r="E90" s="376">
        <v>2021</v>
      </c>
      <c r="F90" s="376">
        <v>0.98</v>
      </c>
      <c r="G90" s="376">
        <v>5705.3347119527834</v>
      </c>
      <c r="H90" s="376">
        <v>1864.2789281593423</v>
      </c>
      <c r="I90" s="376">
        <v>1</v>
      </c>
    </row>
    <row r="91" spans="1:9" x14ac:dyDescent="0.35">
      <c r="A91" s="376" t="s">
        <v>1848</v>
      </c>
      <c r="B91" s="376" t="s">
        <v>1609</v>
      </c>
      <c r="C91" s="376"/>
      <c r="D91" s="376">
        <v>2021</v>
      </c>
      <c r="E91" s="376">
        <v>2022</v>
      </c>
      <c r="F91" s="376">
        <v>0.98</v>
      </c>
      <c r="G91" s="376">
        <v>5705.3347119527834</v>
      </c>
      <c r="H91" s="376">
        <v>1864.2789281593423</v>
      </c>
      <c r="I91" s="376">
        <v>1</v>
      </c>
    </row>
    <row r="92" spans="1:9" x14ac:dyDescent="0.35">
      <c r="A92" s="376" t="s">
        <v>1848</v>
      </c>
      <c r="B92" s="376" t="s">
        <v>1609</v>
      </c>
      <c r="C92" s="376"/>
      <c r="D92" s="376">
        <v>2022</v>
      </c>
      <c r="E92" s="376">
        <v>2022</v>
      </c>
      <c r="F92" s="376">
        <v>0.98</v>
      </c>
      <c r="G92" s="376">
        <v>5705.3347119527834</v>
      </c>
      <c r="H92" s="376">
        <v>1864.2789281593423</v>
      </c>
      <c r="I92" s="376">
        <v>1</v>
      </c>
    </row>
    <row r="93" spans="1:9" x14ac:dyDescent="0.35">
      <c r="A93" s="376" t="s">
        <v>1848</v>
      </c>
      <c r="B93" s="376" t="s">
        <v>1609</v>
      </c>
      <c r="C93" s="376"/>
      <c r="D93" s="376">
        <v>2021</v>
      </c>
      <c r="E93" s="376">
        <v>2023</v>
      </c>
      <c r="F93" s="376">
        <v>0.98</v>
      </c>
      <c r="G93" s="376">
        <v>5705.3347119527834</v>
      </c>
      <c r="H93" s="376">
        <v>1864.2789281593423</v>
      </c>
      <c r="I93" s="376">
        <v>1</v>
      </c>
    </row>
    <row r="94" spans="1:9" x14ac:dyDescent="0.35">
      <c r="A94" s="376" t="s">
        <v>1848</v>
      </c>
      <c r="B94" s="376" t="s">
        <v>1609</v>
      </c>
      <c r="C94" s="376"/>
      <c r="D94" s="376">
        <v>2022</v>
      </c>
      <c r="E94" s="376">
        <v>2023</v>
      </c>
      <c r="F94" s="376">
        <v>0.98</v>
      </c>
      <c r="G94" s="376">
        <v>5705.3347119527834</v>
      </c>
      <c r="H94" s="376">
        <v>1864.2789281593423</v>
      </c>
      <c r="I94" s="376">
        <v>1</v>
      </c>
    </row>
    <row r="95" spans="1:9" x14ac:dyDescent="0.35">
      <c r="A95" s="376" t="s">
        <v>1848</v>
      </c>
      <c r="B95" s="376" t="s">
        <v>1609</v>
      </c>
      <c r="C95" s="376"/>
      <c r="D95" s="376">
        <v>2023</v>
      </c>
      <c r="E95" s="376">
        <v>2023</v>
      </c>
      <c r="F95" s="376">
        <v>0.98</v>
      </c>
      <c r="G95" s="376">
        <v>5705.3347119527834</v>
      </c>
      <c r="H95" s="376">
        <v>1864.2789281593423</v>
      </c>
      <c r="I95" s="376">
        <v>1</v>
      </c>
    </row>
    <row r="96" spans="1:9" x14ac:dyDescent="0.35">
      <c r="A96" s="376" t="s">
        <v>1848</v>
      </c>
      <c r="B96" s="376" t="s">
        <v>1609</v>
      </c>
      <c r="C96" s="376"/>
      <c r="D96" s="376">
        <v>2021</v>
      </c>
      <c r="E96" s="376">
        <v>2024</v>
      </c>
      <c r="F96" s="376">
        <v>0.98</v>
      </c>
      <c r="G96" s="376">
        <v>5705.3347119527834</v>
      </c>
      <c r="H96" s="376">
        <v>1864.2789281593423</v>
      </c>
      <c r="I96" s="376">
        <v>1</v>
      </c>
    </row>
    <row r="97" spans="1:9" x14ac:dyDescent="0.35">
      <c r="A97" s="376" t="s">
        <v>1848</v>
      </c>
      <c r="B97" s="376" t="s">
        <v>1609</v>
      </c>
      <c r="C97" s="376"/>
      <c r="D97" s="376">
        <v>2022</v>
      </c>
      <c r="E97" s="376">
        <v>2024</v>
      </c>
      <c r="F97" s="376">
        <v>0.98</v>
      </c>
      <c r="G97" s="376">
        <v>5705.3347119527834</v>
      </c>
      <c r="H97" s="376">
        <v>1864.2789281593423</v>
      </c>
      <c r="I97" s="376">
        <v>1</v>
      </c>
    </row>
    <row r="98" spans="1:9" x14ac:dyDescent="0.35">
      <c r="A98" s="376" t="s">
        <v>1848</v>
      </c>
      <c r="B98" s="376" t="s">
        <v>1609</v>
      </c>
      <c r="C98" s="376"/>
      <c r="D98" s="376">
        <v>2023</v>
      </c>
      <c r="E98" s="376">
        <v>2024</v>
      </c>
      <c r="F98" s="376">
        <v>0.98</v>
      </c>
      <c r="G98" s="376">
        <v>5705.3347119527834</v>
      </c>
      <c r="H98" s="376">
        <v>1864.2789281593423</v>
      </c>
      <c r="I98" s="376">
        <v>1</v>
      </c>
    </row>
    <row r="99" spans="1:9" x14ac:dyDescent="0.35">
      <c r="A99" s="376" t="s">
        <v>1848</v>
      </c>
      <c r="B99" s="376" t="s">
        <v>1609</v>
      </c>
      <c r="C99" s="376"/>
      <c r="D99" s="376">
        <v>2024</v>
      </c>
      <c r="E99" s="376">
        <v>2024</v>
      </c>
      <c r="F99" s="376">
        <v>0.98</v>
      </c>
      <c r="G99" s="376">
        <v>5705.3347119527834</v>
      </c>
      <c r="H99" s="376">
        <v>1864.2789281593423</v>
      </c>
      <c r="I99" s="376">
        <v>1</v>
      </c>
    </row>
    <row r="100" spans="1:9" x14ac:dyDescent="0.35">
      <c r="A100" s="376" t="s">
        <v>1848</v>
      </c>
      <c r="B100" s="376" t="s">
        <v>1609</v>
      </c>
      <c r="C100" s="376"/>
      <c r="D100" s="376">
        <v>2021</v>
      </c>
      <c r="E100" s="376">
        <v>2025</v>
      </c>
      <c r="F100" s="376">
        <v>0.98</v>
      </c>
      <c r="G100" s="376">
        <v>5705.3347119527834</v>
      </c>
      <c r="H100" s="376">
        <v>1864.2789281593423</v>
      </c>
      <c r="I100" s="376">
        <v>1</v>
      </c>
    </row>
    <row r="101" spans="1:9" x14ac:dyDescent="0.35">
      <c r="A101" s="376" t="s">
        <v>1848</v>
      </c>
      <c r="B101" s="376" t="s">
        <v>1609</v>
      </c>
      <c r="C101" s="376"/>
      <c r="D101" s="376">
        <v>2022</v>
      </c>
      <c r="E101" s="376">
        <v>2025</v>
      </c>
      <c r="F101" s="376">
        <v>0.98</v>
      </c>
      <c r="G101" s="376">
        <v>5705.3347119527834</v>
      </c>
      <c r="H101" s="376">
        <v>1864.2789281593423</v>
      </c>
      <c r="I101" s="376">
        <v>1</v>
      </c>
    </row>
    <row r="102" spans="1:9" x14ac:dyDescent="0.35">
      <c r="A102" s="376" t="s">
        <v>1848</v>
      </c>
      <c r="B102" s="376" t="s">
        <v>1609</v>
      </c>
      <c r="C102" s="376"/>
      <c r="D102" s="376">
        <v>2023</v>
      </c>
      <c r="E102" s="376">
        <v>2025</v>
      </c>
      <c r="F102" s="376">
        <v>0.98</v>
      </c>
      <c r="G102" s="376">
        <v>5705.3347119527834</v>
      </c>
      <c r="H102" s="376">
        <v>1864.2789281593423</v>
      </c>
      <c r="I102" s="376">
        <v>1</v>
      </c>
    </row>
    <row r="103" spans="1:9" x14ac:dyDescent="0.35">
      <c r="A103" s="376" t="s">
        <v>1848</v>
      </c>
      <c r="B103" s="376" t="s">
        <v>1609</v>
      </c>
      <c r="C103" s="376"/>
      <c r="D103" s="376">
        <v>2024</v>
      </c>
      <c r="E103" s="376">
        <v>2025</v>
      </c>
      <c r="F103" s="376">
        <v>0.98</v>
      </c>
      <c r="G103" s="376">
        <v>5705.3347119527834</v>
      </c>
      <c r="H103" s="376">
        <v>1864.2789281593423</v>
      </c>
      <c r="I103" s="376">
        <v>1</v>
      </c>
    </row>
    <row r="104" spans="1:9" x14ac:dyDescent="0.35">
      <c r="A104" s="376" t="s">
        <v>1848</v>
      </c>
      <c r="B104" s="376" t="s">
        <v>1609</v>
      </c>
      <c r="C104" s="376"/>
      <c r="D104" s="376">
        <v>2025</v>
      </c>
      <c r="E104" s="376">
        <v>2025</v>
      </c>
      <c r="F104" s="376">
        <v>0.98</v>
      </c>
      <c r="G104" s="376">
        <v>5705.3347119527834</v>
      </c>
      <c r="H104" s="376">
        <v>1864.2789281593423</v>
      </c>
      <c r="I104" s="376">
        <v>1</v>
      </c>
    </row>
    <row r="105" spans="1:9" x14ac:dyDescent="0.35">
      <c r="A105" s="376" t="s">
        <v>1848</v>
      </c>
      <c r="B105" s="376" t="s">
        <v>1609</v>
      </c>
      <c r="C105" s="376"/>
      <c r="D105" s="376">
        <v>2021</v>
      </c>
      <c r="E105" s="376">
        <v>2026</v>
      </c>
      <c r="F105" s="376">
        <v>0.98</v>
      </c>
      <c r="G105" s="376">
        <v>5705.3347119527834</v>
      </c>
      <c r="H105" s="376">
        <v>1864.2789281593423</v>
      </c>
      <c r="I105" s="376">
        <v>1</v>
      </c>
    </row>
    <row r="106" spans="1:9" x14ac:dyDescent="0.35">
      <c r="A106" s="376" t="s">
        <v>1848</v>
      </c>
      <c r="B106" s="376" t="s">
        <v>1609</v>
      </c>
      <c r="C106" s="376"/>
      <c r="D106" s="376">
        <v>2022</v>
      </c>
      <c r="E106" s="376">
        <v>2026</v>
      </c>
      <c r="F106" s="376">
        <v>0.98</v>
      </c>
      <c r="G106" s="376">
        <v>5705.3347119527834</v>
      </c>
      <c r="H106" s="376">
        <v>1864.2789281593423</v>
      </c>
      <c r="I106" s="376">
        <v>1</v>
      </c>
    </row>
    <row r="107" spans="1:9" x14ac:dyDescent="0.35">
      <c r="A107" s="376" t="s">
        <v>1848</v>
      </c>
      <c r="B107" s="376" t="s">
        <v>1609</v>
      </c>
      <c r="C107" s="376"/>
      <c r="D107" s="376">
        <v>2023</v>
      </c>
      <c r="E107" s="376">
        <v>2026</v>
      </c>
      <c r="F107" s="376">
        <v>0.98</v>
      </c>
      <c r="G107" s="376">
        <v>5705.3347119527834</v>
      </c>
      <c r="H107" s="376">
        <v>1864.2789281593423</v>
      </c>
      <c r="I107" s="376">
        <v>1</v>
      </c>
    </row>
    <row r="108" spans="1:9" x14ac:dyDescent="0.35">
      <c r="A108" s="376" t="s">
        <v>1848</v>
      </c>
      <c r="B108" s="376" t="s">
        <v>1609</v>
      </c>
      <c r="C108" s="376"/>
      <c r="D108" s="376">
        <v>2024</v>
      </c>
      <c r="E108" s="376">
        <v>2026</v>
      </c>
      <c r="F108" s="376">
        <v>0.98</v>
      </c>
      <c r="G108" s="376">
        <v>5705.3347119527834</v>
      </c>
      <c r="H108" s="376">
        <v>1864.2789281593423</v>
      </c>
      <c r="I108" s="376">
        <v>1</v>
      </c>
    </row>
    <row r="109" spans="1:9" x14ac:dyDescent="0.35">
      <c r="A109" s="376" t="s">
        <v>1848</v>
      </c>
      <c r="B109" s="376" t="s">
        <v>1609</v>
      </c>
      <c r="C109" s="376"/>
      <c r="D109" s="376">
        <v>2025</v>
      </c>
      <c r="E109" s="376">
        <v>2026</v>
      </c>
      <c r="F109" s="376">
        <v>0.98</v>
      </c>
      <c r="G109" s="376">
        <v>5705.3347119527834</v>
      </c>
      <c r="H109" s="376">
        <v>1864.2789281593423</v>
      </c>
      <c r="I109" s="376">
        <v>1</v>
      </c>
    </row>
    <row r="110" spans="1:9" x14ac:dyDescent="0.35">
      <c r="A110" s="376" t="s">
        <v>1848</v>
      </c>
      <c r="B110" s="376" t="s">
        <v>1609</v>
      </c>
      <c r="C110" s="376"/>
      <c r="D110" s="376">
        <v>2026</v>
      </c>
      <c r="E110" s="376">
        <v>2026</v>
      </c>
      <c r="F110" s="376">
        <v>0.98</v>
      </c>
      <c r="G110" s="376">
        <v>5705.3347119527834</v>
      </c>
      <c r="H110" s="376">
        <v>1864.2789281593423</v>
      </c>
      <c r="I110" s="376">
        <v>1</v>
      </c>
    </row>
    <row r="111" spans="1:9" x14ac:dyDescent="0.35">
      <c r="A111" s="376" t="s">
        <v>1848</v>
      </c>
      <c r="B111" s="376" t="s">
        <v>1609</v>
      </c>
      <c r="C111" s="376"/>
      <c r="D111" s="376">
        <v>2021</v>
      </c>
      <c r="E111" s="376">
        <v>2027</v>
      </c>
      <c r="F111" s="376">
        <v>0.98</v>
      </c>
      <c r="G111" s="376">
        <v>5705.3347119527834</v>
      </c>
      <c r="H111" s="376">
        <v>1864.2789281593423</v>
      </c>
      <c r="I111" s="376">
        <v>1</v>
      </c>
    </row>
    <row r="112" spans="1:9" x14ac:dyDescent="0.35">
      <c r="A112" s="376" t="s">
        <v>1848</v>
      </c>
      <c r="B112" s="376" t="s">
        <v>1609</v>
      </c>
      <c r="C112" s="376"/>
      <c r="D112" s="376">
        <v>2022</v>
      </c>
      <c r="E112" s="376">
        <v>2027</v>
      </c>
      <c r="F112" s="376">
        <v>0.98</v>
      </c>
      <c r="G112" s="376">
        <v>5705.3347119527834</v>
      </c>
      <c r="H112" s="376">
        <v>1864.2789281593423</v>
      </c>
      <c r="I112" s="376">
        <v>1</v>
      </c>
    </row>
    <row r="113" spans="1:9" x14ac:dyDescent="0.35">
      <c r="A113" s="376" t="s">
        <v>1848</v>
      </c>
      <c r="B113" s="376" t="s">
        <v>1609</v>
      </c>
      <c r="C113" s="376"/>
      <c r="D113" s="376">
        <v>2023</v>
      </c>
      <c r="E113" s="376">
        <v>2027</v>
      </c>
      <c r="F113" s="376">
        <v>0.98</v>
      </c>
      <c r="G113" s="376">
        <v>5705.3347119527834</v>
      </c>
      <c r="H113" s="376">
        <v>1864.2789281593423</v>
      </c>
      <c r="I113" s="376">
        <v>1</v>
      </c>
    </row>
    <row r="114" spans="1:9" x14ac:dyDescent="0.35">
      <c r="A114" s="376" t="s">
        <v>1848</v>
      </c>
      <c r="B114" s="376" t="s">
        <v>1609</v>
      </c>
      <c r="C114" s="376"/>
      <c r="D114" s="376">
        <v>2024</v>
      </c>
      <c r="E114" s="376">
        <v>2027</v>
      </c>
      <c r="F114" s="376">
        <v>0.98</v>
      </c>
      <c r="G114" s="376">
        <v>5705.3347119527834</v>
      </c>
      <c r="H114" s="376">
        <v>1864.2789281593423</v>
      </c>
      <c r="I114" s="376">
        <v>1</v>
      </c>
    </row>
    <row r="115" spans="1:9" x14ac:dyDescent="0.35">
      <c r="A115" s="376" t="s">
        <v>1848</v>
      </c>
      <c r="B115" s="376" t="s">
        <v>1609</v>
      </c>
      <c r="C115" s="376"/>
      <c r="D115" s="376">
        <v>2025</v>
      </c>
      <c r="E115" s="376">
        <v>2027</v>
      </c>
      <c r="F115" s="376">
        <v>0.98</v>
      </c>
      <c r="G115" s="376">
        <v>5705.3347119527834</v>
      </c>
      <c r="H115" s="376">
        <v>1864.2789281593423</v>
      </c>
      <c r="I115" s="376">
        <v>1</v>
      </c>
    </row>
    <row r="116" spans="1:9" x14ac:dyDescent="0.35">
      <c r="A116" s="376" t="s">
        <v>1848</v>
      </c>
      <c r="B116" s="376" t="s">
        <v>1609</v>
      </c>
      <c r="C116" s="376"/>
      <c r="D116" s="376">
        <v>2026</v>
      </c>
      <c r="E116" s="376">
        <v>2027</v>
      </c>
      <c r="F116" s="376">
        <v>0.98</v>
      </c>
      <c r="G116" s="376">
        <v>5705.3347119527834</v>
      </c>
      <c r="H116" s="376">
        <v>1864.2789281593423</v>
      </c>
      <c r="I116" s="376">
        <v>1</v>
      </c>
    </row>
    <row r="117" spans="1:9" x14ac:dyDescent="0.35">
      <c r="A117" s="376" t="s">
        <v>1848</v>
      </c>
      <c r="B117" s="376" t="s">
        <v>1609</v>
      </c>
      <c r="C117" s="376"/>
      <c r="D117" s="376">
        <v>2027</v>
      </c>
      <c r="E117" s="376">
        <v>2027</v>
      </c>
      <c r="F117" s="376">
        <v>0.98</v>
      </c>
      <c r="G117" s="376">
        <v>5705.3347119527834</v>
      </c>
      <c r="H117" s="376">
        <v>1864.2789281593423</v>
      </c>
      <c r="I117" s="376">
        <v>1</v>
      </c>
    </row>
    <row r="118" spans="1:9" x14ac:dyDescent="0.35">
      <c r="A118" s="376" t="s">
        <v>1848</v>
      </c>
      <c r="B118" s="376" t="s">
        <v>1609</v>
      </c>
      <c r="C118" s="376"/>
      <c r="D118" s="376">
        <v>2021</v>
      </c>
      <c r="E118" s="376">
        <v>2028</v>
      </c>
      <c r="F118" s="376">
        <v>0.98</v>
      </c>
      <c r="G118" s="376">
        <v>5705.3347119527834</v>
      </c>
      <c r="H118" s="376">
        <v>1864.2789281593423</v>
      </c>
      <c r="I118" s="376">
        <v>1</v>
      </c>
    </row>
    <row r="119" spans="1:9" x14ac:dyDescent="0.35">
      <c r="A119" s="376" t="s">
        <v>1848</v>
      </c>
      <c r="B119" s="376" t="s">
        <v>1609</v>
      </c>
      <c r="C119" s="376"/>
      <c r="D119" s="376">
        <v>2022</v>
      </c>
      <c r="E119" s="376">
        <v>2028</v>
      </c>
      <c r="F119" s="376">
        <v>0.98</v>
      </c>
      <c r="G119" s="376">
        <v>5705.3347119527834</v>
      </c>
      <c r="H119" s="376">
        <v>1864.2789281593423</v>
      </c>
      <c r="I119" s="376">
        <v>1</v>
      </c>
    </row>
    <row r="120" spans="1:9" x14ac:dyDescent="0.35">
      <c r="A120" s="376" t="s">
        <v>1848</v>
      </c>
      <c r="B120" s="376" t="s">
        <v>1609</v>
      </c>
      <c r="C120" s="376"/>
      <c r="D120" s="376">
        <v>2023</v>
      </c>
      <c r="E120" s="376">
        <v>2028</v>
      </c>
      <c r="F120" s="376">
        <v>0.98</v>
      </c>
      <c r="G120" s="376">
        <v>5705.3347119527834</v>
      </c>
      <c r="H120" s="376">
        <v>1864.2789281593423</v>
      </c>
      <c r="I120" s="376">
        <v>1</v>
      </c>
    </row>
    <row r="121" spans="1:9" x14ac:dyDescent="0.35">
      <c r="A121" s="376" t="s">
        <v>1848</v>
      </c>
      <c r="B121" s="376" t="s">
        <v>1609</v>
      </c>
      <c r="C121" s="376"/>
      <c r="D121" s="376">
        <v>2024</v>
      </c>
      <c r="E121" s="376">
        <v>2028</v>
      </c>
      <c r="F121" s="376">
        <v>0.98</v>
      </c>
      <c r="G121" s="376">
        <v>5705.3347119527834</v>
      </c>
      <c r="H121" s="376">
        <v>1864.2789281593423</v>
      </c>
      <c r="I121" s="376">
        <v>1</v>
      </c>
    </row>
    <row r="122" spans="1:9" x14ac:dyDescent="0.35">
      <c r="A122" s="376" t="s">
        <v>1848</v>
      </c>
      <c r="B122" s="376" t="s">
        <v>1609</v>
      </c>
      <c r="C122" s="376"/>
      <c r="D122" s="376">
        <v>2025</v>
      </c>
      <c r="E122" s="376">
        <v>2028</v>
      </c>
      <c r="F122" s="376">
        <v>0.98</v>
      </c>
      <c r="G122" s="376">
        <v>5705.3347119527834</v>
      </c>
      <c r="H122" s="376">
        <v>1864.2789281593423</v>
      </c>
      <c r="I122" s="376">
        <v>1</v>
      </c>
    </row>
    <row r="123" spans="1:9" x14ac:dyDescent="0.35">
      <c r="A123" s="376" t="s">
        <v>1848</v>
      </c>
      <c r="B123" s="376" t="s">
        <v>1609</v>
      </c>
      <c r="C123" s="376"/>
      <c r="D123" s="376">
        <v>2026</v>
      </c>
      <c r="E123" s="376">
        <v>2028</v>
      </c>
      <c r="F123" s="376">
        <v>0.98</v>
      </c>
      <c r="G123" s="376">
        <v>5705.3347119527834</v>
      </c>
      <c r="H123" s="376">
        <v>1864.2789281593423</v>
      </c>
      <c r="I123" s="376">
        <v>1</v>
      </c>
    </row>
    <row r="124" spans="1:9" x14ac:dyDescent="0.35">
      <c r="A124" s="376" t="s">
        <v>1848</v>
      </c>
      <c r="B124" s="376" t="s">
        <v>1609</v>
      </c>
      <c r="C124" s="376"/>
      <c r="D124" s="376">
        <v>2027</v>
      </c>
      <c r="E124" s="376">
        <v>2028</v>
      </c>
      <c r="F124" s="376">
        <v>0.98</v>
      </c>
      <c r="G124" s="376">
        <v>5705.3347119527834</v>
      </c>
      <c r="H124" s="376">
        <v>1864.2789281593423</v>
      </c>
      <c r="I124" s="376">
        <v>1</v>
      </c>
    </row>
    <row r="125" spans="1:9" x14ac:dyDescent="0.35">
      <c r="A125" s="376" t="s">
        <v>1848</v>
      </c>
      <c r="B125" s="376" t="s">
        <v>1609</v>
      </c>
      <c r="C125" s="376"/>
      <c r="D125" s="376">
        <v>2028</v>
      </c>
      <c r="E125" s="376">
        <v>2028</v>
      </c>
      <c r="F125" s="376">
        <v>0.98</v>
      </c>
      <c r="G125" s="376">
        <v>5705.3347119527834</v>
      </c>
      <c r="H125" s="376">
        <v>1864.2789281593423</v>
      </c>
      <c r="I125" s="376">
        <v>1</v>
      </c>
    </row>
    <row r="126" spans="1:9" x14ac:dyDescent="0.35">
      <c r="A126" s="376" t="s">
        <v>1848</v>
      </c>
      <c r="B126" s="376" t="s">
        <v>1609</v>
      </c>
      <c r="C126" s="376"/>
      <c r="D126" s="376">
        <v>2021</v>
      </c>
      <c r="E126" s="376">
        <v>2029</v>
      </c>
      <c r="F126" s="376">
        <v>0.98</v>
      </c>
      <c r="G126" s="376">
        <v>5705.3347119527834</v>
      </c>
      <c r="H126" s="376">
        <v>1864.2789281593423</v>
      </c>
      <c r="I126" s="376">
        <v>1</v>
      </c>
    </row>
    <row r="127" spans="1:9" x14ac:dyDescent="0.35">
      <c r="A127" s="376" t="s">
        <v>1848</v>
      </c>
      <c r="B127" s="376" t="s">
        <v>1609</v>
      </c>
      <c r="C127" s="376"/>
      <c r="D127" s="376">
        <v>2022</v>
      </c>
      <c r="E127" s="376">
        <v>2029</v>
      </c>
      <c r="F127" s="376">
        <v>0.98</v>
      </c>
      <c r="G127" s="376">
        <v>5705.3347119527834</v>
      </c>
      <c r="H127" s="376">
        <v>1864.2789281593423</v>
      </c>
      <c r="I127" s="376">
        <v>1</v>
      </c>
    </row>
    <row r="128" spans="1:9" x14ac:dyDescent="0.35">
      <c r="A128" s="376" t="s">
        <v>1848</v>
      </c>
      <c r="B128" s="376" t="s">
        <v>1609</v>
      </c>
      <c r="C128" s="376"/>
      <c r="D128" s="376">
        <v>2023</v>
      </c>
      <c r="E128" s="376">
        <v>2029</v>
      </c>
      <c r="F128" s="376">
        <v>0.98</v>
      </c>
      <c r="G128" s="376">
        <v>5705.3347119527834</v>
      </c>
      <c r="H128" s="376">
        <v>1864.2789281593423</v>
      </c>
      <c r="I128" s="376">
        <v>1</v>
      </c>
    </row>
    <row r="129" spans="1:9" x14ac:dyDescent="0.35">
      <c r="A129" s="376" t="s">
        <v>1848</v>
      </c>
      <c r="B129" s="376" t="s">
        <v>1609</v>
      </c>
      <c r="C129" s="376"/>
      <c r="D129" s="376">
        <v>2024</v>
      </c>
      <c r="E129" s="376">
        <v>2029</v>
      </c>
      <c r="F129" s="376">
        <v>0.98</v>
      </c>
      <c r="G129" s="376">
        <v>5705.3347119527834</v>
      </c>
      <c r="H129" s="376">
        <v>1864.2789281593423</v>
      </c>
      <c r="I129" s="376">
        <v>1</v>
      </c>
    </row>
    <row r="130" spans="1:9" x14ac:dyDescent="0.35">
      <c r="A130" s="376" t="s">
        <v>1848</v>
      </c>
      <c r="B130" s="376" t="s">
        <v>1609</v>
      </c>
      <c r="C130" s="376"/>
      <c r="D130" s="376">
        <v>2025</v>
      </c>
      <c r="E130" s="376">
        <v>2029</v>
      </c>
      <c r="F130" s="376">
        <v>0.98</v>
      </c>
      <c r="G130" s="376">
        <v>5705.3347119527834</v>
      </c>
      <c r="H130" s="376">
        <v>1864.2789281593423</v>
      </c>
      <c r="I130" s="376">
        <v>1</v>
      </c>
    </row>
    <row r="131" spans="1:9" x14ac:dyDescent="0.35">
      <c r="A131" s="376" t="s">
        <v>1848</v>
      </c>
      <c r="B131" s="376" t="s">
        <v>1609</v>
      </c>
      <c r="C131" s="376"/>
      <c r="D131" s="376">
        <v>2026</v>
      </c>
      <c r="E131" s="376">
        <v>2029</v>
      </c>
      <c r="F131" s="376">
        <v>0.98</v>
      </c>
      <c r="G131" s="376">
        <v>5705.3347119527834</v>
      </c>
      <c r="H131" s="376">
        <v>1864.2789281593423</v>
      </c>
      <c r="I131" s="376">
        <v>1</v>
      </c>
    </row>
    <row r="132" spans="1:9" x14ac:dyDescent="0.35">
      <c r="A132" s="376" t="s">
        <v>1848</v>
      </c>
      <c r="B132" s="376" t="s">
        <v>1609</v>
      </c>
      <c r="C132" s="376"/>
      <c r="D132" s="376">
        <v>2027</v>
      </c>
      <c r="E132" s="376">
        <v>2029</v>
      </c>
      <c r="F132" s="376">
        <v>0.98</v>
      </c>
      <c r="G132" s="376">
        <v>5705.3347119527834</v>
      </c>
      <c r="H132" s="376">
        <v>1864.2789281593423</v>
      </c>
      <c r="I132" s="376">
        <v>1</v>
      </c>
    </row>
    <row r="133" spans="1:9" x14ac:dyDescent="0.35">
      <c r="A133" s="376" t="s">
        <v>1848</v>
      </c>
      <c r="B133" s="376" t="s">
        <v>1609</v>
      </c>
      <c r="C133" s="376"/>
      <c r="D133" s="376">
        <v>2028</v>
      </c>
      <c r="E133" s="376">
        <v>2029</v>
      </c>
      <c r="F133" s="376">
        <v>0.98</v>
      </c>
      <c r="G133" s="376">
        <v>5705.3347119527834</v>
      </c>
      <c r="H133" s="376">
        <v>1864.2789281593423</v>
      </c>
      <c r="I133" s="376">
        <v>1</v>
      </c>
    </row>
    <row r="134" spans="1:9" x14ac:dyDescent="0.35">
      <c r="A134" s="376" t="s">
        <v>1848</v>
      </c>
      <c r="B134" s="376" t="s">
        <v>1609</v>
      </c>
      <c r="C134" s="376"/>
      <c r="D134" s="376">
        <v>2029</v>
      </c>
      <c r="E134" s="376">
        <v>2029</v>
      </c>
      <c r="F134" s="376">
        <v>0.98</v>
      </c>
      <c r="G134" s="376">
        <v>5705.3347119527834</v>
      </c>
      <c r="H134" s="376">
        <v>1864.2789281593423</v>
      </c>
      <c r="I134" s="376">
        <v>1</v>
      </c>
    </row>
    <row r="135" spans="1:9" x14ac:dyDescent="0.35">
      <c r="A135" s="376" t="s">
        <v>1848</v>
      </c>
      <c r="B135" s="376" t="s">
        <v>1609</v>
      </c>
      <c r="C135" s="376"/>
      <c r="D135" s="376">
        <v>2021</v>
      </c>
      <c r="E135" s="376">
        <v>2030</v>
      </c>
      <c r="F135" s="376">
        <v>0.98</v>
      </c>
      <c r="G135" s="376">
        <v>5705.3347119527834</v>
      </c>
      <c r="H135" s="376">
        <v>1864.2789281593423</v>
      </c>
      <c r="I135" s="376">
        <v>1</v>
      </c>
    </row>
    <row r="136" spans="1:9" x14ac:dyDescent="0.35">
      <c r="A136" s="376" t="s">
        <v>1848</v>
      </c>
      <c r="B136" s="376" t="s">
        <v>1609</v>
      </c>
      <c r="C136" s="376"/>
      <c r="D136" s="376">
        <v>2022</v>
      </c>
      <c r="E136" s="376">
        <v>2030</v>
      </c>
      <c r="F136" s="376">
        <v>0.98</v>
      </c>
      <c r="G136" s="376">
        <v>5705.3347119527834</v>
      </c>
      <c r="H136" s="376">
        <v>1864.2789281593423</v>
      </c>
      <c r="I136" s="376">
        <v>1</v>
      </c>
    </row>
    <row r="137" spans="1:9" x14ac:dyDescent="0.35">
      <c r="A137" s="376" t="s">
        <v>1848</v>
      </c>
      <c r="B137" s="376" t="s">
        <v>1609</v>
      </c>
      <c r="C137" s="376"/>
      <c r="D137" s="376">
        <v>2023</v>
      </c>
      <c r="E137" s="376">
        <v>2030</v>
      </c>
      <c r="F137" s="376">
        <v>0.98</v>
      </c>
      <c r="G137" s="376">
        <v>5705.3347119527834</v>
      </c>
      <c r="H137" s="376">
        <v>1864.2789281593423</v>
      </c>
      <c r="I137" s="376">
        <v>1</v>
      </c>
    </row>
    <row r="138" spans="1:9" x14ac:dyDescent="0.35">
      <c r="A138" s="376" t="s">
        <v>1848</v>
      </c>
      <c r="B138" s="376" t="s">
        <v>1609</v>
      </c>
      <c r="C138" s="376"/>
      <c r="D138" s="376">
        <v>2024</v>
      </c>
      <c r="E138" s="376">
        <v>2030</v>
      </c>
      <c r="F138" s="376">
        <v>0.98</v>
      </c>
      <c r="G138" s="376">
        <v>5705.3347119527834</v>
      </c>
      <c r="H138" s="376">
        <v>1864.2789281593423</v>
      </c>
      <c r="I138" s="376">
        <v>1</v>
      </c>
    </row>
    <row r="139" spans="1:9" x14ac:dyDescent="0.35">
      <c r="A139" s="376" t="s">
        <v>1848</v>
      </c>
      <c r="B139" s="376" t="s">
        <v>1609</v>
      </c>
      <c r="C139" s="376"/>
      <c r="D139" s="376">
        <v>2025</v>
      </c>
      <c r="E139" s="376">
        <v>2030</v>
      </c>
      <c r="F139" s="376">
        <v>0.98</v>
      </c>
      <c r="G139" s="376">
        <v>5705.3347119527834</v>
      </c>
      <c r="H139" s="376">
        <v>1864.2789281593423</v>
      </c>
      <c r="I139" s="376">
        <v>1</v>
      </c>
    </row>
    <row r="140" spans="1:9" x14ac:dyDescent="0.35">
      <c r="A140" s="376" t="s">
        <v>1848</v>
      </c>
      <c r="B140" s="376" t="s">
        <v>1609</v>
      </c>
      <c r="C140" s="376"/>
      <c r="D140" s="376">
        <v>2026</v>
      </c>
      <c r="E140" s="376">
        <v>2030</v>
      </c>
      <c r="F140" s="376">
        <v>0.98</v>
      </c>
      <c r="G140" s="376">
        <v>5705.3347119527834</v>
      </c>
      <c r="H140" s="376">
        <v>1864.2789281593423</v>
      </c>
      <c r="I140" s="376">
        <v>1</v>
      </c>
    </row>
    <row r="141" spans="1:9" x14ac:dyDescent="0.35">
      <c r="A141" s="376" t="s">
        <v>1848</v>
      </c>
      <c r="B141" s="376" t="s">
        <v>1609</v>
      </c>
      <c r="C141" s="376"/>
      <c r="D141" s="376">
        <v>2027</v>
      </c>
      <c r="E141" s="376">
        <v>2030</v>
      </c>
      <c r="F141" s="376">
        <v>0.98</v>
      </c>
      <c r="G141" s="376">
        <v>5705.3347119527834</v>
      </c>
      <c r="H141" s="376">
        <v>1864.2789281593423</v>
      </c>
      <c r="I141" s="376">
        <v>1</v>
      </c>
    </row>
    <row r="142" spans="1:9" x14ac:dyDescent="0.35">
      <c r="A142" s="376" t="s">
        <v>1848</v>
      </c>
      <c r="B142" s="376" t="s">
        <v>1609</v>
      </c>
      <c r="C142" s="376"/>
      <c r="D142" s="376">
        <v>2028</v>
      </c>
      <c r="E142" s="376">
        <v>2030</v>
      </c>
      <c r="F142" s="376">
        <v>0.98</v>
      </c>
      <c r="G142" s="376">
        <v>5705.3347119527834</v>
      </c>
      <c r="H142" s="376">
        <v>1864.2789281593423</v>
      </c>
      <c r="I142" s="376">
        <v>1</v>
      </c>
    </row>
    <row r="143" spans="1:9" x14ac:dyDescent="0.35">
      <c r="A143" s="376" t="s">
        <v>1848</v>
      </c>
      <c r="B143" s="376" t="s">
        <v>1609</v>
      </c>
      <c r="C143" s="376"/>
      <c r="D143" s="376">
        <v>2029</v>
      </c>
      <c r="E143" s="376">
        <v>2030</v>
      </c>
      <c r="F143" s="376">
        <v>0.98</v>
      </c>
      <c r="G143" s="376">
        <v>5705.3347119527834</v>
      </c>
      <c r="H143" s="376">
        <v>1864.2789281593423</v>
      </c>
      <c r="I143" s="376">
        <v>1</v>
      </c>
    </row>
    <row r="144" spans="1:9" x14ac:dyDescent="0.35">
      <c r="A144" s="376" t="s">
        <v>1848</v>
      </c>
      <c r="B144" s="376" t="s">
        <v>1609</v>
      </c>
      <c r="C144" s="376"/>
      <c r="D144" s="376">
        <v>2030</v>
      </c>
      <c r="E144" s="376">
        <v>2030</v>
      </c>
      <c r="F144" s="376">
        <v>0.98</v>
      </c>
      <c r="G144" s="376">
        <v>5705.3347119527834</v>
      </c>
      <c r="H144" s="376">
        <v>1864.2789281593423</v>
      </c>
      <c r="I144" s="376">
        <v>1</v>
      </c>
    </row>
    <row r="145" spans="1:9" x14ac:dyDescent="0.35">
      <c r="A145" s="376" t="s">
        <v>1848</v>
      </c>
      <c r="B145" s="376" t="s">
        <v>1609</v>
      </c>
      <c r="C145" s="376"/>
      <c r="D145" s="376">
        <v>2021</v>
      </c>
      <c r="E145" s="376">
        <v>2031</v>
      </c>
      <c r="F145" s="376">
        <v>0.98</v>
      </c>
      <c r="G145" s="376">
        <v>5705.3347119527834</v>
      </c>
      <c r="H145" s="376">
        <v>1864.2789281593423</v>
      </c>
      <c r="I145" s="376">
        <v>1</v>
      </c>
    </row>
    <row r="146" spans="1:9" x14ac:dyDescent="0.35">
      <c r="A146" s="376" t="s">
        <v>1848</v>
      </c>
      <c r="B146" s="376" t="s">
        <v>1609</v>
      </c>
      <c r="C146" s="376"/>
      <c r="D146" s="376">
        <v>2022</v>
      </c>
      <c r="E146" s="376">
        <v>2031</v>
      </c>
      <c r="F146" s="376">
        <v>0.98</v>
      </c>
      <c r="G146" s="376">
        <v>5705.3347119527834</v>
      </c>
      <c r="H146" s="376">
        <v>1864.2789281593423</v>
      </c>
      <c r="I146" s="376">
        <v>1</v>
      </c>
    </row>
    <row r="147" spans="1:9" x14ac:dyDescent="0.35">
      <c r="A147" s="376" t="s">
        <v>1848</v>
      </c>
      <c r="B147" s="376" t="s">
        <v>1609</v>
      </c>
      <c r="C147" s="376"/>
      <c r="D147" s="376">
        <v>2023</v>
      </c>
      <c r="E147" s="376">
        <v>2031</v>
      </c>
      <c r="F147" s="376">
        <v>0.98</v>
      </c>
      <c r="G147" s="376">
        <v>5705.3347119527834</v>
      </c>
      <c r="H147" s="376">
        <v>1864.2789281593423</v>
      </c>
      <c r="I147" s="376">
        <v>1</v>
      </c>
    </row>
    <row r="148" spans="1:9" x14ac:dyDescent="0.35">
      <c r="A148" s="376" t="s">
        <v>1848</v>
      </c>
      <c r="B148" s="376" t="s">
        <v>1609</v>
      </c>
      <c r="C148" s="376"/>
      <c r="D148" s="376">
        <v>2024</v>
      </c>
      <c r="E148" s="376">
        <v>2031</v>
      </c>
      <c r="F148" s="376">
        <v>0.98</v>
      </c>
      <c r="G148" s="376">
        <v>5705.3347119527834</v>
      </c>
      <c r="H148" s="376">
        <v>1864.2789281593423</v>
      </c>
      <c r="I148" s="376">
        <v>1</v>
      </c>
    </row>
    <row r="149" spans="1:9" x14ac:dyDescent="0.35">
      <c r="A149" s="376" t="s">
        <v>1848</v>
      </c>
      <c r="B149" s="376" t="s">
        <v>1609</v>
      </c>
      <c r="C149" s="376"/>
      <c r="D149" s="376">
        <v>2025</v>
      </c>
      <c r="E149" s="376">
        <v>2031</v>
      </c>
      <c r="F149" s="376">
        <v>0.98</v>
      </c>
      <c r="G149" s="376">
        <v>5705.3347119527834</v>
      </c>
      <c r="H149" s="376">
        <v>1864.2789281593423</v>
      </c>
      <c r="I149" s="376">
        <v>1</v>
      </c>
    </row>
    <row r="150" spans="1:9" x14ac:dyDescent="0.35">
      <c r="A150" s="376" t="s">
        <v>1848</v>
      </c>
      <c r="B150" s="376" t="s">
        <v>1609</v>
      </c>
      <c r="C150" s="376"/>
      <c r="D150" s="376">
        <v>2026</v>
      </c>
      <c r="E150" s="376">
        <v>2031</v>
      </c>
      <c r="F150" s="376">
        <v>0.98</v>
      </c>
      <c r="G150" s="376">
        <v>5705.3347119527834</v>
      </c>
      <c r="H150" s="376">
        <v>1864.2789281593423</v>
      </c>
      <c r="I150" s="376">
        <v>1</v>
      </c>
    </row>
    <row r="151" spans="1:9" x14ac:dyDescent="0.35">
      <c r="A151" s="376" t="s">
        <v>1848</v>
      </c>
      <c r="B151" s="376" t="s">
        <v>1609</v>
      </c>
      <c r="C151" s="376"/>
      <c r="D151" s="376">
        <v>2027</v>
      </c>
      <c r="E151" s="376">
        <v>2031</v>
      </c>
      <c r="F151" s="376">
        <v>0.98</v>
      </c>
      <c r="G151" s="376">
        <v>5705.3347119527834</v>
      </c>
      <c r="H151" s="376">
        <v>1864.2789281593423</v>
      </c>
      <c r="I151" s="376">
        <v>1</v>
      </c>
    </row>
    <row r="152" spans="1:9" x14ac:dyDescent="0.35">
      <c r="A152" s="376" t="s">
        <v>1848</v>
      </c>
      <c r="B152" s="376" t="s">
        <v>1609</v>
      </c>
      <c r="C152" s="376"/>
      <c r="D152" s="376">
        <v>2028</v>
      </c>
      <c r="E152" s="376">
        <v>2031</v>
      </c>
      <c r="F152" s="376">
        <v>0.98</v>
      </c>
      <c r="G152" s="376">
        <v>5705.3347119527834</v>
      </c>
      <c r="H152" s="376">
        <v>1864.2789281593423</v>
      </c>
      <c r="I152" s="376">
        <v>1</v>
      </c>
    </row>
    <row r="153" spans="1:9" x14ac:dyDescent="0.35">
      <c r="A153" s="376" t="s">
        <v>1848</v>
      </c>
      <c r="B153" s="376" t="s">
        <v>1609</v>
      </c>
      <c r="C153" s="376"/>
      <c r="D153" s="376">
        <v>2029</v>
      </c>
      <c r="E153" s="376">
        <v>2031</v>
      </c>
      <c r="F153" s="376">
        <v>0.98</v>
      </c>
      <c r="G153" s="376">
        <v>5705.3347119527834</v>
      </c>
      <c r="H153" s="376">
        <v>1864.2789281593423</v>
      </c>
      <c r="I153" s="376">
        <v>1</v>
      </c>
    </row>
    <row r="154" spans="1:9" x14ac:dyDescent="0.35">
      <c r="A154" s="376" t="s">
        <v>1848</v>
      </c>
      <c r="B154" s="376" t="s">
        <v>1609</v>
      </c>
      <c r="C154" s="376"/>
      <c r="D154" s="376">
        <v>2030</v>
      </c>
      <c r="E154" s="376">
        <v>2031</v>
      </c>
      <c r="F154" s="376">
        <v>0.98</v>
      </c>
      <c r="G154" s="376">
        <v>5705.3347119527834</v>
      </c>
      <c r="H154" s="376">
        <v>1864.2789281593423</v>
      </c>
      <c r="I154" s="376">
        <v>1</v>
      </c>
    </row>
    <row r="155" spans="1:9" x14ac:dyDescent="0.35">
      <c r="A155" s="376" t="s">
        <v>1848</v>
      </c>
      <c r="B155" s="376" t="s">
        <v>1609</v>
      </c>
      <c r="C155" s="376"/>
      <c r="D155" s="376">
        <v>2031</v>
      </c>
      <c r="E155" s="376">
        <v>2031</v>
      </c>
      <c r="F155" s="376">
        <v>0.98</v>
      </c>
      <c r="G155" s="376">
        <v>5705.3347119527834</v>
      </c>
      <c r="H155" s="376">
        <v>1864.2789281593423</v>
      </c>
      <c r="I155" s="376">
        <v>1</v>
      </c>
    </row>
    <row r="156" spans="1:9" x14ac:dyDescent="0.35">
      <c r="A156" s="376" t="s">
        <v>1849</v>
      </c>
      <c r="B156" s="376" t="s">
        <v>1609</v>
      </c>
      <c r="C156" s="376"/>
      <c r="D156" s="376">
        <v>2020</v>
      </c>
      <c r="E156" s="376">
        <v>2021</v>
      </c>
      <c r="F156" s="376">
        <v>0.98</v>
      </c>
      <c r="G156" s="376">
        <v>5705.3347119527834</v>
      </c>
      <c r="H156" s="376">
        <v>85.672729375807648</v>
      </c>
      <c r="I156" s="376">
        <v>1</v>
      </c>
    </row>
    <row r="157" spans="1:9" x14ac:dyDescent="0.35">
      <c r="A157" s="376" t="s">
        <v>1849</v>
      </c>
      <c r="B157" s="376" t="s">
        <v>1609</v>
      </c>
      <c r="C157" s="376"/>
      <c r="D157" s="376">
        <v>2020</v>
      </c>
      <c r="E157" s="376">
        <v>2022</v>
      </c>
      <c r="F157" s="376">
        <v>0.98</v>
      </c>
      <c r="G157" s="376">
        <v>5705.3347119527834</v>
      </c>
      <c r="H157" s="376">
        <v>85.672729375807648</v>
      </c>
      <c r="I157" s="376">
        <v>1</v>
      </c>
    </row>
    <row r="158" spans="1:9" x14ac:dyDescent="0.35">
      <c r="A158" s="376" t="s">
        <v>1849</v>
      </c>
      <c r="B158" s="376" t="s">
        <v>1609</v>
      </c>
      <c r="C158" s="376"/>
      <c r="D158" s="376">
        <v>2020</v>
      </c>
      <c r="E158" s="376">
        <v>2023</v>
      </c>
      <c r="F158" s="376">
        <v>0.98</v>
      </c>
      <c r="G158" s="376">
        <v>5705.3347119527834</v>
      </c>
      <c r="H158" s="376">
        <v>85.672729375807648</v>
      </c>
      <c r="I158" s="376">
        <v>1</v>
      </c>
    </row>
    <row r="159" spans="1:9" x14ac:dyDescent="0.35">
      <c r="A159" s="376" t="s">
        <v>1849</v>
      </c>
      <c r="B159" s="376" t="s">
        <v>1609</v>
      </c>
      <c r="C159" s="376"/>
      <c r="D159" s="376">
        <v>2020</v>
      </c>
      <c r="E159" s="376">
        <v>2024</v>
      </c>
      <c r="F159" s="376">
        <v>0.98</v>
      </c>
      <c r="G159" s="376">
        <v>5705.3347119527834</v>
      </c>
      <c r="H159" s="376">
        <v>85.672729375807648</v>
      </c>
      <c r="I159" s="376">
        <v>1</v>
      </c>
    </row>
    <row r="160" spans="1:9" x14ac:dyDescent="0.35">
      <c r="A160" s="376" t="s">
        <v>1849</v>
      </c>
      <c r="B160" s="376" t="s">
        <v>1609</v>
      </c>
      <c r="C160" s="376"/>
      <c r="D160" s="376">
        <v>2020</v>
      </c>
      <c r="E160" s="376">
        <v>2025</v>
      </c>
      <c r="F160" s="376">
        <v>0.98</v>
      </c>
      <c r="G160" s="376">
        <v>5705.3347119527834</v>
      </c>
      <c r="H160" s="376">
        <v>85.672729375807648</v>
      </c>
      <c r="I160" s="376">
        <v>1</v>
      </c>
    </row>
    <row r="161" spans="1:9" x14ac:dyDescent="0.35">
      <c r="A161" s="376" t="s">
        <v>1849</v>
      </c>
      <c r="B161" s="376" t="s">
        <v>1609</v>
      </c>
      <c r="C161" s="376"/>
      <c r="D161" s="376">
        <v>2020</v>
      </c>
      <c r="E161" s="376">
        <v>2026</v>
      </c>
      <c r="F161" s="376">
        <v>0.98</v>
      </c>
      <c r="G161" s="376">
        <v>5705.3347119527834</v>
      </c>
      <c r="H161" s="376">
        <v>85.672729375807648</v>
      </c>
      <c r="I161" s="376">
        <v>1</v>
      </c>
    </row>
    <row r="162" spans="1:9" x14ac:dyDescent="0.35">
      <c r="A162" s="376" t="s">
        <v>1849</v>
      </c>
      <c r="B162" s="376" t="s">
        <v>1609</v>
      </c>
      <c r="C162" s="376"/>
      <c r="D162" s="376">
        <v>2020</v>
      </c>
      <c r="E162" s="376">
        <v>2027</v>
      </c>
      <c r="F162" s="376">
        <v>0.98</v>
      </c>
      <c r="G162" s="376">
        <v>5705.3347119527834</v>
      </c>
      <c r="H162" s="376">
        <v>85.672729375807648</v>
      </c>
      <c r="I162" s="376">
        <v>1</v>
      </c>
    </row>
    <row r="163" spans="1:9" x14ac:dyDescent="0.35">
      <c r="A163" s="376" t="s">
        <v>1849</v>
      </c>
      <c r="B163" s="376" t="s">
        <v>1609</v>
      </c>
      <c r="C163" s="376"/>
      <c r="D163" s="376">
        <v>2020</v>
      </c>
      <c r="E163" s="376">
        <v>2028</v>
      </c>
      <c r="F163" s="376">
        <v>0.98</v>
      </c>
      <c r="G163" s="376">
        <v>5705.3347119527834</v>
      </c>
      <c r="H163" s="376">
        <v>85.672729375807648</v>
      </c>
      <c r="I163" s="376">
        <v>1</v>
      </c>
    </row>
    <row r="164" spans="1:9" x14ac:dyDescent="0.35">
      <c r="A164" s="376" t="s">
        <v>1849</v>
      </c>
      <c r="B164" s="376" t="s">
        <v>1609</v>
      </c>
      <c r="C164" s="376"/>
      <c r="D164" s="376">
        <v>2020</v>
      </c>
      <c r="E164" s="376">
        <v>2029</v>
      </c>
      <c r="F164" s="376">
        <v>0.98</v>
      </c>
      <c r="G164" s="376">
        <v>5705.3347119527834</v>
      </c>
      <c r="H164" s="376">
        <v>85.672729375807648</v>
      </c>
      <c r="I164" s="376">
        <v>1</v>
      </c>
    </row>
    <row r="165" spans="1:9" x14ac:dyDescent="0.35">
      <c r="A165" s="376" t="s">
        <v>1849</v>
      </c>
      <c r="B165" s="376" t="s">
        <v>1609</v>
      </c>
      <c r="C165" s="376"/>
      <c r="D165" s="376">
        <v>2020</v>
      </c>
      <c r="E165" s="376">
        <v>2030</v>
      </c>
      <c r="F165" s="376">
        <v>0.98</v>
      </c>
      <c r="G165" s="376">
        <v>5705.3347119527834</v>
      </c>
      <c r="H165" s="376">
        <v>85.672729375807648</v>
      </c>
      <c r="I165" s="376">
        <v>1</v>
      </c>
    </row>
    <row r="166" spans="1:9" x14ac:dyDescent="0.35">
      <c r="A166" s="376" t="s">
        <v>1849</v>
      </c>
      <c r="B166" s="376" t="s">
        <v>1609</v>
      </c>
      <c r="C166" s="376"/>
      <c r="D166" s="376">
        <v>2020</v>
      </c>
      <c r="E166" s="376">
        <v>2031</v>
      </c>
      <c r="F166" s="376">
        <v>0.98</v>
      </c>
      <c r="G166" s="376">
        <v>5705.3347119527834</v>
      </c>
      <c r="H166" s="376">
        <v>85.672729375807648</v>
      </c>
      <c r="I166" s="376">
        <v>1</v>
      </c>
    </row>
    <row r="167" spans="1:9" x14ac:dyDescent="0.35">
      <c r="A167" s="376" t="s">
        <v>1849</v>
      </c>
      <c r="B167" s="376" t="s">
        <v>1609</v>
      </c>
      <c r="C167" s="376"/>
      <c r="D167" s="376">
        <v>2021</v>
      </c>
      <c r="E167" s="376">
        <v>2021</v>
      </c>
      <c r="F167" s="376">
        <v>0.98</v>
      </c>
      <c r="G167" s="376">
        <v>5705.3347119527834</v>
      </c>
      <c r="H167" s="376">
        <v>85.672729375807648</v>
      </c>
      <c r="I167" s="376">
        <v>1</v>
      </c>
    </row>
    <row r="168" spans="1:9" x14ac:dyDescent="0.35">
      <c r="A168" s="376" t="s">
        <v>1849</v>
      </c>
      <c r="B168" s="376" t="s">
        <v>1609</v>
      </c>
      <c r="C168" s="376"/>
      <c r="D168" s="376">
        <v>2021</v>
      </c>
      <c r="E168" s="376">
        <v>2022</v>
      </c>
      <c r="F168" s="376">
        <v>0.98</v>
      </c>
      <c r="G168" s="376">
        <v>5705.3347119527834</v>
      </c>
      <c r="H168" s="376">
        <v>85.672729375807648</v>
      </c>
      <c r="I168" s="376">
        <v>1</v>
      </c>
    </row>
    <row r="169" spans="1:9" x14ac:dyDescent="0.35">
      <c r="A169" s="376" t="s">
        <v>1849</v>
      </c>
      <c r="B169" s="376" t="s">
        <v>1609</v>
      </c>
      <c r="C169" s="376"/>
      <c r="D169" s="376">
        <v>2022</v>
      </c>
      <c r="E169" s="376">
        <v>2022</v>
      </c>
      <c r="F169" s="376">
        <v>0.98</v>
      </c>
      <c r="G169" s="376">
        <v>5705.3347119527834</v>
      </c>
      <c r="H169" s="376">
        <v>85.672729375807648</v>
      </c>
      <c r="I169" s="376">
        <v>1</v>
      </c>
    </row>
    <row r="170" spans="1:9" x14ac:dyDescent="0.35">
      <c r="A170" s="376" t="s">
        <v>1849</v>
      </c>
      <c r="B170" s="376" t="s">
        <v>1609</v>
      </c>
      <c r="C170" s="376"/>
      <c r="D170" s="376">
        <v>2021</v>
      </c>
      <c r="E170" s="376">
        <v>2023</v>
      </c>
      <c r="F170" s="376">
        <v>0.98</v>
      </c>
      <c r="G170" s="376">
        <v>5705.3347119527834</v>
      </c>
      <c r="H170" s="376">
        <v>85.672729375807648</v>
      </c>
      <c r="I170" s="376">
        <v>1</v>
      </c>
    </row>
    <row r="171" spans="1:9" x14ac:dyDescent="0.35">
      <c r="A171" s="376" t="s">
        <v>1849</v>
      </c>
      <c r="B171" s="376" t="s">
        <v>1609</v>
      </c>
      <c r="C171" s="376"/>
      <c r="D171" s="376">
        <v>2022</v>
      </c>
      <c r="E171" s="376">
        <v>2023</v>
      </c>
      <c r="F171" s="376">
        <v>0.98</v>
      </c>
      <c r="G171" s="376">
        <v>5705.3347119527834</v>
      </c>
      <c r="H171" s="376">
        <v>85.672729375807648</v>
      </c>
      <c r="I171" s="376">
        <v>1</v>
      </c>
    </row>
    <row r="172" spans="1:9" x14ac:dyDescent="0.35">
      <c r="A172" s="376" t="s">
        <v>1849</v>
      </c>
      <c r="B172" s="376" t="s">
        <v>1609</v>
      </c>
      <c r="C172" s="376"/>
      <c r="D172" s="376">
        <v>2023</v>
      </c>
      <c r="E172" s="376">
        <v>2023</v>
      </c>
      <c r="F172" s="376">
        <v>0.98</v>
      </c>
      <c r="G172" s="376">
        <v>5705.3347119527834</v>
      </c>
      <c r="H172" s="376">
        <v>85.672729375807648</v>
      </c>
      <c r="I172" s="376">
        <v>1</v>
      </c>
    </row>
    <row r="173" spans="1:9" x14ac:dyDescent="0.35">
      <c r="A173" s="376" t="s">
        <v>1849</v>
      </c>
      <c r="B173" s="376" t="s">
        <v>1609</v>
      </c>
      <c r="C173" s="376"/>
      <c r="D173" s="376">
        <v>2021</v>
      </c>
      <c r="E173" s="376">
        <v>2024</v>
      </c>
      <c r="F173" s="376">
        <v>0.98</v>
      </c>
      <c r="G173" s="376">
        <v>5705.3347119527834</v>
      </c>
      <c r="H173" s="376">
        <v>85.672729375807648</v>
      </c>
      <c r="I173" s="376">
        <v>1</v>
      </c>
    </row>
    <row r="174" spans="1:9" x14ac:dyDescent="0.35">
      <c r="A174" s="376" t="s">
        <v>1849</v>
      </c>
      <c r="B174" s="376" t="s">
        <v>1609</v>
      </c>
      <c r="C174" s="376"/>
      <c r="D174" s="376">
        <v>2022</v>
      </c>
      <c r="E174" s="376">
        <v>2024</v>
      </c>
      <c r="F174" s="376">
        <v>0.98</v>
      </c>
      <c r="G174" s="376">
        <v>5705.3347119527834</v>
      </c>
      <c r="H174" s="376">
        <v>85.672729375807648</v>
      </c>
      <c r="I174" s="376">
        <v>1</v>
      </c>
    </row>
    <row r="175" spans="1:9" x14ac:dyDescent="0.35">
      <c r="A175" s="376" t="s">
        <v>1849</v>
      </c>
      <c r="B175" s="376" t="s">
        <v>1609</v>
      </c>
      <c r="C175" s="376"/>
      <c r="D175" s="376">
        <v>2023</v>
      </c>
      <c r="E175" s="376">
        <v>2024</v>
      </c>
      <c r="F175" s="376">
        <v>0.98</v>
      </c>
      <c r="G175" s="376">
        <v>5705.3347119527834</v>
      </c>
      <c r="H175" s="376">
        <v>85.672729375807648</v>
      </c>
      <c r="I175" s="376">
        <v>1</v>
      </c>
    </row>
    <row r="176" spans="1:9" x14ac:dyDescent="0.35">
      <c r="A176" s="376" t="s">
        <v>1849</v>
      </c>
      <c r="B176" s="376" t="s">
        <v>1609</v>
      </c>
      <c r="C176" s="376"/>
      <c r="D176" s="376">
        <v>2024</v>
      </c>
      <c r="E176" s="376">
        <v>2024</v>
      </c>
      <c r="F176" s="376">
        <v>0.98</v>
      </c>
      <c r="G176" s="376">
        <v>5705.3347119527834</v>
      </c>
      <c r="H176" s="376">
        <v>85.672729375807648</v>
      </c>
      <c r="I176" s="376">
        <v>1</v>
      </c>
    </row>
    <row r="177" spans="1:9" x14ac:dyDescent="0.35">
      <c r="A177" s="376" t="s">
        <v>1849</v>
      </c>
      <c r="B177" s="376" t="s">
        <v>1609</v>
      </c>
      <c r="C177" s="376"/>
      <c r="D177" s="376">
        <v>2021</v>
      </c>
      <c r="E177" s="376">
        <v>2025</v>
      </c>
      <c r="F177" s="376">
        <v>0.98</v>
      </c>
      <c r="G177" s="376">
        <v>5705.3347119527834</v>
      </c>
      <c r="H177" s="376">
        <v>85.672729375807648</v>
      </c>
      <c r="I177" s="376">
        <v>1</v>
      </c>
    </row>
    <row r="178" spans="1:9" x14ac:dyDescent="0.35">
      <c r="A178" s="376" t="s">
        <v>1849</v>
      </c>
      <c r="B178" s="376" t="s">
        <v>1609</v>
      </c>
      <c r="C178" s="376"/>
      <c r="D178" s="376">
        <v>2022</v>
      </c>
      <c r="E178" s="376">
        <v>2025</v>
      </c>
      <c r="F178" s="376">
        <v>0.98</v>
      </c>
      <c r="G178" s="376">
        <v>5705.3347119527834</v>
      </c>
      <c r="H178" s="376">
        <v>85.672729375807648</v>
      </c>
      <c r="I178" s="376">
        <v>1</v>
      </c>
    </row>
    <row r="179" spans="1:9" x14ac:dyDescent="0.35">
      <c r="A179" s="376" t="s">
        <v>1849</v>
      </c>
      <c r="B179" s="376" t="s">
        <v>1609</v>
      </c>
      <c r="C179" s="376"/>
      <c r="D179" s="376">
        <v>2023</v>
      </c>
      <c r="E179" s="376">
        <v>2025</v>
      </c>
      <c r="F179" s="376">
        <v>0.98</v>
      </c>
      <c r="G179" s="376">
        <v>5705.3347119527834</v>
      </c>
      <c r="H179" s="376">
        <v>85.672729375807648</v>
      </c>
      <c r="I179" s="376">
        <v>1</v>
      </c>
    </row>
    <row r="180" spans="1:9" x14ac:dyDescent="0.35">
      <c r="A180" s="376" t="s">
        <v>1849</v>
      </c>
      <c r="B180" s="376" t="s">
        <v>1609</v>
      </c>
      <c r="C180" s="376"/>
      <c r="D180" s="376">
        <v>2024</v>
      </c>
      <c r="E180" s="376">
        <v>2025</v>
      </c>
      <c r="F180" s="376">
        <v>0.98</v>
      </c>
      <c r="G180" s="376">
        <v>5705.3347119527834</v>
      </c>
      <c r="H180" s="376">
        <v>85.672729375807648</v>
      </c>
      <c r="I180" s="376">
        <v>1</v>
      </c>
    </row>
    <row r="181" spans="1:9" x14ac:dyDescent="0.35">
      <c r="A181" s="376" t="s">
        <v>1849</v>
      </c>
      <c r="B181" s="376" t="s">
        <v>1609</v>
      </c>
      <c r="C181" s="376"/>
      <c r="D181" s="376">
        <v>2025</v>
      </c>
      <c r="E181" s="376">
        <v>2025</v>
      </c>
      <c r="F181" s="376">
        <v>0.98</v>
      </c>
      <c r="G181" s="376">
        <v>5705.3347119527834</v>
      </c>
      <c r="H181" s="376">
        <v>85.672729375807648</v>
      </c>
      <c r="I181" s="376">
        <v>1</v>
      </c>
    </row>
    <row r="182" spans="1:9" x14ac:dyDescent="0.35">
      <c r="A182" s="376" t="s">
        <v>1849</v>
      </c>
      <c r="B182" s="376" t="s">
        <v>1609</v>
      </c>
      <c r="C182" s="376"/>
      <c r="D182" s="376">
        <v>2021</v>
      </c>
      <c r="E182" s="376">
        <v>2026</v>
      </c>
      <c r="F182" s="376">
        <v>0.98</v>
      </c>
      <c r="G182" s="376">
        <v>5705.3347119527834</v>
      </c>
      <c r="H182" s="376">
        <v>85.672729375807648</v>
      </c>
      <c r="I182" s="376">
        <v>1</v>
      </c>
    </row>
    <row r="183" spans="1:9" x14ac:dyDescent="0.35">
      <c r="A183" s="376" t="s">
        <v>1849</v>
      </c>
      <c r="B183" s="376" t="s">
        <v>1609</v>
      </c>
      <c r="C183" s="376"/>
      <c r="D183" s="376">
        <v>2022</v>
      </c>
      <c r="E183" s="376">
        <v>2026</v>
      </c>
      <c r="F183" s="376">
        <v>0.98</v>
      </c>
      <c r="G183" s="376">
        <v>5705.3347119527834</v>
      </c>
      <c r="H183" s="376">
        <v>85.672729375807648</v>
      </c>
      <c r="I183" s="376">
        <v>1</v>
      </c>
    </row>
    <row r="184" spans="1:9" x14ac:dyDescent="0.35">
      <c r="A184" s="376" t="s">
        <v>1849</v>
      </c>
      <c r="B184" s="376" t="s">
        <v>1609</v>
      </c>
      <c r="C184" s="376"/>
      <c r="D184" s="376">
        <v>2023</v>
      </c>
      <c r="E184" s="376">
        <v>2026</v>
      </c>
      <c r="F184" s="376">
        <v>0.98</v>
      </c>
      <c r="G184" s="376">
        <v>5705.3347119527834</v>
      </c>
      <c r="H184" s="376">
        <v>85.672729375807648</v>
      </c>
      <c r="I184" s="376">
        <v>1</v>
      </c>
    </row>
    <row r="185" spans="1:9" x14ac:dyDescent="0.35">
      <c r="A185" s="376" t="s">
        <v>1849</v>
      </c>
      <c r="B185" s="376" t="s">
        <v>1609</v>
      </c>
      <c r="C185" s="376"/>
      <c r="D185" s="376">
        <v>2024</v>
      </c>
      <c r="E185" s="376">
        <v>2026</v>
      </c>
      <c r="F185" s="376">
        <v>0.98</v>
      </c>
      <c r="G185" s="376">
        <v>5705.3347119527834</v>
      </c>
      <c r="H185" s="376">
        <v>85.672729375807648</v>
      </c>
      <c r="I185" s="376">
        <v>1</v>
      </c>
    </row>
    <row r="186" spans="1:9" x14ac:dyDescent="0.35">
      <c r="A186" s="376" t="s">
        <v>1849</v>
      </c>
      <c r="B186" s="376" t="s">
        <v>1609</v>
      </c>
      <c r="C186" s="376"/>
      <c r="D186" s="376">
        <v>2025</v>
      </c>
      <c r="E186" s="376">
        <v>2026</v>
      </c>
      <c r="F186" s="376">
        <v>0.98</v>
      </c>
      <c r="G186" s="376">
        <v>5705.3347119527834</v>
      </c>
      <c r="H186" s="376">
        <v>85.672729375807648</v>
      </c>
      <c r="I186" s="376">
        <v>1</v>
      </c>
    </row>
    <row r="187" spans="1:9" x14ac:dyDescent="0.35">
      <c r="A187" s="376" t="s">
        <v>1849</v>
      </c>
      <c r="B187" s="376" t="s">
        <v>1609</v>
      </c>
      <c r="C187" s="376"/>
      <c r="D187" s="376">
        <v>2026</v>
      </c>
      <c r="E187" s="376">
        <v>2026</v>
      </c>
      <c r="F187" s="376">
        <v>0.98</v>
      </c>
      <c r="G187" s="376">
        <v>5705.3347119527834</v>
      </c>
      <c r="H187" s="376">
        <v>85.672729375807648</v>
      </c>
      <c r="I187" s="376">
        <v>1</v>
      </c>
    </row>
    <row r="188" spans="1:9" x14ac:dyDescent="0.35">
      <c r="A188" s="376" t="s">
        <v>1849</v>
      </c>
      <c r="B188" s="376" t="s">
        <v>1609</v>
      </c>
      <c r="C188" s="376"/>
      <c r="D188" s="376">
        <v>2021</v>
      </c>
      <c r="E188" s="376">
        <v>2027</v>
      </c>
      <c r="F188" s="376">
        <v>0.98</v>
      </c>
      <c r="G188" s="376">
        <v>5705.3347119527834</v>
      </c>
      <c r="H188" s="376">
        <v>85.672729375807648</v>
      </c>
      <c r="I188" s="376">
        <v>1</v>
      </c>
    </row>
    <row r="189" spans="1:9" x14ac:dyDescent="0.35">
      <c r="A189" s="376" t="s">
        <v>1849</v>
      </c>
      <c r="B189" s="376" t="s">
        <v>1609</v>
      </c>
      <c r="C189" s="376"/>
      <c r="D189" s="376">
        <v>2022</v>
      </c>
      <c r="E189" s="376">
        <v>2027</v>
      </c>
      <c r="F189" s="376">
        <v>0.98</v>
      </c>
      <c r="G189" s="376">
        <v>5705.3347119527834</v>
      </c>
      <c r="H189" s="376">
        <v>85.672729375807648</v>
      </c>
      <c r="I189" s="376">
        <v>1</v>
      </c>
    </row>
    <row r="190" spans="1:9" x14ac:dyDescent="0.35">
      <c r="A190" s="376" t="s">
        <v>1849</v>
      </c>
      <c r="B190" s="376" t="s">
        <v>1609</v>
      </c>
      <c r="C190" s="376"/>
      <c r="D190" s="376">
        <v>2023</v>
      </c>
      <c r="E190" s="376">
        <v>2027</v>
      </c>
      <c r="F190" s="376">
        <v>0.98</v>
      </c>
      <c r="G190" s="376">
        <v>5705.3347119527834</v>
      </c>
      <c r="H190" s="376">
        <v>85.672729375807648</v>
      </c>
      <c r="I190" s="376">
        <v>1</v>
      </c>
    </row>
    <row r="191" spans="1:9" x14ac:dyDescent="0.35">
      <c r="A191" s="376" t="s">
        <v>1849</v>
      </c>
      <c r="B191" s="376" t="s">
        <v>1609</v>
      </c>
      <c r="C191" s="376"/>
      <c r="D191" s="376">
        <v>2024</v>
      </c>
      <c r="E191" s="376">
        <v>2027</v>
      </c>
      <c r="F191" s="376">
        <v>0.98</v>
      </c>
      <c r="G191" s="376">
        <v>5705.3347119527834</v>
      </c>
      <c r="H191" s="376">
        <v>85.672729375807648</v>
      </c>
      <c r="I191" s="376">
        <v>1</v>
      </c>
    </row>
    <row r="192" spans="1:9" x14ac:dyDescent="0.35">
      <c r="A192" s="376" t="s">
        <v>1849</v>
      </c>
      <c r="B192" s="376" t="s">
        <v>1609</v>
      </c>
      <c r="C192" s="376"/>
      <c r="D192" s="376">
        <v>2025</v>
      </c>
      <c r="E192" s="376">
        <v>2027</v>
      </c>
      <c r="F192" s="376">
        <v>0.98</v>
      </c>
      <c r="G192" s="376">
        <v>5705.3347119527834</v>
      </c>
      <c r="H192" s="376">
        <v>85.672729375807648</v>
      </c>
      <c r="I192" s="376">
        <v>1</v>
      </c>
    </row>
    <row r="193" spans="1:9" x14ac:dyDescent="0.35">
      <c r="A193" s="376" t="s">
        <v>1849</v>
      </c>
      <c r="B193" s="376" t="s">
        <v>1609</v>
      </c>
      <c r="C193" s="376"/>
      <c r="D193" s="376">
        <v>2026</v>
      </c>
      <c r="E193" s="376">
        <v>2027</v>
      </c>
      <c r="F193" s="376">
        <v>0.98</v>
      </c>
      <c r="G193" s="376">
        <v>5705.3347119527834</v>
      </c>
      <c r="H193" s="376">
        <v>85.672729375807648</v>
      </c>
      <c r="I193" s="376">
        <v>1</v>
      </c>
    </row>
    <row r="194" spans="1:9" x14ac:dyDescent="0.35">
      <c r="A194" s="376" t="s">
        <v>1849</v>
      </c>
      <c r="B194" s="376" t="s">
        <v>1609</v>
      </c>
      <c r="C194" s="376"/>
      <c r="D194" s="376">
        <v>2027</v>
      </c>
      <c r="E194" s="376">
        <v>2027</v>
      </c>
      <c r="F194" s="376">
        <v>0.98</v>
      </c>
      <c r="G194" s="376">
        <v>5705.3347119527834</v>
      </c>
      <c r="H194" s="376">
        <v>85.672729375807648</v>
      </c>
      <c r="I194" s="376">
        <v>1</v>
      </c>
    </row>
    <row r="195" spans="1:9" x14ac:dyDescent="0.35">
      <c r="A195" s="376" t="s">
        <v>1849</v>
      </c>
      <c r="B195" s="376" t="s">
        <v>1609</v>
      </c>
      <c r="C195" s="376"/>
      <c r="D195" s="376">
        <v>2021</v>
      </c>
      <c r="E195" s="376">
        <v>2028</v>
      </c>
      <c r="F195" s="376">
        <v>0.98</v>
      </c>
      <c r="G195" s="376">
        <v>5705.3347119527834</v>
      </c>
      <c r="H195" s="376">
        <v>85.672729375807648</v>
      </c>
      <c r="I195" s="376">
        <v>1</v>
      </c>
    </row>
    <row r="196" spans="1:9" x14ac:dyDescent="0.35">
      <c r="A196" s="376" t="s">
        <v>1849</v>
      </c>
      <c r="B196" s="376" t="s">
        <v>1609</v>
      </c>
      <c r="C196" s="376"/>
      <c r="D196" s="376">
        <v>2022</v>
      </c>
      <c r="E196" s="376">
        <v>2028</v>
      </c>
      <c r="F196" s="376">
        <v>0.98</v>
      </c>
      <c r="G196" s="376">
        <v>5705.3347119527834</v>
      </c>
      <c r="H196" s="376">
        <v>85.672729375807648</v>
      </c>
      <c r="I196" s="376">
        <v>1</v>
      </c>
    </row>
    <row r="197" spans="1:9" x14ac:dyDescent="0.35">
      <c r="A197" s="376" t="s">
        <v>1849</v>
      </c>
      <c r="B197" s="376" t="s">
        <v>1609</v>
      </c>
      <c r="C197" s="376"/>
      <c r="D197" s="376">
        <v>2023</v>
      </c>
      <c r="E197" s="376">
        <v>2028</v>
      </c>
      <c r="F197" s="376">
        <v>0.98</v>
      </c>
      <c r="G197" s="376">
        <v>5705.3347119527834</v>
      </c>
      <c r="H197" s="376">
        <v>85.672729375807648</v>
      </c>
      <c r="I197" s="376">
        <v>1</v>
      </c>
    </row>
    <row r="198" spans="1:9" x14ac:dyDescent="0.35">
      <c r="A198" s="376" t="s">
        <v>1849</v>
      </c>
      <c r="B198" s="376" t="s">
        <v>1609</v>
      </c>
      <c r="C198" s="376"/>
      <c r="D198" s="376">
        <v>2024</v>
      </c>
      <c r="E198" s="376">
        <v>2028</v>
      </c>
      <c r="F198" s="376">
        <v>0.98</v>
      </c>
      <c r="G198" s="376">
        <v>5705.3347119527834</v>
      </c>
      <c r="H198" s="376">
        <v>85.672729375807648</v>
      </c>
      <c r="I198" s="376">
        <v>1</v>
      </c>
    </row>
    <row r="199" spans="1:9" x14ac:dyDescent="0.35">
      <c r="A199" s="376" t="s">
        <v>1849</v>
      </c>
      <c r="B199" s="376" t="s">
        <v>1609</v>
      </c>
      <c r="C199" s="376"/>
      <c r="D199" s="376">
        <v>2025</v>
      </c>
      <c r="E199" s="376">
        <v>2028</v>
      </c>
      <c r="F199" s="376">
        <v>0.98</v>
      </c>
      <c r="G199" s="376">
        <v>5705.3347119527834</v>
      </c>
      <c r="H199" s="376">
        <v>85.672729375807648</v>
      </c>
      <c r="I199" s="376">
        <v>1</v>
      </c>
    </row>
    <row r="200" spans="1:9" x14ac:dyDescent="0.35">
      <c r="A200" s="376" t="s">
        <v>1849</v>
      </c>
      <c r="B200" s="376" t="s">
        <v>1609</v>
      </c>
      <c r="C200" s="376"/>
      <c r="D200" s="376">
        <v>2026</v>
      </c>
      <c r="E200" s="376">
        <v>2028</v>
      </c>
      <c r="F200" s="376">
        <v>0.98</v>
      </c>
      <c r="G200" s="376">
        <v>5705.3347119527834</v>
      </c>
      <c r="H200" s="376">
        <v>85.672729375807648</v>
      </c>
      <c r="I200" s="376">
        <v>1</v>
      </c>
    </row>
    <row r="201" spans="1:9" x14ac:dyDescent="0.35">
      <c r="A201" s="376" t="s">
        <v>1849</v>
      </c>
      <c r="B201" s="376" t="s">
        <v>1609</v>
      </c>
      <c r="C201" s="376"/>
      <c r="D201" s="376">
        <v>2027</v>
      </c>
      <c r="E201" s="376">
        <v>2028</v>
      </c>
      <c r="F201" s="376">
        <v>0.98</v>
      </c>
      <c r="G201" s="376">
        <v>5705.3347119527834</v>
      </c>
      <c r="H201" s="376">
        <v>85.672729375807648</v>
      </c>
      <c r="I201" s="376">
        <v>1</v>
      </c>
    </row>
    <row r="202" spans="1:9" x14ac:dyDescent="0.35">
      <c r="A202" s="376" t="s">
        <v>1849</v>
      </c>
      <c r="B202" s="376" t="s">
        <v>1609</v>
      </c>
      <c r="C202" s="376"/>
      <c r="D202" s="376">
        <v>2028</v>
      </c>
      <c r="E202" s="376">
        <v>2028</v>
      </c>
      <c r="F202" s="376">
        <v>0.98</v>
      </c>
      <c r="G202" s="376">
        <v>5705.3347119527834</v>
      </c>
      <c r="H202" s="376">
        <v>85.672729375807648</v>
      </c>
      <c r="I202" s="376">
        <v>1</v>
      </c>
    </row>
    <row r="203" spans="1:9" x14ac:dyDescent="0.35">
      <c r="A203" s="376" t="s">
        <v>1849</v>
      </c>
      <c r="B203" s="376" t="s">
        <v>1609</v>
      </c>
      <c r="C203" s="376"/>
      <c r="D203" s="376">
        <v>2021</v>
      </c>
      <c r="E203" s="376">
        <v>2029</v>
      </c>
      <c r="F203" s="376">
        <v>0.98</v>
      </c>
      <c r="G203" s="376">
        <v>5705.3347119527834</v>
      </c>
      <c r="H203" s="376">
        <v>85.672729375807648</v>
      </c>
      <c r="I203" s="376">
        <v>1</v>
      </c>
    </row>
    <row r="204" spans="1:9" x14ac:dyDescent="0.35">
      <c r="A204" s="376" t="s">
        <v>1849</v>
      </c>
      <c r="B204" s="376" t="s">
        <v>1609</v>
      </c>
      <c r="C204" s="376"/>
      <c r="D204" s="376">
        <v>2022</v>
      </c>
      <c r="E204" s="376">
        <v>2029</v>
      </c>
      <c r="F204" s="376">
        <v>0.98</v>
      </c>
      <c r="G204" s="376">
        <v>5705.3347119527834</v>
      </c>
      <c r="H204" s="376">
        <v>85.672729375807648</v>
      </c>
      <c r="I204" s="376">
        <v>1</v>
      </c>
    </row>
    <row r="205" spans="1:9" x14ac:dyDescent="0.35">
      <c r="A205" s="376" t="s">
        <v>1849</v>
      </c>
      <c r="B205" s="376" t="s">
        <v>1609</v>
      </c>
      <c r="C205" s="376"/>
      <c r="D205" s="376">
        <v>2023</v>
      </c>
      <c r="E205" s="376">
        <v>2029</v>
      </c>
      <c r="F205" s="376">
        <v>0.98</v>
      </c>
      <c r="G205" s="376">
        <v>5705.3347119527834</v>
      </c>
      <c r="H205" s="376">
        <v>85.672729375807648</v>
      </c>
      <c r="I205" s="376">
        <v>1</v>
      </c>
    </row>
    <row r="206" spans="1:9" x14ac:dyDescent="0.35">
      <c r="A206" s="376" t="s">
        <v>1849</v>
      </c>
      <c r="B206" s="376" t="s">
        <v>1609</v>
      </c>
      <c r="C206" s="376"/>
      <c r="D206" s="376">
        <v>2024</v>
      </c>
      <c r="E206" s="376">
        <v>2029</v>
      </c>
      <c r="F206" s="376">
        <v>0.98</v>
      </c>
      <c r="G206" s="376">
        <v>5705.3347119527834</v>
      </c>
      <c r="H206" s="376">
        <v>85.672729375807648</v>
      </c>
      <c r="I206" s="376">
        <v>1</v>
      </c>
    </row>
    <row r="207" spans="1:9" x14ac:dyDescent="0.35">
      <c r="A207" s="376" t="s">
        <v>1849</v>
      </c>
      <c r="B207" s="376" t="s">
        <v>1609</v>
      </c>
      <c r="C207" s="376"/>
      <c r="D207" s="376">
        <v>2025</v>
      </c>
      <c r="E207" s="376">
        <v>2029</v>
      </c>
      <c r="F207" s="376">
        <v>0.98</v>
      </c>
      <c r="G207" s="376">
        <v>5705.3347119527834</v>
      </c>
      <c r="H207" s="376">
        <v>85.672729375807648</v>
      </c>
      <c r="I207" s="376">
        <v>1</v>
      </c>
    </row>
    <row r="208" spans="1:9" x14ac:dyDescent="0.35">
      <c r="A208" s="376" t="s">
        <v>1849</v>
      </c>
      <c r="B208" s="376" t="s">
        <v>1609</v>
      </c>
      <c r="C208" s="376"/>
      <c r="D208" s="376">
        <v>2026</v>
      </c>
      <c r="E208" s="376">
        <v>2029</v>
      </c>
      <c r="F208" s="376">
        <v>0.98</v>
      </c>
      <c r="G208" s="376">
        <v>5705.3347119527834</v>
      </c>
      <c r="H208" s="376">
        <v>85.672729375807648</v>
      </c>
      <c r="I208" s="376">
        <v>1</v>
      </c>
    </row>
    <row r="209" spans="1:9" x14ac:dyDescent="0.35">
      <c r="A209" s="376" t="s">
        <v>1849</v>
      </c>
      <c r="B209" s="376" t="s">
        <v>1609</v>
      </c>
      <c r="C209" s="376"/>
      <c r="D209" s="376">
        <v>2027</v>
      </c>
      <c r="E209" s="376">
        <v>2029</v>
      </c>
      <c r="F209" s="376">
        <v>0.98</v>
      </c>
      <c r="G209" s="376">
        <v>5705.3347119527834</v>
      </c>
      <c r="H209" s="376">
        <v>85.672729375807648</v>
      </c>
      <c r="I209" s="376">
        <v>1</v>
      </c>
    </row>
    <row r="210" spans="1:9" x14ac:dyDescent="0.35">
      <c r="A210" s="376" t="s">
        <v>1849</v>
      </c>
      <c r="B210" s="376" t="s">
        <v>1609</v>
      </c>
      <c r="C210" s="376"/>
      <c r="D210" s="376">
        <v>2028</v>
      </c>
      <c r="E210" s="376">
        <v>2029</v>
      </c>
      <c r="F210" s="376">
        <v>0.98</v>
      </c>
      <c r="G210" s="376">
        <v>5705.3347119527834</v>
      </c>
      <c r="H210" s="376">
        <v>85.672729375807648</v>
      </c>
      <c r="I210" s="376">
        <v>1</v>
      </c>
    </row>
    <row r="211" spans="1:9" x14ac:dyDescent="0.35">
      <c r="A211" s="376" t="s">
        <v>1849</v>
      </c>
      <c r="B211" s="376" t="s">
        <v>1609</v>
      </c>
      <c r="C211" s="376"/>
      <c r="D211" s="376">
        <v>2029</v>
      </c>
      <c r="E211" s="376">
        <v>2029</v>
      </c>
      <c r="F211" s="376">
        <v>0.98</v>
      </c>
      <c r="G211" s="376">
        <v>5705.3347119527834</v>
      </c>
      <c r="H211" s="376">
        <v>85.672729375807648</v>
      </c>
      <c r="I211" s="376">
        <v>1</v>
      </c>
    </row>
    <row r="212" spans="1:9" x14ac:dyDescent="0.35">
      <c r="A212" s="376" t="s">
        <v>1849</v>
      </c>
      <c r="B212" s="376" t="s">
        <v>1609</v>
      </c>
      <c r="C212" s="376"/>
      <c r="D212" s="376">
        <v>2021</v>
      </c>
      <c r="E212" s="376">
        <v>2030</v>
      </c>
      <c r="F212" s="376">
        <v>0.98</v>
      </c>
      <c r="G212" s="376">
        <v>5705.3347119527834</v>
      </c>
      <c r="H212" s="376">
        <v>85.672729375807648</v>
      </c>
      <c r="I212" s="376">
        <v>1</v>
      </c>
    </row>
    <row r="213" spans="1:9" x14ac:dyDescent="0.35">
      <c r="A213" s="376" t="s">
        <v>1849</v>
      </c>
      <c r="B213" s="376" t="s">
        <v>1609</v>
      </c>
      <c r="C213" s="376"/>
      <c r="D213" s="376">
        <v>2022</v>
      </c>
      <c r="E213" s="376">
        <v>2030</v>
      </c>
      <c r="F213" s="376">
        <v>0.98</v>
      </c>
      <c r="G213" s="376">
        <v>5705.3347119527834</v>
      </c>
      <c r="H213" s="376">
        <v>85.672729375807648</v>
      </c>
      <c r="I213" s="376">
        <v>1</v>
      </c>
    </row>
    <row r="214" spans="1:9" x14ac:dyDescent="0.35">
      <c r="A214" s="376" t="s">
        <v>1849</v>
      </c>
      <c r="B214" s="376" t="s">
        <v>1609</v>
      </c>
      <c r="C214" s="376"/>
      <c r="D214" s="376">
        <v>2023</v>
      </c>
      <c r="E214" s="376">
        <v>2030</v>
      </c>
      <c r="F214" s="376">
        <v>0.98</v>
      </c>
      <c r="G214" s="376">
        <v>5705.3347119527834</v>
      </c>
      <c r="H214" s="376">
        <v>85.672729375807648</v>
      </c>
      <c r="I214" s="376">
        <v>1</v>
      </c>
    </row>
    <row r="215" spans="1:9" x14ac:dyDescent="0.35">
      <c r="A215" s="376" t="s">
        <v>1849</v>
      </c>
      <c r="B215" s="376" t="s">
        <v>1609</v>
      </c>
      <c r="C215" s="376"/>
      <c r="D215" s="376">
        <v>2024</v>
      </c>
      <c r="E215" s="376">
        <v>2030</v>
      </c>
      <c r="F215" s="376">
        <v>0.98</v>
      </c>
      <c r="G215" s="376">
        <v>5705.3347119527834</v>
      </c>
      <c r="H215" s="376">
        <v>85.672729375807648</v>
      </c>
      <c r="I215" s="376">
        <v>1</v>
      </c>
    </row>
    <row r="216" spans="1:9" x14ac:dyDescent="0.35">
      <c r="A216" s="376" t="s">
        <v>1849</v>
      </c>
      <c r="B216" s="376" t="s">
        <v>1609</v>
      </c>
      <c r="C216" s="376"/>
      <c r="D216" s="376">
        <v>2025</v>
      </c>
      <c r="E216" s="376">
        <v>2030</v>
      </c>
      <c r="F216" s="376">
        <v>0.98</v>
      </c>
      <c r="G216" s="376">
        <v>5705.3347119527834</v>
      </c>
      <c r="H216" s="376">
        <v>85.672729375807648</v>
      </c>
      <c r="I216" s="376">
        <v>1</v>
      </c>
    </row>
    <row r="217" spans="1:9" x14ac:dyDescent="0.35">
      <c r="A217" s="376" t="s">
        <v>1849</v>
      </c>
      <c r="B217" s="376" t="s">
        <v>1609</v>
      </c>
      <c r="C217" s="376"/>
      <c r="D217" s="376">
        <v>2026</v>
      </c>
      <c r="E217" s="376">
        <v>2030</v>
      </c>
      <c r="F217" s="376">
        <v>0.98</v>
      </c>
      <c r="G217" s="376">
        <v>5705.3347119527834</v>
      </c>
      <c r="H217" s="376">
        <v>85.672729375807648</v>
      </c>
      <c r="I217" s="376">
        <v>1</v>
      </c>
    </row>
    <row r="218" spans="1:9" x14ac:dyDescent="0.35">
      <c r="A218" s="376" t="s">
        <v>1849</v>
      </c>
      <c r="B218" s="376" t="s">
        <v>1609</v>
      </c>
      <c r="C218" s="376"/>
      <c r="D218" s="376">
        <v>2027</v>
      </c>
      <c r="E218" s="376">
        <v>2030</v>
      </c>
      <c r="F218" s="376">
        <v>0.98</v>
      </c>
      <c r="G218" s="376">
        <v>5705.3347119527834</v>
      </c>
      <c r="H218" s="376">
        <v>85.672729375807648</v>
      </c>
      <c r="I218" s="376">
        <v>1</v>
      </c>
    </row>
    <row r="219" spans="1:9" x14ac:dyDescent="0.35">
      <c r="A219" s="376" t="s">
        <v>1849</v>
      </c>
      <c r="B219" s="376" t="s">
        <v>1609</v>
      </c>
      <c r="C219" s="376"/>
      <c r="D219" s="376">
        <v>2028</v>
      </c>
      <c r="E219" s="376">
        <v>2030</v>
      </c>
      <c r="F219" s="376">
        <v>0.98</v>
      </c>
      <c r="G219" s="376">
        <v>5705.3347119527834</v>
      </c>
      <c r="H219" s="376">
        <v>85.672729375807648</v>
      </c>
      <c r="I219" s="376">
        <v>1</v>
      </c>
    </row>
    <row r="220" spans="1:9" x14ac:dyDescent="0.35">
      <c r="A220" s="376" t="s">
        <v>1849</v>
      </c>
      <c r="B220" s="376" t="s">
        <v>1609</v>
      </c>
      <c r="C220" s="376"/>
      <c r="D220" s="376">
        <v>2029</v>
      </c>
      <c r="E220" s="376">
        <v>2030</v>
      </c>
      <c r="F220" s="376">
        <v>0.98</v>
      </c>
      <c r="G220" s="376">
        <v>5705.3347119527834</v>
      </c>
      <c r="H220" s="376">
        <v>85.672729375807648</v>
      </c>
      <c r="I220" s="376">
        <v>1</v>
      </c>
    </row>
    <row r="221" spans="1:9" x14ac:dyDescent="0.35">
      <c r="A221" s="376" t="s">
        <v>1849</v>
      </c>
      <c r="B221" s="376" t="s">
        <v>1609</v>
      </c>
      <c r="C221" s="376"/>
      <c r="D221" s="376">
        <v>2030</v>
      </c>
      <c r="E221" s="376">
        <v>2030</v>
      </c>
      <c r="F221" s="376">
        <v>0.98</v>
      </c>
      <c r="G221" s="376">
        <v>5705.3347119527834</v>
      </c>
      <c r="H221" s="376">
        <v>85.672729375807648</v>
      </c>
      <c r="I221" s="376">
        <v>1</v>
      </c>
    </row>
    <row r="222" spans="1:9" x14ac:dyDescent="0.35">
      <c r="A222" s="376" t="s">
        <v>1849</v>
      </c>
      <c r="B222" s="376" t="s">
        <v>1609</v>
      </c>
      <c r="C222" s="376"/>
      <c r="D222" s="376">
        <v>2021</v>
      </c>
      <c r="E222" s="376">
        <v>2031</v>
      </c>
      <c r="F222" s="376">
        <v>0.98</v>
      </c>
      <c r="G222" s="376">
        <v>5705.3347119527834</v>
      </c>
      <c r="H222" s="376">
        <v>85.672729375807648</v>
      </c>
      <c r="I222" s="376">
        <v>1</v>
      </c>
    </row>
    <row r="223" spans="1:9" x14ac:dyDescent="0.35">
      <c r="A223" s="376" t="s">
        <v>1849</v>
      </c>
      <c r="B223" s="376" t="s">
        <v>1609</v>
      </c>
      <c r="C223" s="376"/>
      <c r="D223" s="376">
        <v>2022</v>
      </c>
      <c r="E223" s="376">
        <v>2031</v>
      </c>
      <c r="F223" s="376">
        <v>0.98</v>
      </c>
      <c r="G223" s="376">
        <v>5705.3347119527834</v>
      </c>
      <c r="H223" s="376">
        <v>85.672729375807648</v>
      </c>
      <c r="I223" s="376">
        <v>1</v>
      </c>
    </row>
    <row r="224" spans="1:9" x14ac:dyDescent="0.35">
      <c r="A224" s="376" t="s">
        <v>1849</v>
      </c>
      <c r="B224" s="376" t="s">
        <v>1609</v>
      </c>
      <c r="C224" s="376"/>
      <c r="D224" s="376">
        <v>2023</v>
      </c>
      <c r="E224" s="376">
        <v>2031</v>
      </c>
      <c r="F224" s="376">
        <v>0.98</v>
      </c>
      <c r="G224" s="376">
        <v>5705.3347119527834</v>
      </c>
      <c r="H224" s="376">
        <v>85.672729375807648</v>
      </c>
      <c r="I224" s="376">
        <v>1</v>
      </c>
    </row>
    <row r="225" spans="1:9" x14ac:dyDescent="0.35">
      <c r="A225" s="376" t="s">
        <v>1849</v>
      </c>
      <c r="B225" s="376" t="s">
        <v>1609</v>
      </c>
      <c r="C225" s="376"/>
      <c r="D225" s="376">
        <v>2024</v>
      </c>
      <c r="E225" s="376">
        <v>2031</v>
      </c>
      <c r="F225" s="376">
        <v>0.98</v>
      </c>
      <c r="G225" s="376">
        <v>5705.3347119527834</v>
      </c>
      <c r="H225" s="376">
        <v>85.672729375807648</v>
      </c>
      <c r="I225" s="376">
        <v>1</v>
      </c>
    </row>
    <row r="226" spans="1:9" x14ac:dyDescent="0.35">
      <c r="A226" s="376" t="s">
        <v>1849</v>
      </c>
      <c r="B226" s="376" t="s">
        <v>1609</v>
      </c>
      <c r="C226" s="376"/>
      <c r="D226" s="376">
        <v>2025</v>
      </c>
      <c r="E226" s="376">
        <v>2031</v>
      </c>
      <c r="F226" s="376">
        <v>0.98</v>
      </c>
      <c r="G226" s="376">
        <v>5705.3347119527834</v>
      </c>
      <c r="H226" s="376">
        <v>85.672729375807648</v>
      </c>
      <c r="I226" s="376">
        <v>1</v>
      </c>
    </row>
    <row r="227" spans="1:9" x14ac:dyDescent="0.35">
      <c r="A227" s="376" t="s">
        <v>1849</v>
      </c>
      <c r="B227" s="376" t="s">
        <v>1609</v>
      </c>
      <c r="C227" s="376"/>
      <c r="D227" s="376">
        <v>2026</v>
      </c>
      <c r="E227" s="376">
        <v>2031</v>
      </c>
      <c r="F227" s="376">
        <v>0.98</v>
      </c>
      <c r="G227" s="376">
        <v>5705.3347119527834</v>
      </c>
      <c r="H227" s="376">
        <v>85.672729375807648</v>
      </c>
      <c r="I227" s="376">
        <v>1</v>
      </c>
    </row>
    <row r="228" spans="1:9" x14ac:dyDescent="0.35">
      <c r="A228" s="376" t="s">
        <v>1849</v>
      </c>
      <c r="B228" s="376" t="s">
        <v>1609</v>
      </c>
      <c r="C228" s="376"/>
      <c r="D228" s="376">
        <v>2027</v>
      </c>
      <c r="E228" s="376">
        <v>2031</v>
      </c>
      <c r="F228" s="376">
        <v>0.98</v>
      </c>
      <c r="G228" s="376">
        <v>5705.3347119527834</v>
      </c>
      <c r="H228" s="376">
        <v>85.672729375807648</v>
      </c>
      <c r="I228" s="376">
        <v>1</v>
      </c>
    </row>
    <row r="229" spans="1:9" x14ac:dyDescent="0.35">
      <c r="A229" s="376" t="s">
        <v>1849</v>
      </c>
      <c r="B229" s="376" t="s">
        <v>1609</v>
      </c>
      <c r="C229" s="376"/>
      <c r="D229" s="376">
        <v>2028</v>
      </c>
      <c r="E229" s="376">
        <v>2031</v>
      </c>
      <c r="F229" s="376">
        <v>0.98</v>
      </c>
      <c r="G229" s="376">
        <v>5705.3347119527834</v>
      </c>
      <c r="H229" s="376">
        <v>85.672729375807648</v>
      </c>
      <c r="I229" s="376">
        <v>1</v>
      </c>
    </row>
    <row r="230" spans="1:9" x14ac:dyDescent="0.35">
      <c r="A230" s="376" t="s">
        <v>1849</v>
      </c>
      <c r="B230" s="376" t="s">
        <v>1609</v>
      </c>
      <c r="C230" s="376"/>
      <c r="D230" s="376">
        <v>2029</v>
      </c>
      <c r="E230" s="376">
        <v>2031</v>
      </c>
      <c r="F230" s="376">
        <v>0.98</v>
      </c>
      <c r="G230" s="376">
        <v>5705.3347119527834</v>
      </c>
      <c r="H230" s="376">
        <v>85.672729375807648</v>
      </c>
      <c r="I230" s="376">
        <v>1</v>
      </c>
    </row>
    <row r="231" spans="1:9" x14ac:dyDescent="0.35">
      <c r="A231" s="376" t="s">
        <v>1849</v>
      </c>
      <c r="B231" s="376" t="s">
        <v>1609</v>
      </c>
      <c r="C231" s="376"/>
      <c r="D231" s="376">
        <v>2030</v>
      </c>
      <c r="E231" s="376">
        <v>2031</v>
      </c>
      <c r="F231" s="376">
        <v>0.98</v>
      </c>
      <c r="G231" s="376">
        <v>5705.3347119527834</v>
      </c>
      <c r="H231" s="376">
        <v>85.672729375807648</v>
      </c>
      <c r="I231" s="376">
        <v>1</v>
      </c>
    </row>
    <row r="232" spans="1:9" x14ac:dyDescent="0.35">
      <c r="A232" s="376" t="s">
        <v>1849</v>
      </c>
      <c r="B232" s="376" t="s">
        <v>1609</v>
      </c>
      <c r="C232" s="376"/>
      <c r="D232" s="376">
        <v>2031</v>
      </c>
      <c r="E232" s="376">
        <v>2031</v>
      </c>
      <c r="F232" s="376">
        <v>0.98</v>
      </c>
      <c r="G232" s="376">
        <v>5705.3347119527834</v>
      </c>
      <c r="H232" s="376">
        <v>85.672729375807648</v>
      </c>
      <c r="I232" s="376">
        <v>1</v>
      </c>
    </row>
    <row r="233" spans="1:9" x14ac:dyDescent="0.35">
      <c r="A233" s="376" t="s">
        <v>1850</v>
      </c>
      <c r="B233" s="376" t="s">
        <v>1609</v>
      </c>
      <c r="C233" s="376"/>
      <c r="D233" s="376">
        <v>2020</v>
      </c>
      <c r="E233" s="376">
        <v>2021</v>
      </c>
      <c r="F233" s="376">
        <v>0.98</v>
      </c>
      <c r="G233" s="376">
        <v>5705.3347119527834</v>
      </c>
      <c r="H233" s="376">
        <v>20991.5728129852</v>
      </c>
      <c r="I233" s="376">
        <v>1</v>
      </c>
    </row>
    <row r="234" spans="1:9" x14ac:dyDescent="0.35">
      <c r="A234" s="376" t="s">
        <v>1850</v>
      </c>
      <c r="B234" s="376" t="s">
        <v>1609</v>
      </c>
      <c r="C234" s="376"/>
      <c r="D234" s="376">
        <v>2020</v>
      </c>
      <c r="E234" s="376">
        <v>2022</v>
      </c>
      <c r="F234" s="376">
        <v>0.98</v>
      </c>
      <c r="G234" s="376">
        <v>5705.3347119527834</v>
      </c>
      <c r="H234" s="376">
        <v>20991.5728129852</v>
      </c>
      <c r="I234" s="376">
        <v>1</v>
      </c>
    </row>
    <row r="235" spans="1:9" x14ac:dyDescent="0.35">
      <c r="A235" s="376" t="s">
        <v>1850</v>
      </c>
      <c r="B235" s="376" t="s">
        <v>1609</v>
      </c>
      <c r="C235" s="376"/>
      <c r="D235" s="376">
        <v>2020</v>
      </c>
      <c r="E235" s="376">
        <v>2023</v>
      </c>
      <c r="F235" s="376">
        <v>0.98</v>
      </c>
      <c r="G235" s="376">
        <v>5705.3347119527834</v>
      </c>
      <c r="H235" s="376">
        <v>20991.5728129852</v>
      </c>
      <c r="I235" s="376">
        <v>1</v>
      </c>
    </row>
    <row r="236" spans="1:9" x14ac:dyDescent="0.35">
      <c r="A236" s="376" t="s">
        <v>1850</v>
      </c>
      <c r="B236" s="376" t="s">
        <v>1609</v>
      </c>
      <c r="C236" s="376"/>
      <c r="D236" s="376">
        <v>2020</v>
      </c>
      <c r="E236" s="376">
        <v>2024</v>
      </c>
      <c r="F236" s="376">
        <v>0.98</v>
      </c>
      <c r="G236" s="376">
        <v>5705.3347119527834</v>
      </c>
      <c r="H236" s="376">
        <v>20991.5728129852</v>
      </c>
      <c r="I236" s="376">
        <v>1</v>
      </c>
    </row>
    <row r="237" spans="1:9" x14ac:dyDescent="0.35">
      <c r="A237" s="376" t="s">
        <v>1850</v>
      </c>
      <c r="B237" s="376" t="s">
        <v>1609</v>
      </c>
      <c r="C237" s="376"/>
      <c r="D237" s="376">
        <v>2020</v>
      </c>
      <c r="E237" s="376">
        <v>2025</v>
      </c>
      <c r="F237" s="376">
        <v>0.98</v>
      </c>
      <c r="G237" s="376">
        <v>5705.3347119527834</v>
      </c>
      <c r="H237" s="376">
        <v>20991.5728129852</v>
      </c>
      <c r="I237" s="376">
        <v>1</v>
      </c>
    </row>
    <row r="238" spans="1:9" x14ac:dyDescent="0.35">
      <c r="A238" s="376" t="s">
        <v>1850</v>
      </c>
      <c r="B238" s="376" t="s">
        <v>1609</v>
      </c>
      <c r="C238" s="376"/>
      <c r="D238" s="376">
        <v>2020</v>
      </c>
      <c r="E238" s="376">
        <v>2026</v>
      </c>
      <c r="F238" s="376">
        <v>0.98</v>
      </c>
      <c r="G238" s="376">
        <v>5705.3347119527834</v>
      </c>
      <c r="H238" s="376">
        <v>20991.5728129852</v>
      </c>
      <c r="I238" s="376">
        <v>1</v>
      </c>
    </row>
    <row r="239" spans="1:9" x14ac:dyDescent="0.35">
      <c r="A239" s="376" t="s">
        <v>1850</v>
      </c>
      <c r="B239" s="376" t="s">
        <v>1609</v>
      </c>
      <c r="C239" s="376"/>
      <c r="D239" s="376">
        <v>2020</v>
      </c>
      <c r="E239" s="376">
        <v>2027</v>
      </c>
      <c r="F239" s="376">
        <v>0.98</v>
      </c>
      <c r="G239" s="376">
        <v>5705.3347119527834</v>
      </c>
      <c r="H239" s="376">
        <v>20991.5728129852</v>
      </c>
      <c r="I239" s="376">
        <v>1</v>
      </c>
    </row>
    <row r="240" spans="1:9" x14ac:dyDescent="0.35">
      <c r="A240" s="376" t="s">
        <v>1850</v>
      </c>
      <c r="B240" s="376" t="s">
        <v>1609</v>
      </c>
      <c r="C240" s="376"/>
      <c r="D240" s="376">
        <v>2020</v>
      </c>
      <c r="E240" s="376">
        <v>2028</v>
      </c>
      <c r="F240" s="376">
        <v>0.98</v>
      </c>
      <c r="G240" s="376">
        <v>5705.3347119527834</v>
      </c>
      <c r="H240" s="376">
        <v>20991.5728129852</v>
      </c>
      <c r="I240" s="376">
        <v>1</v>
      </c>
    </row>
    <row r="241" spans="1:9" x14ac:dyDescent="0.35">
      <c r="A241" s="376" t="s">
        <v>1850</v>
      </c>
      <c r="B241" s="376" t="s">
        <v>1609</v>
      </c>
      <c r="C241" s="376"/>
      <c r="D241" s="376">
        <v>2020</v>
      </c>
      <c r="E241" s="376">
        <v>2029</v>
      </c>
      <c r="F241" s="376">
        <v>0.98</v>
      </c>
      <c r="G241" s="376">
        <v>5705.3347119527834</v>
      </c>
      <c r="H241" s="376">
        <v>20991.5728129852</v>
      </c>
      <c r="I241" s="376">
        <v>1</v>
      </c>
    </row>
    <row r="242" spans="1:9" x14ac:dyDescent="0.35">
      <c r="A242" s="376" t="s">
        <v>1850</v>
      </c>
      <c r="B242" s="376" t="s">
        <v>1609</v>
      </c>
      <c r="C242" s="376"/>
      <c r="D242" s="376">
        <v>2020</v>
      </c>
      <c r="E242" s="376">
        <v>2030</v>
      </c>
      <c r="F242" s="376">
        <v>0.98</v>
      </c>
      <c r="G242" s="376">
        <v>5705.3347119527834</v>
      </c>
      <c r="H242" s="376">
        <v>20991.5728129852</v>
      </c>
      <c r="I242" s="376">
        <v>1</v>
      </c>
    </row>
    <row r="243" spans="1:9" x14ac:dyDescent="0.35">
      <c r="A243" s="376" t="s">
        <v>1850</v>
      </c>
      <c r="B243" s="376" t="s">
        <v>1609</v>
      </c>
      <c r="C243" s="376"/>
      <c r="D243" s="376">
        <v>2020</v>
      </c>
      <c r="E243" s="376">
        <v>2031</v>
      </c>
      <c r="F243" s="376">
        <v>0.98</v>
      </c>
      <c r="G243" s="376">
        <v>5705.3347119527834</v>
      </c>
      <c r="H243" s="376">
        <v>20991.5728129852</v>
      </c>
      <c r="I243" s="376">
        <v>1</v>
      </c>
    </row>
    <row r="244" spans="1:9" x14ac:dyDescent="0.35">
      <c r="A244" s="376" t="s">
        <v>1850</v>
      </c>
      <c r="B244" s="376" t="s">
        <v>1609</v>
      </c>
      <c r="C244" s="376"/>
      <c r="D244" s="376">
        <v>2021</v>
      </c>
      <c r="E244" s="376">
        <v>2021</v>
      </c>
      <c r="F244" s="376">
        <v>0.98</v>
      </c>
      <c r="G244" s="376">
        <v>5705.3347119527834</v>
      </c>
      <c r="H244" s="376">
        <v>20991.5728129852</v>
      </c>
      <c r="I244" s="376">
        <v>1</v>
      </c>
    </row>
    <row r="245" spans="1:9" x14ac:dyDescent="0.35">
      <c r="A245" s="376" t="s">
        <v>1850</v>
      </c>
      <c r="B245" s="376" t="s">
        <v>1609</v>
      </c>
      <c r="C245" s="376"/>
      <c r="D245" s="376">
        <v>2021</v>
      </c>
      <c r="E245" s="376">
        <v>2022</v>
      </c>
      <c r="F245" s="376">
        <v>0.98</v>
      </c>
      <c r="G245" s="376">
        <v>5705.3347119527834</v>
      </c>
      <c r="H245" s="376">
        <v>20991.5728129852</v>
      </c>
      <c r="I245" s="376">
        <v>1</v>
      </c>
    </row>
    <row r="246" spans="1:9" x14ac:dyDescent="0.35">
      <c r="A246" s="376" t="s">
        <v>1850</v>
      </c>
      <c r="B246" s="376" t="s">
        <v>1609</v>
      </c>
      <c r="C246" s="376"/>
      <c r="D246" s="376">
        <v>2022</v>
      </c>
      <c r="E246" s="376">
        <v>2022</v>
      </c>
      <c r="F246" s="376">
        <v>0.98</v>
      </c>
      <c r="G246" s="376">
        <v>5705.3347119527834</v>
      </c>
      <c r="H246" s="376">
        <v>20991.5728129852</v>
      </c>
      <c r="I246" s="376">
        <v>1</v>
      </c>
    </row>
    <row r="247" spans="1:9" x14ac:dyDescent="0.35">
      <c r="A247" s="376" t="s">
        <v>1850</v>
      </c>
      <c r="B247" s="376" t="s">
        <v>1609</v>
      </c>
      <c r="C247" s="376"/>
      <c r="D247" s="376">
        <v>2021</v>
      </c>
      <c r="E247" s="376">
        <v>2023</v>
      </c>
      <c r="F247" s="376">
        <v>0.98</v>
      </c>
      <c r="G247" s="376">
        <v>5705.3347119527834</v>
      </c>
      <c r="H247" s="376">
        <v>20991.5728129852</v>
      </c>
      <c r="I247" s="376">
        <v>1</v>
      </c>
    </row>
    <row r="248" spans="1:9" x14ac:dyDescent="0.35">
      <c r="A248" s="376" t="s">
        <v>1850</v>
      </c>
      <c r="B248" s="376" t="s">
        <v>1609</v>
      </c>
      <c r="C248" s="376"/>
      <c r="D248" s="376">
        <v>2022</v>
      </c>
      <c r="E248" s="376">
        <v>2023</v>
      </c>
      <c r="F248" s="376">
        <v>0.98</v>
      </c>
      <c r="G248" s="376">
        <v>5705.3347119527834</v>
      </c>
      <c r="H248" s="376">
        <v>20991.5728129852</v>
      </c>
      <c r="I248" s="376">
        <v>1</v>
      </c>
    </row>
    <row r="249" spans="1:9" x14ac:dyDescent="0.35">
      <c r="A249" s="376" t="s">
        <v>1850</v>
      </c>
      <c r="B249" s="376" t="s">
        <v>1609</v>
      </c>
      <c r="C249" s="376"/>
      <c r="D249" s="376">
        <v>2023</v>
      </c>
      <c r="E249" s="376">
        <v>2023</v>
      </c>
      <c r="F249" s="376">
        <v>0.98</v>
      </c>
      <c r="G249" s="376">
        <v>5705.3347119527834</v>
      </c>
      <c r="H249" s="376">
        <v>20991.5728129852</v>
      </c>
      <c r="I249" s="376">
        <v>1</v>
      </c>
    </row>
    <row r="250" spans="1:9" x14ac:dyDescent="0.35">
      <c r="A250" s="376" t="s">
        <v>1850</v>
      </c>
      <c r="B250" s="376" t="s">
        <v>1609</v>
      </c>
      <c r="C250" s="376"/>
      <c r="D250" s="376">
        <v>2021</v>
      </c>
      <c r="E250" s="376">
        <v>2024</v>
      </c>
      <c r="F250" s="376">
        <v>0.98</v>
      </c>
      <c r="G250" s="376">
        <v>5705.3347119527834</v>
      </c>
      <c r="H250" s="376">
        <v>20991.5728129852</v>
      </c>
      <c r="I250" s="376">
        <v>1</v>
      </c>
    </row>
    <row r="251" spans="1:9" x14ac:dyDescent="0.35">
      <c r="A251" s="376" t="s">
        <v>1850</v>
      </c>
      <c r="B251" s="376" t="s">
        <v>1609</v>
      </c>
      <c r="C251" s="376"/>
      <c r="D251" s="376">
        <v>2022</v>
      </c>
      <c r="E251" s="376">
        <v>2024</v>
      </c>
      <c r="F251" s="376">
        <v>0.98</v>
      </c>
      <c r="G251" s="376">
        <v>5705.3347119527834</v>
      </c>
      <c r="H251" s="376">
        <v>20991.5728129852</v>
      </c>
      <c r="I251" s="376">
        <v>1</v>
      </c>
    </row>
    <row r="252" spans="1:9" x14ac:dyDescent="0.35">
      <c r="A252" s="376" t="s">
        <v>1850</v>
      </c>
      <c r="B252" s="376" t="s">
        <v>1609</v>
      </c>
      <c r="C252" s="376"/>
      <c r="D252" s="376">
        <v>2023</v>
      </c>
      <c r="E252" s="376">
        <v>2024</v>
      </c>
      <c r="F252" s="376">
        <v>0.98</v>
      </c>
      <c r="G252" s="376">
        <v>5705.3347119527834</v>
      </c>
      <c r="H252" s="376">
        <v>20991.5728129852</v>
      </c>
      <c r="I252" s="376">
        <v>1</v>
      </c>
    </row>
    <row r="253" spans="1:9" x14ac:dyDescent="0.35">
      <c r="A253" s="376" t="s">
        <v>1850</v>
      </c>
      <c r="B253" s="376" t="s">
        <v>1609</v>
      </c>
      <c r="C253" s="376"/>
      <c r="D253" s="376">
        <v>2024</v>
      </c>
      <c r="E253" s="376">
        <v>2024</v>
      </c>
      <c r="F253" s="376">
        <v>0.98</v>
      </c>
      <c r="G253" s="376">
        <v>5705.3347119527834</v>
      </c>
      <c r="H253" s="376">
        <v>20991.5728129852</v>
      </c>
      <c r="I253" s="376">
        <v>1</v>
      </c>
    </row>
    <row r="254" spans="1:9" x14ac:dyDescent="0.35">
      <c r="A254" s="376" t="s">
        <v>1850</v>
      </c>
      <c r="B254" s="376" t="s">
        <v>1609</v>
      </c>
      <c r="C254" s="376"/>
      <c r="D254" s="376">
        <v>2021</v>
      </c>
      <c r="E254" s="376">
        <v>2025</v>
      </c>
      <c r="F254" s="376">
        <v>0.98</v>
      </c>
      <c r="G254" s="376">
        <v>5705.3347119527834</v>
      </c>
      <c r="H254" s="376">
        <v>20991.5728129852</v>
      </c>
      <c r="I254" s="376">
        <v>1</v>
      </c>
    </row>
    <row r="255" spans="1:9" x14ac:dyDescent="0.35">
      <c r="A255" s="376" t="s">
        <v>1850</v>
      </c>
      <c r="B255" s="376" t="s">
        <v>1609</v>
      </c>
      <c r="C255" s="376"/>
      <c r="D255" s="376">
        <v>2022</v>
      </c>
      <c r="E255" s="376">
        <v>2025</v>
      </c>
      <c r="F255" s="376">
        <v>0.98</v>
      </c>
      <c r="G255" s="376">
        <v>5705.3347119527834</v>
      </c>
      <c r="H255" s="376">
        <v>20991.5728129852</v>
      </c>
      <c r="I255" s="376">
        <v>1</v>
      </c>
    </row>
    <row r="256" spans="1:9" x14ac:dyDescent="0.35">
      <c r="A256" s="376" t="s">
        <v>1850</v>
      </c>
      <c r="B256" s="376" t="s">
        <v>1609</v>
      </c>
      <c r="C256" s="376"/>
      <c r="D256" s="376">
        <v>2023</v>
      </c>
      <c r="E256" s="376">
        <v>2025</v>
      </c>
      <c r="F256" s="376">
        <v>0.98</v>
      </c>
      <c r="G256" s="376">
        <v>5705.3347119527834</v>
      </c>
      <c r="H256" s="376">
        <v>20991.5728129852</v>
      </c>
      <c r="I256" s="376">
        <v>1</v>
      </c>
    </row>
    <row r="257" spans="1:9" x14ac:dyDescent="0.35">
      <c r="A257" s="376" t="s">
        <v>1850</v>
      </c>
      <c r="B257" s="376" t="s">
        <v>1609</v>
      </c>
      <c r="C257" s="376"/>
      <c r="D257" s="376">
        <v>2024</v>
      </c>
      <c r="E257" s="376">
        <v>2025</v>
      </c>
      <c r="F257" s="376">
        <v>0.98</v>
      </c>
      <c r="G257" s="376">
        <v>5705.3347119527834</v>
      </c>
      <c r="H257" s="376">
        <v>20991.5728129852</v>
      </c>
      <c r="I257" s="376">
        <v>1</v>
      </c>
    </row>
    <row r="258" spans="1:9" x14ac:dyDescent="0.35">
      <c r="A258" s="376" t="s">
        <v>1850</v>
      </c>
      <c r="B258" s="376" t="s">
        <v>1609</v>
      </c>
      <c r="C258" s="376"/>
      <c r="D258" s="376">
        <v>2025</v>
      </c>
      <c r="E258" s="376">
        <v>2025</v>
      </c>
      <c r="F258" s="376">
        <v>0.98</v>
      </c>
      <c r="G258" s="376">
        <v>5705.3347119527834</v>
      </c>
      <c r="H258" s="376">
        <v>20991.5728129852</v>
      </c>
      <c r="I258" s="376">
        <v>1</v>
      </c>
    </row>
    <row r="259" spans="1:9" x14ac:dyDescent="0.35">
      <c r="A259" s="376" t="s">
        <v>1850</v>
      </c>
      <c r="B259" s="376" t="s">
        <v>1609</v>
      </c>
      <c r="C259" s="376"/>
      <c r="D259" s="376">
        <v>2021</v>
      </c>
      <c r="E259" s="376">
        <v>2026</v>
      </c>
      <c r="F259" s="376">
        <v>0.98</v>
      </c>
      <c r="G259" s="376">
        <v>5705.3347119527834</v>
      </c>
      <c r="H259" s="376">
        <v>20991.5728129852</v>
      </c>
      <c r="I259" s="376">
        <v>1</v>
      </c>
    </row>
    <row r="260" spans="1:9" x14ac:dyDescent="0.35">
      <c r="A260" s="376" t="s">
        <v>1850</v>
      </c>
      <c r="B260" s="376" t="s">
        <v>1609</v>
      </c>
      <c r="C260" s="376"/>
      <c r="D260" s="376">
        <v>2022</v>
      </c>
      <c r="E260" s="376">
        <v>2026</v>
      </c>
      <c r="F260" s="376">
        <v>0.98</v>
      </c>
      <c r="G260" s="376">
        <v>5705.3347119527834</v>
      </c>
      <c r="H260" s="376">
        <v>20991.5728129852</v>
      </c>
      <c r="I260" s="376">
        <v>1</v>
      </c>
    </row>
    <row r="261" spans="1:9" x14ac:dyDescent="0.35">
      <c r="A261" s="376" t="s">
        <v>1850</v>
      </c>
      <c r="B261" s="376" t="s">
        <v>1609</v>
      </c>
      <c r="C261" s="376"/>
      <c r="D261" s="376">
        <v>2023</v>
      </c>
      <c r="E261" s="376">
        <v>2026</v>
      </c>
      <c r="F261" s="376">
        <v>0.98</v>
      </c>
      <c r="G261" s="376">
        <v>5705.3347119527834</v>
      </c>
      <c r="H261" s="376">
        <v>20991.5728129852</v>
      </c>
      <c r="I261" s="376">
        <v>1</v>
      </c>
    </row>
    <row r="262" spans="1:9" x14ac:dyDescent="0.35">
      <c r="A262" s="376" t="s">
        <v>1850</v>
      </c>
      <c r="B262" s="376" t="s">
        <v>1609</v>
      </c>
      <c r="C262" s="376"/>
      <c r="D262" s="376">
        <v>2024</v>
      </c>
      <c r="E262" s="376">
        <v>2026</v>
      </c>
      <c r="F262" s="376">
        <v>0.98</v>
      </c>
      <c r="G262" s="376">
        <v>5705.3347119527834</v>
      </c>
      <c r="H262" s="376">
        <v>20991.5728129852</v>
      </c>
      <c r="I262" s="376">
        <v>1</v>
      </c>
    </row>
    <row r="263" spans="1:9" x14ac:dyDescent="0.35">
      <c r="A263" s="376" t="s">
        <v>1850</v>
      </c>
      <c r="B263" s="376" t="s">
        <v>1609</v>
      </c>
      <c r="C263" s="376"/>
      <c r="D263" s="376">
        <v>2025</v>
      </c>
      <c r="E263" s="376">
        <v>2026</v>
      </c>
      <c r="F263" s="376">
        <v>0.98</v>
      </c>
      <c r="G263" s="376">
        <v>5705.3347119527834</v>
      </c>
      <c r="H263" s="376">
        <v>20991.5728129852</v>
      </c>
      <c r="I263" s="376">
        <v>1</v>
      </c>
    </row>
    <row r="264" spans="1:9" x14ac:dyDescent="0.35">
      <c r="A264" s="376" t="s">
        <v>1850</v>
      </c>
      <c r="B264" s="376" t="s">
        <v>1609</v>
      </c>
      <c r="C264" s="376"/>
      <c r="D264" s="376">
        <v>2026</v>
      </c>
      <c r="E264" s="376">
        <v>2026</v>
      </c>
      <c r="F264" s="376">
        <v>0.98</v>
      </c>
      <c r="G264" s="376">
        <v>5705.3347119527834</v>
      </c>
      <c r="H264" s="376">
        <v>20991.5728129852</v>
      </c>
      <c r="I264" s="376">
        <v>1</v>
      </c>
    </row>
    <row r="265" spans="1:9" x14ac:dyDescent="0.35">
      <c r="A265" s="376" t="s">
        <v>1850</v>
      </c>
      <c r="B265" s="376" t="s">
        <v>1609</v>
      </c>
      <c r="C265" s="376"/>
      <c r="D265" s="376">
        <v>2021</v>
      </c>
      <c r="E265" s="376">
        <v>2027</v>
      </c>
      <c r="F265" s="376">
        <v>0.98</v>
      </c>
      <c r="G265" s="376">
        <v>5705.3347119527834</v>
      </c>
      <c r="H265" s="376">
        <v>20991.5728129852</v>
      </c>
      <c r="I265" s="376">
        <v>1</v>
      </c>
    </row>
    <row r="266" spans="1:9" x14ac:dyDescent="0.35">
      <c r="A266" s="376" t="s">
        <v>1850</v>
      </c>
      <c r="B266" s="376" t="s">
        <v>1609</v>
      </c>
      <c r="C266" s="376"/>
      <c r="D266" s="376">
        <v>2022</v>
      </c>
      <c r="E266" s="376">
        <v>2027</v>
      </c>
      <c r="F266" s="376">
        <v>0.98</v>
      </c>
      <c r="G266" s="376">
        <v>5705.3347119527834</v>
      </c>
      <c r="H266" s="376">
        <v>20991.5728129852</v>
      </c>
      <c r="I266" s="376">
        <v>1</v>
      </c>
    </row>
    <row r="267" spans="1:9" x14ac:dyDescent="0.35">
      <c r="A267" s="376" t="s">
        <v>1850</v>
      </c>
      <c r="B267" s="376" t="s">
        <v>1609</v>
      </c>
      <c r="C267" s="376"/>
      <c r="D267" s="376">
        <v>2023</v>
      </c>
      <c r="E267" s="376">
        <v>2027</v>
      </c>
      <c r="F267" s="376">
        <v>0.98</v>
      </c>
      <c r="G267" s="376">
        <v>5705.3347119527834</v>
      </c>
      <c r="H267" s="376">
        <v>20991.5728129852</v>
      </c>
      <c r="I267" s="376">
        <v>1</v>
      </c>
    </row>
    <row r="268" spans="1:9" x14ac:dyDescent="0.35">
      <c r="A268" s="376" t="s">
        <v>1850</v>
      </c>
      <c r="B268" s="376" t="s">
        <v>1609</v>
      </c>
      <c r="C268" s="376"/>
      <c r="D268" s="376">
        <v>2024</v>
      </c>
      <c r="E268" s="376">
        <v>2027</v>
      </c>
      <c r="F268" s="376">
        <v>0.98</v>
      </c>
      <c r="G268" s="376">
        <v>5705.3347119527834</v>
      </c>
      <c r="H268" s="376">
        <v>20991.5728129852</v>
      </c>
      <c r="I268" s="376">
        <v>1</v>
      </c>
    </row>
    <row r="269" spans="1:9" x14ac:dyDescent="0.35">
      <c r="A269" s="376" t="s">
        <v>1850</v>
      </c>
      <c r="B269" s="376" t="s">
        <v>1609</v>
      </c>
      <c r="C269" s="376"/>
      <c r="D269" s="376">
        <v>2025</v>
      </c>
      <c r="E269" s="376">
        <v>2027</v>
      </c>
      <c r="F269" s="376">
        <v>0.98</v>
      </c>
      <c r="G269" s="376">
        <v>5705.3347119527834</v>
      </c>
      <c r="H269" s="376">
        <v>20991.5728129852</v>
      </c>
      <c r="I269" s="376">
        <v>1</v>
      </c>
    </row>
    <row r="270" spans="1:9" x14ac:dyDescent="0.35">
      <c r="A270" s="376" t="s">
        <v>1850</v>
      </c>
      <c r="B270" s="376" t="s">
        <v>1609</v>
      </c>
      <c r="C270" s="376"/>
      <c r="D270" s="376">
        <v>2026</v>
      </c>
      <c r="E270" s="376">
        <v>2027</v>
      </c>
      <c r="F270" s="376">
        <v>0.98</v>
      </c>
      <c r="G270" s="376">
        <v>5705.3347119527834</v>
      </c>
      <c r="H270" s="376">
        <v>20991.5728129852</v>
      </c>
      <c r="I270" s="376">
        <v>1</v>
      </c>
    </row>
    <row r="271" spans="1:9" x14ac:dyDescent="0.35">
      <c r="A271" s="376" t="s">
        <v>1850</v>
      </c>
      <c r="B271" s="376" t="s">
        <v>1609</v>
      </c>
      <c r="C271" s="376"/>
      <c r="D271" s="376">
        <v>2027</v>
      </c>
      <c r="E271" s="376">
        <v>2027</v>
      </c>
      <c r="F271" s="376">
        <v>0.98</v>
      </c>
      <c r="G271" s="376">
        <v>5705.3347119527834</v>
      </c>
      <c r="H271" s="376">
        <v>20991.5728129852</v>
      </c>
      <c r="I271" s="376">
        <v>1</v>
      </c>
    </row>
    <row r="272" spans="1:9" x14ac:dyDescent="0.35">
      <c r="A272" s="376" t="s">
        <v>1850</v>
      </c>
      <c r="B272" s="376" t="s">
        <v>1609</v>
      </c>
      <c r="C272" s="376"/>
      <c r="D272" s="376">
        <v>2021</v>
      </c>
      <c r="E272" s="376">
        <v>2028</v>
      </c>
      <c r="F272" s="376">
        <v>0.98</v>
      </c>
      <c r="G272" s="376">
        <v>5705.3347119527834</v>
      </c>
      <c r="H272" s="376">
        <v>20991.5728129852</v>
      </c>
      <c r="I272" s="376">
        <v>1</v>
      </c>
    </row>
    <row r="273" spans="1:9" x14ac:dyDescent="0.35">
      <c r="A273" s="376" t="s">
        <v>1850</v>
      </c>
      <c r="B273" s="376" t="s">
        <v>1609</v>
      </c>
      <c r="C273" s="376"/>
      <c r="D273" s="376">
        <v>2022</v>
      </c>
      <c r="E273" s="376">
        <v>2028</v>
      </c>
      <c r="F273" s="376">
        <v>0.98</v>
      </c>
      <c r="G273" s="376">
        <v>5705.3347119527834</v>
      </c>
      <c r="H273" s="376">
        <v>20991.5728129852</v>
      </c>
      <c r="I273" s="376">
        <v>1</v>
      </c>
    </row>
    <row r="274" spans="1:9" x14ac:dyDescent="0.35">
      <c r="A274" s="376" t="s">
        <v>1850</v>
      </c>
      <c r="B274" s="376" t="s">
        <v>1609</v>
      </c>
      <c r="C274" s="376"/>
      <c r="D274" s="376">
        <v>2023</v>
      </c>
      <c r="E274" s="376">
        <v>2028</v>
      </c>
      <c r="F274" s="376">
        <v>0.98</v>
      </c>
      <c r="G274" s="376">
        <v>5705.3347119527834</v>
      </c>
      <c r="H274" s="376">
        <v>20991.5728129852</v>
      </c>
      <c r="I274" s="376">
        <v>1</v>
      </c>
    </row>
    <row r="275" spans="1:9" x14ac:dyDescent="0.35">
      <c r="A275" s="376" t="s">
        <v>1850</v>
      </c>
      <c r="B275" s="376" t="s">
        <v>1609</v>
      </c>
      <c r="C275" s="376"/>
      <c r="D275" s="376">
        <v>2024</v>
      </c>
      <c r="E275" s="376">
        <v>2028</v>
      </c>
      <c r="F275" s="376">
        <v>0.98</v>
      </c>
      <c r="G275" s="376">
        <v>5705.3347119527834</v>
      </c>
      <c r="H275" s="376">
        <v>20991.5728129852</v>
      </c>
      <c r="I275" s="376">
        <v>1</v>
      </c>
    </row>
    <row r="276" spans="1:9" x14ac:dyDescent="0.35">
      <c r="A276" s="376" t="s">
        <v>1850</v>
      </c>
      <c r="B276" s="376" t="s">
        <v>1609</v>
      </c>
      <c r="C276" s="376"/>
      <c r="D276" s="376">
        <v>2025</v>
      </c>
      <c r="E276" s="376">
        <v>2028</v>
      </c>
      <c r="F276" s="376">
        <v>0.98</v>
      </c>
      <c r="G276" s="376">
        <v>5705.3347119527834</v>
      </c>
      <c r="H276" s="376">
        <v>20991.5728129852</v>
      </c>
      <c r="I276" s="376">
        <v>1</v>
      </c>
    </row>
    <row r="277" spans="1:9" x14ac:dyDescent="0.35">
      <c r="A277" s="376" t="s">
        <v>1850</v>
      </c>
      <c r="B277" s="376" t="s">
        <v>1609</v>
      </c>
      <c r="C277" s="376"/>
      <c r="D277" s="376">
        <v>2026</v>
      </c>
      <c r="E277" s="376">
        <v>2028</v>
      </c>
      <c r="F277" s="376">
        <v>0.98</v>
      </c>
      <c r="G277" s="376">
        <v>5705.3347119527834</v>
      </c>
      <c r="H277" s="376">
        <v>20991.5728129852</v>
      </c>
      <c r="I277" s="376">
        <v>1</v>
      </c>
    </row>
    <row r="278" spans="1:9" x14ac:dyDescent="0.35">
      <c r="A278" s="376" t="s">
        <v>1850</v>
      </c>
      <c r="B278" s="376" t="s">
        <v>1609</v>
      </c>
      <c r="C278" s="376"/>
      <c r="D278" s="376">
        <v>2027</v>
      </c>
      <c r="E278" s="376">
        <v>2028</v>
      </c>
      <c r="F278" s="376">
        <v>0.98</v>
      </c>
      <c r="G278" s="376">
        <v>5705.3347119527834</v>
      </c>
      <c r="H278" s="376">
        <v>20991.5728129852</v>
      </c>
      <c r="I278" s="376">
        <v>1</v>
      </c>
    </row>
    <row r="279" spans="1:9" x14ac:dyDescent="0.35">
      <c r="A279" s="376" t="s">
        <v>1850</v>
      </c>
      <c r="B279" s="376" t="s">
        <v>1609</v>
      </c>
      <c r="C279" s="376"/>
      <c r="D279" s="376">
        <v>2028</v>
      </c>
      <c r="E279" s="376">
        <v>2028</v>
      </c>
      <c r="F279" s="376">
        <v>0.98</v>
      </c>
      <c r="G279" s="376">
        <v>5705.3347119527834</v>
      </c>
      <c r="H279" s="376">
        <v>20991.5728129852</v>
      </c>
      <c r="I279" s="376">
        <v>1</v>
      </c>
    </row>
    <row r="280" spans="1:9" x14ac:dyDescent="0.35">
      <c r="A280" s="376" t="s">
        <v>1850</v>
      </c>
      <c r="B280" s="376" t="s">
        <v>1609</v>
      </c>
      <c r="C280" s="376"/>
      <c r="D280" s="376">
        <v>2021</v>
      </c>
      <c r="E280" s="376">
        <v>2029</v>
      </c>
      <c r="F280" s="376">
        <v>0.98</v>
      </c>
      <c r="G280" s="376">
        <v>5705.3347119527834</v>
      </c>
      <c r="H280" s="376">
        <v>20991.5728129852</v>
      </c>
      <c r="I280" s="376">
        <v>1</v>
      </c>
    </row>
    <row r="281" spans="1:9" x14ac:dyDescent="0.35">
      <c r="A281" s="376" t="s">
        <v>1850</v>
      </c>
      <c r="B281" s="376" t="s">
        <v>1609</v>
      </c>
      <c r="C281" s="376"/>
      <c r="D281" s="376">
        <v>2022</v>
      </c>
      <c r="E281" s="376">
        <v>2029</v>
      </c>
      <c r="F281" s="376">
        <v>0.98</v>
      </c>
      <c r="G281" s="376">
        <v>5705.3347119527834</v>
      </c>
      <c r="H281" s="376">
        <v>20991.5728129852</v>
      </c>
      <c r="I281" s="376">
        <v>1</v>
      </c>
    </row>
    <row r="282" spans="1:9" x14ac:dyDescent="0.35">
      <c r="A282" s="376" t="s">
        <v>1850</v>
      </c>
      <c r="B282" s="376" t="s">
        <v>1609</v>
      </c>
      <c r="C282" s="376"/>
      <c r="D282" s="376">
        <v>2023</v>
      </c>
      <c r="E282" s="376">
        <v>2029</v>
      </c>
      <c r="F282" s="376">
        <v>0.98</v>
      </c>
      <c r="G282" s="376">
        <v>5705.3347119527834</v>
      </c>
      <c r="H282" s="376">
        <v>20991.5728129852</v>
      </c>
      <c r="I282" s="376">
        <v>1</v>
      </c>
    </row>
    <row r="283" spans="1:9" x14ac:dyDescent="0.35">
      <c r="A283" s="376" t="s">
        <v>1850</v>
      </c>
      <c r="B283" s="376" t="s">
        <v>1609</v>
      </c>
      <c r="C283" s="376"/>
      <c r="D283" s="376">
        <v>2024</v>
      </c>
      <c r="E283" s="376">
        <v>2029</v>
      </c>
      <c r="F283" s="376">
        <v>0.98</v>
      </c>
      <c r="G283" s="376">
        <v>5705.3347119527834</v>
      </c>
      <c r="H283" s="376">
        <v>20991.5728129852</v>
      </c>
      <c r="I283" s="376">
        <v>1</v>
      </c>
    </row>
    <row r="284" spans="1:9" x14ac:dyDescent="0.35">
      <c r="A284" s="376" t="s">
        <v>1850</v>
      </c>
      <c r="B284" s="376" t="s">
        <v>1609</v>
      </c>
      <c r="C284" s="376"/>
      <c r="D284" s="376">
        <v>2025</v>
      </c>
      <c r="E284" s="376">
        <v>2029</v>
      </c>
      <c r="F284" s="376">
        <v>0.98</v>
      </c>
      <c r="G284" s="376">
        <v>5705.3347119527834</v>
      </c>
      <c r="H284" s="376">
        <v>20991.5728129852</v>
      </c>
      <c r="I284" s="376">
        <v>1</v>
      </c>
    </row>
    <row r="285" spans="1:9" x14ac:dyDescent="0.35">
      <c r="A285" s="376" t="s">
        <v>1850</v>
      </c>
      <c r="B285" s="376" t="s">
        <v>1609</v>
      </c>
      <c r="C285" s="376"/>
      <c r="D285" s="376">
        <v>2026</v>
      </c>
      <c r="E285" s="376">
        <v>2029</v>
      </c>
      <c r="F285" s="376">
        <v>0.98</v>
      </c>
      <c r="G285" s="376">
        <v>5705.3347119527834</v>
      </c>
      <c r="H285" s="376">
        <v>20991.5728129852</v>
      </c>
      <c r="I285" s="376">
        <v>1</v>
      </c>
    </row>
    <row r="286" spans="1:9" x14ac:dyDescent="0.35">
      <c r="A286" s="376" t="s">
        <v>1850</v>
      </c>
      <c r="B286" s="376" t="s">
        <v>1609</v>
      </c>
      <c r="C286" s="376"/>
      <c r="D286" s="376">
        <v>2027</v>
      </c>
      <c r="E286" s="376">
        <v>2029</v>
      </c>
      <c r="F286" s="376">
        <v>0.98</v>
      </c>
      <c r="G286" s="376">
        <v>5705.3347119527834</v>
      </c>
      <c r="H286" s="376">
        <v>20991.5728129852</v>
      </c>
      <c r="I286" s="376">
        <v>1</v>
      </c>
    </row>
    <row r="287" spans="1:9" x14ac:dyDescent="0.35">
      <c r="A287" s="376" t="s">
        <v>1850</v>
      </c>
      <c r="B287" s="376" t="s">
        <v>1609</v>
      </c>
      <c r="C287" s="376"/>
      <c r="D287" s="376">
        <v>2028</v>
      </c>
      <c r="E287" s="376">
        <v>2029</v>
      </c>
      <c r="F287" s="376">
        <v>0.98</v>
      </c>
      <c r="G287" s="376">
        <v>5705.3347119527834</v>
      </c>
      <c r="H287" s="376">
        <v>20991.5728129852</v>
      </c>
      <c r="I287" s="376">
        <v>1</v>
      </c>
    </row>
    <row r="288" spans="1:9" x14ac:dyDescent="0.35">
      <c r="A288" s="376" t="s">
        <v>1850</v>
      </c>
      <c r="B288" s="376" t="s">
        <v>1609</v>
      </c>
      <c r="C288" s="376"/>
      <c r="D288" s="376">
        <v>2029</v>
      </c>
      <c r="E288" s="376">
        <v>2029</v>
      </c>
      <c r="F288" s="376">
        <v>0.98</v>
      </c>
      <c r="G288" s="376">
        <v>5705.3347119527834</v>
      </c>
      <c r="H288" s="376">
        <v>20991.5728129852</v>
      </c>
      <c r="I288" s="376">
        <v>1</v>
      </c>
    </row>
    <row r="289" spans="1:9" x14ac:dyDescent="0.35">
      <c r="A289" s="376" t="s">
        <v>1850</v>
      </c>
      <c r="B289" s="376" t="s">
        <v>1609</v>
      </c>
      <c r="C289" s="376"/>
      <c r="D289" s="376">
        <v>2021</v>
      </c>
      <c r="E289" s="376">
        <v>2030</v>
      </c>
      <c r="F289" s="376">
        <v>0.98</v>
      </c>
      <c r="G289" s="376">
        <v>5705.3347119527834</v>
      </c>
      <c r="H289" s="376">
        <v>20991.5728129852</v>
      </c>
      <c r="I289" s="376">
        <v>1</v>
      </c>
    </row>
    <row r="290" spans="1:9" x14ac:dyDescent="0.35">
      <c r="A290" s="376" t="s">
        <v>1850</v>
      </c>
      <c r="B290" s="376" t="s">
        <v>1609</v>
      </c>
      <c r="C290" s="376"/>
      <c r="D290" s="376">
        <v>2022</v>
      </c>
      <c r="E290" s="376">
        <v>2030</v>
      </c>
      <c r="F290" s="376">
        <v>0.98</v>
      </c>
      <c r="G290" s="376">
        <v>5705.3347119527834</v>
      </c>
      <c r="H290" s="376">
        <v>20991.5728129852</v>
      </c>
      <c r="I290" s="376">
        <v>1</v>
      </c>
    </row>
    <row r="291" spans="1:9" x14ac:dyDescent="0.35">
      <c r="A291" s="376" t="s">
        <v>1850</v>
      </c>
      <c r="B291" s="376" t="s">
        <v>1609</v>
      </c>
      <c r="C291" s="376"/>
      <c r="D291" s="376">
        <v>2023</v>
      </c>
      <c r="E291" s="376">
        <v>2030</v>
      </c>
      <c r="F291" s="376">
        <v>0.98</v>
      </c>
      <c r="G291" s="376">
        <v>5705.3347119527834</v>
      </c>
      <c r="H291" s="376">
        <v>20991.5728129852</v>
      </c>
      <c r="I291" s="376">
        <v>1</v>
      </c>
    </row>
    <row r="292" spans="1:9" x14ac:dyDescent="0.35">
      <c r="A292" s="376" t="s">
        <v>1850</v>
      </c>
      <c r="B292" s="376" t="s">
        <v>1609</v>
      </c>
      <c r="C292" s="376"/>
      <c r="D292" s="376">
        <v>2024</v>
      </c>
      <c r="E292" s="376">
        <v>2030</v>
      </c>
      <c r="F292" s="376">
        <v>0.98</v>
      </c>
      <c r="G292" s="376">
        <v>5705.3347119527834</v>
      </c>
      <c r="H292" s="376">
        <v>20991.5728129852</v>
      </c>
      <c r="I292" s="376">
        <v>1</v>
      </c>
    </row>
    <row r="293" spans="1:9" x14ac:dyDescent="0.35">
      <c r="A293" s="376" t="s">
        <v>1850</v>
      </c>
      <c r="B293" s="376" t="s">
        <v>1609</v>
      </c>
      <c r="C293" s="376"/>
      <c r="D293" s="376">
        <v>2025</v>
      </c>
      <c r="E293" s="376">
        <v>2030</v>
      </c>
      <c r="F293" s="376">
        <v>0.98</v>
      </c>
      <c r="G293" s="376">
        <v>5705.3347119527834</v>
      </c>
      <c r="H293" s="376">
        <v>20991.5728129852</v>
      </c>
      <c r="I293" s="376">
        <v>1</v>
      </c>
    </row>
    <row r="294" spans="1:9" x14ac:dyDescent="0.35">
      <c r="A294" s="376" t="s">
        <v>1850</v>
      </c>
      <c r="B294" s="376" t="s">
        <v>1609</v>
      </c>
      <c r="C294" s="376"/>
      <c r="D294" s="376">
        <v>2026</v>
      </c>
      <c r="E294" s="376">
        <v>2030</v>
      </c>
      <c r="F294" s="376">
        <v>0.98</v>
      </c>
      <c r="G294" s="376">
        <v>5705.3347119527834</v>
      </c>
      <c r="H294" s="376">
        <v>20991.5728129852</v>
      </c>
      <c r="I294" s="376">
        <v>1</v>
      </c>
    </row>
    <row r="295" spans="1:9" x14ac:dyDescent="0.35">
      <c r="A295" s="376" t="s">
        <v>1850</v>
      </c>
      <c r="B295" s="376" t="s">
        <v>1609</v>
      </c>
      <c r="C295" s="376"/>
      <c r="D295" s="376">
        <v>2027</v>
      </c>
      <c r="E295" s="376">
        <v>2030</v>
      </c>
      <c r="F295" s="376">
        <v>0.98</v>
      </c>
      <c r="G295" s="376">
        <v>5705.3347119527834</v>
      </c>
      <c r="H295" s="376">
        <v>20991.5728129852</v>
      </c>
      <c r="I295" s="376">
        <v>1</v>
      </c>
    </row>
    <row r="296" spans="1:9" x14ac:dyDescent="0.35">
      <c r="A296" s="376" t="s">
        <v>1850</v>
      </c>
      <c r="B296" s="376" t="s">
        <v>1609</v>
      </c>
      <c r="C296" s="376"/>
      <c r="D296" s="376">
        <v>2028</v>
      </c>
      <c r="E296" s="376">
        <v>2030</v>
      </c>
      <c r="F296" s="376">
        <v>0.98</v>
      </c>
      <c r="G296" s="376">
        <v>5705.3347119527834</v>
      </c>
      <c r="H296" s="376">
        <v>20991.5728129852</v>
      </c>
      <c r="I296" s="376">
        <v>1</v>
      </c>
    </row>
    <row r="297" spans="1:9" x14ac:dyDescent="0.35">
      <c r="A297" s="376" t="s">
        <v>1850</v>
      </c>
      <c r="B297" s="376" t="s">
        <v>1609</v>
      </c>
      <c r="C297" s="376"/>
      <c r="D297" s="376">
        <v>2029</v>
      </c>
      <c r="E297" s="376">
        <v>2030</v>
      </c>
      <c r="F297" s="376">
        <v>0.98</v>
      </c>
      <c r="G297" s="376">
        <v>5705.3347119527834</v>
      </c>
      <c r="H297" s="376">
        <v>20991.5728129852</v>
      </c>
      <c r="I297" s="376">
        <v>1</v>
      </c>
    </row>
    <row r="298" spans="1:9" x14ac:dyDescent="0.35">
      <c r="A298" s="376" t="s">
        <v>1850</v>
      </c>
      <c r="B298" s="376" t="s">
        <v>1609</v>
      </c>
      <c r="C298" s="376"/>
      <c r="D298" s="376">
        <v>2030</v>
      </c>
      <c r="E298" s="376">
        <v>2030</v>
      </c>
      <c r="F298" s="376">
        <v>0.98</v>
      </c>
      <c r="G298" s="376">
        <v>5705.3347119527834</v>
      </c>
      <c r="H298" s="376">
        <v>20991.5728129852</v>
      </c>
      <c r="I298" s="376">
        <v>1</v>
      </c>
    </row>
    <row r="299" spans="1:9" x14ac:dyDescent="0.35">
      <c r="A299" s="376" t="s">
        <v>1850</v>
      </c>
      <c r="B299" s="376" t="s">
        <v>1609</v>
      </c>
      <c r="C299" s="376"/>
      <c r="D299" s="376">
        <v>2021</v>
      </c>
      <c r="E299" s="376">
        <v>2031</v>
      </c>
      <c r="F299" s="376">
        <v>0.98</v>
      </c>
      <c r="G299" s="376">
        <v>5705.3347119527834</v>
      </c>
      <c r="H299" s="376">
        <v>20991.5728129852</v>
      </c>
      <c r="I299" s="376">
        <v>1</v>
      </c>
    </row>
    <row r="300" spans="1:9" x14ac:dyDescent="0.35">
      <c r="A300" s="376" t="s">
        <v>1850</v>
      </c>
      <c r="B300" s="376" t="s">
        <v>1609</v>
      </c>
      <c r="C300" s="376"/>
      <c r="D300" s="376">
        <v>2022</v>
      </c>
      <c r="E300" s="376">
        <v>2031</v>
      </c>
      <c r="F300" s="376">
        <v>0.98</v>
      </c>
      <c r="G300" s="376">
        <v>5705.3347119527834</v>
      </c>
      <c r="H300" s="376">
        <v>20991.5728129852</v>
      </c>
      <c r="I300" s="376">
        <v>1</v>
      </c>
    </row>
    <row r="301" spans="1:9" x14ac:dyDescent="0.35">
      <c r="A301" s="376" t="s">
        <v>1850</v>
      </c>
      <c r="B301" s="376" t="s">
        <v>1609</v>
      </c>
      <c r="C301" s="376"/>
      <c r="D301" s="376">
        <v>2023</v>
      </c>
      <c r="E301" s="376">
        <v>2031</v>
      </c>
      <c r="F301" s="376">
        <v>0.98</v>
      </c>
      <c r="G301" s="376">
        <v>5705.3347119527834</v>
      </c>
      <c r="H301" s="376">
        <v>20991.5728129852</v>
      </c>
      <c r="I301" s="376">
        <v>1</v>
      </c>
    </row>
    <row r="302" spans="1:9" x14ac:dyDescent="0.35">
      <c r="A302" s="376" t="s">
        <v>1850</v>
      </c>
      <c r="B302" s="376" t="s">
        <v>1609</v>
      </c>
      <c r="C302" s="376"/>
      <c r="D302" s="376">
        <v>2024</v>
      </c>
      <c r="E302" s="376">
        <v>2031</v>
      </c>
      <c r="F302" s="376">
        <v>0.98</v>
      </c>
      <c r="G302" s="376">
        <v>5705.3347119527834</v>
      </c>
      <c r="H302" s="376">
        <v>20991.5728129852</v>
      </c>
      <c r="I302" s="376">
        <v>1</v>
      </c>
    </row>
    <row r="303" spans="1:9" x14ac:dyDescent="0.35">
      <c r="A303" s="376" t="s">
        <v>1850</v>
      </c>
      <c r="B303" s="376" t="s">
        <v>1609</v>
      </c>
      <c r="C303" s="376"/>
      <c r="D303" s="376">
        <v>2025</v>
      </c>
      <c r="E303" s="376">
        <v>2031</v>
      </c>
      <c r="F303" s="376">
        <v>0.98</v>
      </c>
      <c r="G303" s="376">
        <v>5705.3347119527834</v>
      </c>
      <c r="H303" s="376">
        <v>20991.5728129852</v>
      </c>
      <c r="I303" s="376">
        <v>1</v>
      </c>
    </row>
    <row r="304" spans="1:9" x14ac:dyDescent="0.35">
      <c r="A304" s="376" t="s">
        <v>1850</v>
      </c>
      <c r="B304" s="376" t="s">
        <v>1609</v>
      </c>
      <c r="C304" s="376"/>
      <c r="D304" s="376">
        <v>2026</v>
      </c>
      <c r="E304" s="376">
        <v>2031</v>
      </c>
      <c r="F304" s="376">
        <v>0.98</v>
      </c>
      <c r="G304" s="376">
        <v>5705.3347119527834</v>
      </c>
      <c r="H304" s="376">
        <v>20991.5728129852</v>
      </c>
      <c r="I304" s="376">
        <v>1</v>
      </c>
    </row>
    <row r="305" spans="1:9" x14ac:dyDescent="0.35">
      <c r="A305" s="376" t="s">
        <v>1850</v>
      </c>
      <c r="B305" s="376" t="s">
        <v>1609</v>
      </c>
      <c r="C305" s="376"/>
      <c r="D305" s="376">
        <v>2027</v>
      </c>
      <c r="E305" s="376">
        <v>2031</v>
      </c>
      <c r="F305" s="376">
        <v>0.98</v>
      </c>
      <c r="G305" s="376">
        <v>5705.3347119527834</v>
      </c>
      <c r="H305" s="376">
        <v>20991.5728129852</v>
      </c>
      <c r="I305" s="376">
        <v>1</v>
      </c>
    </row>
    <row r="306" spans="1:9" x14ac:dyDescent="0.35">
      <c r="A306" s="376" t="s">
        <v>1850</v>
      </c>
      <c r="B306" s="376" t="s">
        <v>1609</v>
      </c>
      <c r="C306" s="376"/>
      <c r="D306" s="376">
        <v>2028</v>
      </c>
      <c r="E306" s="376">
        <v>2031</v>
      </c>
      <c r="F306" s="376">
        <v>0.98</v>
      </c>
      <c r="G306" s="376">
        <v>5705.3347119527834</v>
      </c>
      <c r="H306" s="376">
        <v>20991.5728129852</v>
      </c>
      <c r="I306" s="376">
        <v>1</v>
      </c>
    </row>
    <row r="307" spans="1:9" x14ac:dyDescent="0.35">
      <c r="A307" s="376" t="s">
        <v>1850</v>
      </c>
      <c r="B307" s="376" t="s">
        <v>1609</v>
      </c>
      <c r="C307" s="376"/>
      <c r="D307" s="376">
        <v>2029</v>
      </c>
      <c r="E307" s="376">
        <v>2031</v>
      </c>
      <c r="F307" s="376">
        <v>0.98</v>
      </c>
      <c r="G307" s="376">
        <v>5705.3347119527834</v>
      </c>
      <c r="H307" s="376">
        <v>20991.5728129852</v>
      </c>
      <c r="I307" s="376">
        <v>1</v>
      </c>
    </row>
    <row r="308" spans="1:9" x14ac:dyDescent="0.35">
      <c r="A308" s="376" t="s">
        <v>1850</v>
      </c>
      <c r="B308" s="376" t="s">
        <v>1609</v>
      </c>
      <c r="C308" s="376"/>
      <c r="D308" s="376">
        <v>2030</v>
      </c>
      <c r="E308" s="376">
        <v>2031</v>
      </c>
      <c r="F308" s="376">
        <v>0.98</v>
      </c>
      <c r="G308" s="376">
        <v>5705.3347119527834</v>
      </c>
      <c r="H308" s="376">
        <v>20991.5728129852</v>
      </c>
      <c r="I308" s="376">
        <v>1</v>
      </c>
    </row>
    <row r="309" spans="1:9" x14ac:dyDescent="0.35">
      <c r="A309" s="376" t="s">
        <v>1850</v>
      </c>
      <c r="B309" s="376" t="s">
        <v>1609</v>
      </c>
      <c r="C309" s="376"/>
      <c r="D309" s="376">
        <v>2031</v>
      </c>
      <c r="E309" s="376">
        <v>2031</v>
      </c>
      <c r="F309" s="376">
        <v>0.98</v>
      </c>
      <c r="G309" s="376">
        <v>5705.3347119527834</v>
      </c>
      <c r="H309" s="376">
        <v>20991.5728129852</v>
      </c>
      <c r="I309" s="376">
        <v>1</v>
      </c>
    </row>
    <row r="310" spans="1:9" x14ac:dyDescent="0.35">
      <c r="A310" s="376" t="s">
        <v>1851</v>
      </c>
      <c r="B310" s="376" t="s">
        <v>1609</v>
      </c>
      <c r="C310" s="376"/>
      <c r="D310" s="376">
        <v>2020</v>
      </c>
      <c r="E310" s="376">
        <v>2021</v>
      </c>
      <c r="F310" s="376">
        <v>0.98</v>
      </c>
      <c r="G310" s="376">
        <v>5705.3347119527834</v>
      </c>
      <c r="H310" s="376">
        <v>5263.9211598497559</v>
      </c>
      <c r="I310" s="376">
        <v>1</v>
      </c>
    </row>
    <row r="311" spans="1:9" x14ac:dyDescent="0.35">
      <c r="A311" s="376" t="s">
        <v>1851</v>
      </c>
      <c r="B311" s="376" t="s">
        <v>1609</v>
      </c>
      <c r="C311" s="376"/>
      <c r="D311" s="376">
        <v>2020</v>
      </c>
      <c r="E311" s="376">
        <v>2022</v>
      </c>
      <c r="F311" s="376">
        <v>0.98</v>
      </c>
      <c r="G311" s="376">
        <v>5705.3347119527834</v>
      </c>
      <c r="H311" s="376">
        <v>5263.9211598497559</v>
      </c>
      <c r="I311" s="376">
        <v>1</v>
      </c>
    </row>
    <row r="312" spans="1:9" x14ac:dyDescent="0.35">
      <c r="A312" s="376" t="s">
        <v>1851</v>
      </c>
      <c r="B312" s="376" t="s">
        <v>1609</v>
      </c>
      <c r="C312" s="376"/>
      <c r="D312" s="376">
        <v>2020</v>
      </c>
      <c r="E312" s="376">
        <v>2023</v>
      </c>
      <c r="F312" s="376">
        <v>0.98</v>
      </c>
      <c r="G312" s="376">
        <v>5705.3347119527834</v>
      </c>
      <c r="H312" s="376">
        <v>5263.9211598497559</v>
      </c>
      <c r="I312" s="376">
        <v>1</v>
      </c>
    </row>
    <row r="313" spans="1:9" x14ac:dyDescent="0.35">
      <c r="A313" s="376" t="s">
        <v>1851</v>
      </c>
      <c r="B313" s="376" t="s">
        <v>1609</v>
      </c>
      <c r="C313" s="376"/>
      <c r="D313" s="376">
        <v>2020</v>
      </c>
      <c r="E313" s="376">
        <v>2024</v>
      </c>
      <c r="F313" s="376">
        <v>0.98</v>
      </c>
      <c r="G313" s="376">
        <v>5705.3347119527834</v>
      </c>
      <c r="H313" s="376">
        <v>5263.9211598497559</v>
      </c>
      <c r="I313" s="376">
        <v>1</v>
      </c>
    </row>
    <row r="314" spans="1:9" x14ac:dyDescent="0.35">
      <c r="A314" s="376" t="s">
        <v>1851</v>
      </c>
      <c r="B314" s="376" t="s">
        <v>1609</v>
      </c>
      <c r="C314" s="376"/>
      <c r="D314" s="376">
        <v>2020</v>
      </c>
      <c r="E314" s="376">
        <v>2025</v>
      </c>
      <c r="F314" s="376">
        <v>0.98</v>
      </c>
      <c r="G314" s="376">
        <v>5705.3347119527834</v>
      </c>
      <c r="H314" s="376">
        <v>5263.9211598497559</v>
      </c>
      <c r="I314" s="376">
        <v>1</v>
      </c>
    </row>
    <row r="315" spans="1:9" x14ac:dyDescent="0.35">
      <c r="A315" s="376" t="s">
        <v>1851</v>
      </c>
      <c r="B315" s="376" t="s">
        <v>1609</v>
      </c>
      <c r="C315" s="376"/>
      <c r="D315" s="376">
        <v>2020</v>
      </c>
      <c r="E315" s="376">
        <v>2026</v>
      </c>
      <c r="F315" s="376">
        <v>0.98</v>
      </c>
      <c r="G315" s="376">
        <v>5705.3347119527834</v>
      </c>
      <c r="H315" s="376">
        <v>5263.9211598497559</v>
      </c>
      <c r="I315" s="376">
        <v>1</v>
      </c>
    </row>
    <row r="316" spans="1:9" x14ac:dyDescent="0.35">
      <c r="A316" s="376" t="s">
        <v>1851</v>
      </c>
      <c r="B316" s="376" t="s">
        <v>1609</v>
      </c>
      <c r="C316" s="376"/>
      <c r="D316" s="376">
        <v>2020</v>
      </c>
      <c r="E316" s="376">
        <v>2027</v>
      </c>
      <c r="F316" s="376">
        <v>0.98</v>
      </c>
      <c r="G316" s="376">
        <v>5705.3347119527834</v>
      </c>
      <c r="H316" s="376">
        <v>5263.9211598497559</v>
      </c>
      <c r="I316" s="376">
        <v>1</v>
      </c>
    </row>
    <row r="317" spans="1:9" x14ac:dyDescent="0.35">
      <c r="A317" s="376" t="s">
        <v>1851</v>
      </c>
      <c r="B317" s="376" t="s">
        <v>1609</v>
      </c>
      <c r="C317" s="376"/>
      <c r="D317" s="376">
        <v>2020</v>
      </c>
      <c r="E317" s="376">
        <v>2028</v>
      </c>
      <c r="F317" s="376">
        <v>0.98</v>
      </c>
      <c r="G317" s="376">
        <v>5705.3347119527834</v>
      </c>
      <c r="H317" s="376">
        <v>5263.9211598497559</v>
      </c>
      <c r="I317" s="376">
        <v>1</v>
      </c>
    </row>
    <row r="318" spans="1:9" x14ac:dyDescent="0.35">
      <c r="A318" s="376" t="s">
        <v>1851</v>
      </c>
      <c r="B318" s="376" t="s">
        <v>1609</v>
      </c>
      <c r="C318" s="376"/>
      <c r="D318" s="376">
        <v>2020</v>
      </c>
      <c r="E318" s="376">
        <v>2029</v>
      </c>
      <c r="F318" s="376">
        <v>0.98</v>
      </c>
      <c r="G318" s="376">
        <v>5705.3347119527834</v>
      </c>
      <c r="H318" s="376">
        <v>5263.9211598497559</v>
      </c>
      <c r="I318" s="376">
        <v>1</v>
      </c>
    </row>
    <row r="319" spans="1:9" x14ac:dyDescent="0.35">
      <c r="A319" s="376" t="s">
        <v>1851</v>
      </c>
      <c r="B319" s="376" t="s">
        <v>1609</v>
      </c>
      <c r="C319" s="376"/>
      <c r="D319" s="376">
        <v>2020</v>
      </c>
      <c r="E319" s="376">
        <v>2030</v>
      </c>
      <c r="F319" s="376">
        <v>0.98</v>
      </c>
      <c r="G319" s="376">
        <v>5705.3347119527834</v>
      </c>
      <c r="H319" s="376">
        <v>5263.9211598497559</v>
      </c>
      <c r="I319" s="376">
        <v>1</v>
      </c>
    </row>
    <row r="320" spans="1:9" x14ac:dyDescent="0.35">
      <c r="A320" s="376" t="s">
        <v>1851</v>
      </c>
      <c r="B320" s="376" t="s">
        <v>1609</v>
      </c>
      <c r="C320" s="376"/>
      <c r="D320" s="376">
        <v>2020</v>
      </c>
      <c r="E320" s="376">
        <v>2031</v>
      </c>
      <c r="F320" s="376">
        <v>0.98</v>
      </c>
      <c r="G320" s="376">
        <v>5705.3347119527834</v>
      </c>
      <c r="H320" s="376">
        <v>5263.9211598497559</v>
      </c>
      <c r="I320" s="376">
        <v>1</v>
      </c>
    </row>
    <row r="321" spans="1:9" x14ac:dyDescent="0.35">
      <c r="A321" s="376" t="s">
        <v>1851</v>
      </c>
      <c r="B321" s="376" t="s">
        <v>1609</v>
      </c>
      <c r="C321" s="376"/>
      <c r="D321" s="376">
        <v>2021</v>
      </c>
      <c r="E321" s="376">
        <v>2021</v>
      </c>
      <c r="F321" s="376">
        <v>0.98</v>
      </c>
      <c r="G321" s="376">
        <v>5705.3347119527834</v>
      </c>
      <c r="H321" s="376">
        <v>5263.9211598497559</v>
      </c>
      <c r="I321" s="376">
        <v>1</v>
      </c>
    </row>
    <row r="322" spans="1:9" x14ac:dyDescent="0.35">
      <c r="A322" s="376" t="s">
        <v>1851</v>
      </c>
      <c r="B322" s="376" t="s">
        <v>1609</v>
      </c>
      <c r="C322" s="376"/>
      <c r="D322" s="376">
        <v>2021</v>
      </c>
      <c r="E322" s="376">
        <v>2022</v>
      </c>
      <c r="F322" s="376">
        <v>0.98</v>
      </c>
      <c r="G322" s="376">
        <v>5705.3347119527834</v>
      </c>
      <c r="H322" s="376">
        <v>5263.9211598497559</v>
      </c>
      <c r="I322" s="376">
        <v>1</v>
      </c>
    </row>
    <row r="323" spans="1:9" x14ac:dyDescent="0.35">
      <c r="A323" s="376" t="s">
        <v>1851</v>
      </c>
      <c r="B323" s="376" t="s">
        <v>1609</v>
      </c>
      <c r="C323" s="376"/>
      <c r="D323" s="376">
        <v>2022</v>
      </c>
      <c r="E323" s="376">
        <v>2022</v>
      </c>
      <c r="F323" s="376">
        <v>0.98</v>
      </c>
      <c r="G323" s="376">
        <v>5705.3347119527834</v>
      </c>
      <c r="H323" s="376">
        <v>5263.9211598497559</v>
      </c>
      <c r="I323" s="376">
        <v>1</v>
      </c>
    </row>
    <row r="324" spans="1:9" x14ac:dyDescent="0.35">
      <c r="A324" s="376" t="s">
        <v>1851</v>
      </c>
      <c r="B324" s="376" t="s">
        <v>1609</v>
      </c>
      <c r="C324" s="376"/>
      <c r="D324" s="376">
        <v>2021</v>
      </c>
      <c r="E324" s="376">
        <v>2023</v>
      </c>
      <c r="F324" s="376">
        <v>0.98</v>
      </c>
      <c r="G324" s="376">
        <v>5705.3347119527834</v>
      </c>
      <c r="H324" s="376">
        <v>5263.9211598497559</v>
      </c>
      <c r="I324" s="376">
        <v>1</v>
      </c>
    </row>
    <row r="325" spans="1:9" x14ac:dyDescent="0.35">
      <c r="A325" s="376" t="s">
        <v>1851</v>
      </c>
      <c r="B325" s="376" t="s">
        <v>1609</v>
      </c>
      <c r="C325" s="376"/>
      <c r="D325" s="376">
        <v>2022</v>
      </c>
      <c r="E325" s="376">
        <v>2023</v>
      </c>
      <c r="F325" s="376">
        <v>0.98</v>
      </c>
      <c r="G325" s="376">
        <v>5705.3347119527834</v>
      </c>
      <c r="H325" s="376">
        <v>5263.9211598497559</v>
      </c>
      <c r="I325" s="376">
        <v>1</v>
      </c>
    </row>
    <row r="326" spans="1:9" x14ac:dyDescent="0.35">
      <c r="A326" s="376" t="s">
        <v>1851</v>
      </c>
      <c r="B326" s="376" t="s">
        <v>1609</v>
      </c>
      <c r="C326" s="376"/>
      <c r="D326" s="376">
        <v>2023</v>
      </c>
      <c r="E326" s="376">
        <v>2023</v>
      </c>
      <c r="F326" s="376">
        <v>0.98</v>
      </c>
      <c r="G326" s="376">
        <v>5705.3347119527834</v>
      </c>
      <c r="H326" s="376">
        <v>5263.9211598497559</v>
      </c>
      <c r="I326" s="376">
        <v>1</v>
      </c>
    </row>
    <row r="327" spans="1:9" x14ac:dyDescent="0.35">
      <c r="A327" s="376" t="s">
        <v>1851</v>
      </c>
      <c r="B327" s="376" t="s">
        <v>1609</v>
      </c>
      <c r="C327" s="376"/>
      <c r="D327" s="376">
        <v>2021</v>
      </c>
      <c r="E327" s="376">
        <v>2024</v>
      </c>
      <c r="F327" s="376">
        <v>0.98</v>
      </c>
      <c r="G327" s="376">
        <v>5705.3347119527834</v>
      </c>
      <c r="H327" s="376">
        <v>5263.9211598497559</v>
      </c>
      <c r="I327" s="376">
        <v>1</v>
      </c>
    </row>
    <row r="328" spans="1:9" x14ac:dyDescent="0.35">
      <c r="A328" s="376" t="s">
        <v>1851</v>
      </c>
      <c r="B328" s="376" t="s">
        <v>1609</v>
      </c>
      <c r="C328" s="376"/>
      <c r="D328" s="376">
        <v>2022</v>
      </c>
      <c r="E328" s="376">
        <v>2024</v>
      </c>
      <c r="F328" s="376">
        <v>0.98</v>
      </c>
      <c r="G328" s="376">
        <v>5705.3347119527834</v>
      </c>
      <c r="H328" s="376">
        <v>5263.9211598497559</v>
      </c>
      <c r="I328" s="376">
        <v>1</v>
      </c>
    </row>
    <row r="329" spans="1:9" x14ac:dyDescent="0.35">
      <c r="A329" s="376" t="s">
        <v>1851</v>
      </c>
      <c r="B329" s="376" t="s">
        <v>1609</v>
      </c>
      <c r="C329" s="376"/>
      <c r="D329" s="376">
        <v>2023</v>
      </c>
      <c r="E329" s="376">
        <v>2024</v>
      </c>
      <c r="F329" s="376">
        <v>0.98</v>
      </c>
      <c r="G329" s="376">
        <v>5705.3347119527834</v>
      </c>
      <c r="H329" s="376">
        <v>5263.9211598497559</v>
      </c>
      <c r="I329" s="376">
        <v>1</v>
      </c>
    </row>
    <row r="330" spans="1:9" x14ac:dyDescent="0.35">
      <c r="A330" s="376" t="s">
        <v>1851</v>
      </c>
      <c r="B330" s="376" t="s">
        <v>1609</v>
      </c>
      <c r="C330" s="376"/>
      <c r="D330" s="376">
        <v>2024</v>
      </c>
      <c r="E330" s="376">
        <v>2024</v>
      </c>
      <c r="F330" s="376">
        <v>0.98</v>
      </c>
      <c r="G330" s="376">
        <v>5705.3347119527834</v>
      </c>
      <c r="H330" s="376">
        <v>5263.9211598497559</v>
      </c>
      <c r="I330" s="376">
        <v>1</v>
      </c>
    </row>
    <row r="331" spans="1:9" x14ac:dyDescent="0.35">
      <c r="A331" s="376" t="s">
        <v>1851</v>
      </c>
      <c r="B331" s="376" t="s">
        <v>1609</v>
      </c>
      <c r="C331" s="376"/>
      <c r="D331" s="376">
        <v>2021</v>
      </c>
      <c r="E331" s="376">
        <v>2025</v>
      </c>
      <c r="F331" s="376">
        <v>0.98</v>
      </c>
      <c r="G331" s="376">
        <v>5705.3347119527834</v>
      </c>
      <c r="H331" s="376">
        <v>5263.9211598497559</v>
      </c>
      <c r="I331" s="376">
        <v>1</v>
      </c>
    </row>
    <row r="332" spans="1:9" x14ac:dyDescent="0.35">
      <c r="A332" s="376" t="s">
        <v>1851</v>
      </c>
      <c r="B332" s="376" t="s">
        <v>1609</v>
      </c>
      <c r="C332" s="376"/>
      <c r="D332" s="376">
        <v>2022</v>
      </c>
      <c r="E332" s="376">
        <v>2025</v>
      </c>
      <c r="F332" s="376">
        <v>0.98</v>
      </c>
      <c r="G332" s="376">
        <v>5705.3347119527834</v>
      </c>
      <c r="H332" s="376">
        <v>5263.9211598497559</v>
      </c>
      <c r="I332" s="376">
        <v>1</v>
      </c>
    </row>
    <row r="333" spans="1:9" x14ac:dyDescent="0.35">
      <c r="A333" s="376" t="s">
        <v>1851</v>
      </c>
      <c r="B333" s="376" t="s">
        <v>1609</v>
      </c>
      <c r="C333" s="376"/>
      <c r="D333" s="376">
        <v>2023</v>
      </c>
      <c r="E333" s="376">
        <v>2025</v>
      </c>
      <c r="F333" s="376">
        <v>0.98</v>
      </c>
      <c r="G333" s="376">
        <v>5705.3347119527834</v>
      </c>
      <c r="H333" s="376">
        <v>5263.9211598497559</v>
      </c>
      <c r="I333" s="376">
        <v>1</v>
      </c>
    </row>
    <row r="334" spans="1:9" x14ac:dyDescent="0.35">
      <c r="A334" s="376" t="s">
        <v>1851</v>
      </c>
      <c r="B334" s="376" t="s">
        <v>1609</v>
      </c>
      <c r="C334" s="376"/>
      <c r="D334" s="376">
        <v>2024</v>
      </c>
      <c r="E334" s="376">
        <v>2025</v>
      </c>
      <c r="F334" s="376">
        <v>0.98</v>
      </c>
      <c r="G334" s="376">
        <v>5705.3347119527834</v>
      </c>
      <c r="H334" s="376">
        <v>5263.9211598497559</v>
      </c>
      <c r="I334" s="376">
        <v>1</v>
      </c>
    </row>
    <row r="335" spans="1:9" x14ac:dyDescent="0.35">
      <c r="A335" s="376" t="s">
        <v>1851</v>
      </c>
      <c r="B335" s="376" t="s">
        <v>1609</v>
      </c>
      <c r="C335" s="376"/>
      <c r="D335" s="376">
        <v>2025</v>
      </c>
      <c r="E335" s="376">
        <v>2025</v>
      </c>
      <c r="F335" s="376">
        <v>0.98</v>
      </c>
      <c r="G335" s="376">
        <v>5705.3347119527834</v>
      </c>
      <c r="H335" s="376">
        <v>5263.9211598497559</v>
      </c>
      <c r="I335" s="376">
        <v>1</v>
      </c>
    </row>
    <row r="336" spans="1:9" x14ac:dyDescent="0.35">
      <c r="A336" s="376" t="s">
        <v>1851</v>
      </c>
      <c r="B336" s="376" t="s">
        <v>1609</v>
      </c>
      <c r="C336" s="376"/>
      <c r="D336" s="376">
        <v>2021</v>
      </c>
      <c r="E336" s="376">
        <v>2026</v>
      </c>
      <c r="F336" s="376">
        <v>0.98</v>
      </c>
      <c r="G336" s="376">
        <v>5705.3347119527834</v>
      </c>
      <c r="H336" s="376">
        <v>5263.9211598497559</v>
      </c>
      <c r="I336" s="376">
        <v>1</v>
      </c>
    </row>
    <row r="337" spans="1:9" x14ac:dyDescent="0.35">
      <c r="A337" s="376" t="s">
        <v>1851</v>
      </c>
      <c r="B337" s="376" t="s">
        <v>1609</v>
      </c>
      <c r="C337" s="376"/>
      <c r="D337" s="376">
        <v>2022</v>
      </c>
      <c r="E337" s="376">
        <v>2026</v>
      </c>
      <c r="F337" s="376">
        <v>0.98</v>
      </c>
      <c r="G337" s="376">
        <v>5705.3347119527834</v>
      </c>
      <c r="H337" s="376">
        <v>5263.9211598497559</v>
      </c>
      <c r="I337" s="376">
        <v>1</v>
      </c>
    </row>
    <row r="338" spans="1:9" x14ac:dyDescent="0.35">
      <c r="A338" s="376" t="s">
        <v>1851</v>
      </c>
      <c r="B338" s="376" t="s">
        <v>1609</v>
      </c>
      <c r="C338" s="376"/>
      <c r="D338" s="376">
        <v>2023</v>
      </c>
      <c r="E338" s="376">
        <v>2026</v>
      </c>
      <c r="F338" s="376">
        <v>0.98</v>
      </c>
      <c r="G338" s="376">
        <v>5705.3347119527834</v>
      </c>
      <c r="H338" s="376">
        <v>5263.9211598497559</v>
      </c>
      <c r="I338" s="376">
        <v>1</v>
      </c>
    </row>
    <row r="339" spans="1:9" x14ac:dyDescent="0.35">
      <c r="A339" s="376" t="s">
        <v>1851</v>
      </c>
      <c r="B339" s="376" t="s">
        <v>1609</v>
      </c>
      <c r="C339" s="376"/>
      <c r="D339" s="376">
        <v>2024</v>
      </c>
      <c r="E339" s="376">
        <v>2026</v>
      </c>
      <c r="F339" s="376">
        <v>0.98</v>
      </c>
      <c r="G339" s="376">
        <v>5705.3347119527834</v>
      </c>
      <c r="H339" s="376">
        <v>5263.9211598497559</v>
      </c>
      <c r="I339" s="376">
        <v>1</v>
      </c>
    </row>
    <row r="340" spans="1:9" x14ac:dyDescent="0.35">
      <c r="A340" s="376" t="s">
        <v>1851</v>
      </c>
      <c r="B340" s="376" t="s">
        <v>1609</v>
      </c>
      <c r="C340" s="376"/>
      <c r="D340" s="376">
        <v>2025</v>
      </c>
      <c r="E340" s="376">
        <v>2026</v>
      </c>
      <c r="F340" s="376">
        <v>0.98</v>
      </c>
      <c r="G340" s="376">
        <v>5705.3347119527834</v>
      </c>
      <c r="H340" s="376">
        <v>5263.9211598497559</v>
      </c>
      <c r="I340" s="376">
        <v>1</v>
      </c>
    </row>
    <row r="341" spans="1:9" x14ac:dyDescent="0.35">
      <c r="A341" s="376" t="s">
        <v>1851</v>
      </c>
      <c r="B341" s="376" t="s">
        <v>1609</v>
      </c>
      <c r="C341" s="376"/>
      <c r="D341" s="376">
        <v>2026</v>
      </c>
      <c r="E341" s="376">
        <v>2026</v>
      </c>
      <c r="F341" s="376">
        <v>0.98</v>
      </c>
      <c r="G341" s="376">
        <v>5705.3347119527834</v>
      </c>
      <c r="H341" s="376">
        <v>5263.9211598497559</v>
      </c>
      <c r="I341" s="376">
        <v>1</v>
      </c>
    </row>
    <row r="342" spans="1:9" x14ac:dyDescent="0.35">
      <c r="A342" s="376" t="s">
        <v>1851</v>
      </c>
      <c r="B342" s="376" t="s">
        <v>1609</v>
      </c>
      <c r="C342" s="376"/>
      <c r="D342" s="376">
        <v>2021</v>
      </c>
      <c r="E342" s="376">
        <v>2027</v>
      </c>
      <c r="F342" s="376">
        <v>0.98</v>
      </c>
      <c r="G342" s="376">
        <v>5705.3347119527834</v>
      </c>
      <c r="H342" s="376">
        <v>5263.9211598497559</v>
      </c>
      <c r="I342" s="376">
        <v>1</v>
      </c>
    </row>
    <row r="343" spans="1:9" x14ac:dyDescent="0.35">
      <c r="A343" s="376" t="s">
        <v>1851</v>
      </c>
      <c r="B343" s="376" t="s">
        <v>1609</v>
      </c>
      <c r="C343" s="376"/>
      <c r="D343" s="376">
        <v>2022</v>
      </c>
      <c r="E343" s="376">
        <v>2027</v>
      </c>
      <c r="F343" s="376">
        <v>0.98</v>
      </c>
      <c r="G343" s="376">
        <v>5705.3347119527834</v>
      </c>
      <c r="H343" s="376">
        <v>5263.9211598497559</v>
      </c>
      <c r="I343" s="376">
        <v>1</v>
      </c>
    </row>
    <row r="344" spans="1:9" x14ac:dyDescent="0.35">
      <c r="A344" s="376" t="s">
        <v>1851</v>
      </c>
      <c r="B344" s="376" t="s">
        <v>1609</v>
      </c>
      <c r="C344" s="376"/>
      <c r="D344" s="376">
        <v>2023</v>
      </c>
      <c r="E344" s="376">
        <v>2027</v>
      </c>
      <c r="F344" s="376">
        <v>0.98</v>
      </c>
      <c r="G344" s="376">
        <v>5705.3347119527834</v>
      </c>
      <c r="H344" s="376">
        <v>5263.9211598497559</v>
      </c>
      <c r="I344" s="376">
        <v>1</v>
      </c>
    </row>
    <row r="345" spans="1:9" x14ac:dyDescent="0.35">
      <c r="A345" s="376" t="s">
        <v>1851</v>
      </c>
      <c r="B345" s="376" t="s">
        <v>1609</v>
      </c>
      <c r="C345" s="376"/>
      <c r="D345" s="376">
        <v>2024</v>
      </c>
      <c r="E345" s="376">
        <v>2027</v>
      </c>
      <c r="F345" s="376">
        <v>0.98</v>
      </c>
      <c r="G345" s="376">
        <v>5705.3347119527834</v>
      </c>
      <c r="H345" s="376">
        <v>5263.9211598497559</v>
      </c>
      <c r="I345" s="376">
        <v>1</v>
      </c>
    </row>
    <row r="346" spans="1:9" x14ac:dyDescent="0.35">
      <c r="A346" s="376" t="s">
        <v>1851</v>
      </c>
      <c r="B346" s="376" t="s">
        <v>1609</v>
      </c>
      <c r="C346" s="376"/>
      <c r="D346" s="376">
        <v>2025</v>
      </c>
      <c r="E346" s="376">
        <v>2027</v>
      </c>
      <c r="F346" s="376">
        <v>0.98</v>
      </c>
      <c r="G346" s="376">
        <v>5705.3347119527834</v>
      </c>
      <c r="H346" s="376">
        <v>5263.9211598497559</v>
      </c>
      <c r="I346" s="376">
        <v>1</v>
      </c>
    </row>
    <row r="347" spans="1:9" x14ac:dyDescent="0.35">
      <c r="A347" s="376" t="s">
        <v>1851</v>
      </c>
      <c r="B347" s="376" t="s">
        <v>1609</v>
      </c>
      <c r="C347" s="376"/>
      <c r="D347" s="376">
        <v>2026</v>
      </c>
      <c r="E347" s="376">
        <v>2027</v>
      </c>
      <c r="F347" s="376">
        <v>0.98</v>
      </c>
      <c r="G347" s="376">
        <v>5705.3347119527834</v>
      </c>
      <c r="H347" s="376">
        <v>5263.9211598497559</v>
      </c>
      <c r="I347" s="376">
        <v>1</v>
      </c>
    </row>
    <row r="348" spans="1:9" x14ac:dyDescent="0.35">
      <c r="A348" s="376" t="s">
        <v>1851</v>
      </c>
      <c r="B348" s="376" t="s">
        <v>1609</v>
      </c>
      <c r="C348" s="376"/>
      <c r="D348" s="376">
        <v>2027</v>
      </c>
      <c r="E348" s="376">
        <v>2027</v>
      </c>
      <c r="F348" s="376">
        <v>0.98</v>
      </c>
      <c r="G348" s="376">
        <v>5705.3347119527834</v>
      </c>
      <c r="H348" s="376">
        <v>5263.9211598497559</v>
      </c>
      <c r="I348" s="376">
        <v>1</v>
      </c>
    </row>
    <row r="349" spans="1:9" x14ac:dyDescent="0.35">
      <c r="A349" s="376" t="s">
        <v>1851</v>
      </c>
      <c r="B349" s="376" t="s">
        <v>1609</v>
      </c>
      <c r="C349" s="376"/>
      <c r="D349" s="376">
        <v>2021</v>
      </c>
      <c r="E349" s="376">
        <v>2028</v>
      </c>
      <c r="F349" s="376">
        <v>0.98</v>
      </c>
      <c r="G349" s="376">
        <v>5705.3347119527834</v>
      </c>
      <c r="H349" s="376">
        <v>5263.9211598497559</v>
      </c>
      <c r="I349" s="376">
        <v>1</v>
      </c>
    </row>
    <row r="350" spans="1:9" x14ac:dyDescent="0.35">
      <c r="A350" s="376" t="s">
        <v>1851</v>
      </c>
      <c r="B350" s="376" t="s">
        <v>1609</v>
      </c>
      <c r="C350" s="376"/>
      <c r="D350" s="376">
        <v>2022</v>
      </c>
      <c r="E350" s="376">
        <v>2028</v>
      </c>
      <c r="F350" s="376">
        <v>0.98</v>
      </c>
      <c r="G350" s="376">
        <v>5705.3347119527834</v>
      </c>
      <c r="H350" s="376">
        <v>5263.9211598497559</v>
      </c>
      <c r="I350" s="376">
        <v>1</v>
      </c>
    </row>
    <row r="351" spans="1:9" x14ac:dyDescent="0.35">
      <c r="A351" s="376" t="s">
        <v>1851</v>
      </c>
      <c r="B351" s="376" t="s">
        <v>1609</v>
      </c>
      <c r="C351" s="376"/>
      <c r="D351" s="376">
        <v>2023</v>
      </c>
      <c r="E351" s="376">
        <v>2028</v>
      </c>
      <c r="F351" s="376">
        <v>0.98</v>
      </c>
      <c r="G351" s="376">
        <v>5705.3347119527834</v>
      </c>
      <c r="H351" s="376">
        <v>5263.9211598497559</v>
      </c>
      <c r="I351" s="376">
        <v>1</v>
      </c>
    </row>
    <row r="352" spans="1:9" x14ac:dyDescent="0.35">
      <c r="A352" s="376" t="s">
        <v>1851</v>
      </c>
      <c r="B352" s="376" t="s">
        <v>1609</v>
      </c>
      <c r="C352" s="376"/>
      <c r="D352" s="376">
        <v>2024</v>
      </c>
      <c r="E352" s="376">
        <v>2028</v>
      </c>
      <c r="F352" s="376">
        <v>0.98</v>
      </c>
      <c r="G352" s="376">
        <v>5705.3347119527834</v>
      </c>
      <c r="H352" s="376">
        <v>5263.9211598497559</v>
      </c>
      <c r="I352" s="376">
        <v>1</v>
      </c>
    </row>
    <row r="353" spans="1:9" x14ac:dyDescent="0.35">
      <c r="A353" s="376" t="s">
        <v>1851</v>
      </c>
      <c r="B353" s="376" t="s">
        <v>1609</v>
      </c>
      <c r="C353" s="376"/>
      <c r="D353" s="376">
        <v>2025</v>
      </c>
      <c r="E353" s="376">
        <v>2028</v>
      </c>
      <c r="F353" s="376">
        <v>0.98</v>
      </c>
      <c r="G353" s="376">
        <v>5705.3347119527834</v>
      </c>
      <c r="H353" s="376">
        <v>5263.9211598497559</v>
      </c>
      <c r="I353" s="376">
        <v>1</v>
      </c>
    </row>
    <row r="354" spans="1:9" x14ac:dyDescent="0.35">
      <c r="A354" s="376" t="s">
        <v>1851</v>
      </c>
      <c r="B354" s="376" t="s">
        <v>1609</v>
      </c>
      <c r="C354" s="376"/>
      <c r="D354" s="376">
        <v>2026</v>
      </c>
      <c r="E354" s="376">
        <v>2028</v>
      </c>
      <c r="F354" s="376">
        <v>0.98</v>
      </c>
      <c r="G354" s="376">
        <v>5705.3347119527834</v>
      </c>
      <c r="H354" s="376">
        <v>5263.9211598497559</v>
      </c>
      <c r="I354" s="376">
        <v>1</v>
      </c>
    </row>
    <row r="355" spans="1:9" x14ac:dyDescent="0.35">
      <c r="A355" s="376" t="s">
        <v>1851</v>
      </c>
      <c r="B355" s="376" t="s">
        <v>1609</v>
      </c>
      <c r="C355" s="376"/>
      <c r="D355" s="376">
        <v>2027</v>
      </c>
      <c r="E355" s="376">
        <v>2028</v>
      </c>
      <c r="F355" s="376">
        <v>0.98</v>
      </c>
      <c r="G355" s="376">
        <v>5705.3347119527834</v>
      </c>
      <c r="H355" s="376">
        <v>5263.9211598497559</v>
      </c>
      <c r="I355" s="376">
        <v>1</v>
      </c>
    </row>
    <row r="356" spans="1:9" x14ac:dyDescent="0.35">
      <c r="A356" s="376" t="s">
        <v>1851</v>
      </c>
      <c r="B356" s="376" t="s">
        <v>1609</v>
      </c>
      <c r="C356" s="376"/>
      <c r="D356" s="376">
        <v>2028</v>
      </c>
      <c r="E356" s="376">
        <v>2028</v>
      </c>
      <c r="F356" s="376">
        <v>0.98</v>
      </c>
      <c r="G356" s="376">
        <v>5705.3347119527834</v>
      </c>
      <c r="H356" s="376">
        <v>5263.9211598497559</v>
      </c>
      <c r="I356" s="376">
        <v>1</v>
      </c>
    </row>
    <row r="357" spans="1:9" x14ac:dyDescent="0.35">
      <c r="A357" s="376" t="s">
        <v>1851</v>
      </c>
      <c r="B357" s="376" t="s">
        <v>1609</v>
      </c>
      <c r="C357" s="376"/>
      <c r="D357" s="376">
        <v>2021</v>
      </c>
      <c r="E357" s="376">
        <v>2029</v>
      </c>
      <c r="F357" s="376">
        <v>0.98</v>
      </c>
      <c r="G357" s="376">
        <v>5705.3347119527834</v>
      </c>
      <c r="H357" s="376">
        <v>5263.9211598497559</v>
      </c>
      <c r="I357" s="376">
        <v>1</v>
      </c>
    </row>
    <row r="358" spans="1:9" x14ac:dyDescent="0.35">
      <c r="A358" s="376" t="s">
        <v>1851</v>
      </c>
      <c r="B358" s="376" t="s">
        <v>1609</v>
      </c>
      <c r="C358" s="376"/>
      <c r="D358" s="376">
        <v>2022</v>
      </c>
      <c r="E358" s="376">
        <v>2029</v>
      </c>
      <c r="F358" s="376">
        <v>0.98</v>
      </c>
      <c r="G358" s="376">
        <v>5705.3347119527834</v>
      </c>
      <c r="H358" s="376">
        <v>5263.9211598497559</v>
      </c>
      <c r="I358" s="376">
        <v>1</v>
      </c>
    </row>
    <row r="359" spans="1:9" x14ac:dyDescent="0.35">
      <c r="A359" s="376" t="s">
        <v>1851</v>
      </c>
      <c r="B359" s="376" t="s">
        <v>1609</v>
      </c>
      <c r="C359" s="376"/>
      <c r="D359" s="376">
        <v>2023</v>
      </c>
      <c r="E359" s="376">
        <v>2029</v>
      </c>
      <c r="F359" s="376">
        <v>0.98</v>
      </c>
      <c r="G359" s="376">
        <v>5705.3347119527834</v>
      </c>
      <c r="H359" s="376">
        <v>5263.9211598497559</v>
      </c>
      <c r="I359" s="376">
        <v>1</v>
      </c>
    </row>
    <row r="360" spans="1:9" x14ac:dyDescent="0.35">
      <c r="A360" s="376" t="s">
        <v>1851</v>
      </c>
      <c r="B360" s="376" t="s">
        <v>1609</v>
      </c>
      <c r="C360" s="376"/>
      <c r="D360" s="376">
        <v>2024</v>
      </c>
      <c r="E360" s="376">
        <v>2029</v>
      </c>
      <c r="F360" s="376">
        <v>0.98</v>
      </c>
      <c r="G360" s="376">
        <v>5705.3347119527834</v>
      </c>
      <c r="H360" s="376">
        <v>5263.9211598497559</v>
      </c>
      <c r="I360" s="376">
        <v>1</v>
      </c>
    </row>
    <row r="361" spans="1:9" x14ac:dyDescent="0.35">
      <c r="A361" s="376" t="s">
        <v>1851</v>
      </c>
      <c r="B361" s="376" t="s">
        <v>1609</v>
      </c>
      <c r="C361" s="376"/>
      <c r="D361" s="376">
        <v>2025</v>
      </c>
      <c r="E361" s="376">
        <v>2029</v>
      </c>
      <c r="F361" s="376">
        <v>0.98</v>
      </c>
      <c r="G361" s="376">
        <v>5705.3347119527834</v>
      </c>
      <c r="H361" s="376">
        <v>5263.9211598497559</v>
      </c>
      <c r="I361" s="376">
        <v>1</v>
      </c>
    </row>
    <row r="362" spans="1:9" x14ac:dyDescent="0.35">
      <c r="A362" s="376" t="s">
        <v>1851</v>
      </c>
      <c r="B362" s="376" t="s">
        <v>1609</v>
      </c>
      <c r="C362" s="376"/>
      <c r="D362" s="376">
        <v>2026</v>
      </c>
      <c r="E362" s="376">
        <v>2029</v>
      </c>
      <c r="F362" s="376">
        <v>0.98</v>
      </c>
      <c r="G362" s="376">
        <v>5705.3347119527834</v>
      </c>
      <c r="H362" s="376">
        <v>5263.9211598497559</v>
      </c>
      <c r="I362" s="376">
        <v>1</v>
      </c>
    </row>
    <row r="363" spans="1:9" x14ac:dyDescent="0.35">
      <c r="A363" s="376" t="s">
        <v>1851</v>
      </c>
      <c r="B363" s="376" t="s">
        <v>1609</v>
      </c>
      <c r="C363" s="376"/>
      <c r="D363" s="376">
        <v>2027</v>
      </c>
      <c r="E363" s="376">
        <v>2029</v>
      </c>
      <c r="F363" s="376">
        <v>0.98</v>
      </c>
      <c r="G363" s="376">
        <v>5705.3347119527834</v>
      </c>
      <c r="H363" s="376">
        <v>5263.9211598497559</v>
      </c>
      <c r="I363" s="376">
        <v>1</v>
      </c>
    </row>
    <row r="364" spans="1:9" x14ac:dyDescent="0.35">
      <c r="A364" s="376" t="s">
        <v>1851</v>
      </c>
      <c r="B364" s="376" t="s">
        <v>1609</v>
      </c>
      <c r="C364" s="376"/>
      <c r="D364" s="376">
        <v>2028</v>
      </c>
      <c r="E364" s="376">
        <v>2029</v>
      </c>
      <c r="F364" s="376">
        <v>0.98</v>
      </c>
      <c r="G364" s="376">
        <v>5705.3347119527834</v>
      </c>
      <c r="H364" s="376">
        <v>5263.9211598497559</v>
      </c>
      <c r="I364" s="376">
        <v>1</v>
      </c>
    </row>
    <row r="365" spans="1:9" x14ac:dyDescent="0.35">
      <c r="A365" s="376" t="s">
        <v>1851</v>
      </c>
      <c r="B365" s="376" t="s">
        <v>1609</v>
      </c>
      <c r="C365" s="376"/>
      <c r="D365" s="376">
        <v>2029</v>
      </c>
      <c r="E365" s="376">
        <v>2029</v>
      </c>
      <c r="F365" s="376">
        <v>0.98</v>
      </c>
      <c r="G365" s="376">
        <v>5705.3347119527834</v>
      </c>
      <c r="H365" s="376">
        <v>5263.9211598497559</v>
      </c>
      <c r="I365" s="376">
        <v>1</v>
      </c>
    </row>
    <row r="366" spans="1:9" x14ac:dyDescent="0.35">
      <c r="A366" s="376" t="s">
        <v>1851</v>
      </c>
      <c r="B366" s="376" t="s">
        <v>1609</v>
      </c>
      <c r="C366" s="376"/>
      <c r="D366" s="376">
        <v>2021</v>
      </c>
      <c r="E366" s="376">
        <v>2030</v>
      </c>
      <c r="F366" s="376">
        <v>0.98</v>
      </c>
      <c r="G366" s="376">
        <v>5705.3347119527834</v>
      </c>
      <c r="H366" s="376">
        <v>5263.9211598497559</v>
      </c>
      <c r="I366" s="376">
        <v>1</v>
      </c>
    </row>
    <row r="367" spans="1:9" x14ac:dyDescent="0.35">
      <c r="A367" s="376" t="s">
        <v>1851</v>
      </c>
      <c r="B367" s="376" t="s">
        <v>1609</v>
      </c>
      <c r="C367" s="376"/>
      <c r="D367" s="376">
        <v>2022</v>
      </c>
      <c r="E367" s="376">
        <v>2030</v>
      </c>
      <c r="F367" s="376">
        <v>0.98</v>
      </c>
      <c r="G367" s="376">
        <v>5705.3347119527834</v>
      </c>
      <c r="H367" s="376">
        <v>5263.9211598497559</v>
      </c>
      <c r="I367" s="376">
        <v>1</v>
      </c>
    </row>
    <row r="368" spans="1:9" x14ac:dyDescent="0.35">
      <c r="A368" s="376" t="s">
        <v>1851</v>
      </c>
      <c r="B368" s="376" t="s">
        <v>1609</v>
      </c>
      <c r="C368" s="376"/>
      <c r="D368" s="376">
        <v>2023</v>
      </c>
      <c r="E368" s="376">
        <v>2030</v>
      </c>
      <c r="F368" s="376">
        <v>0.98</v>
      </c>
      <c r="G368" s="376">
        <v>5705.3347119527834</v>
      </c>
      <c r="H368" s="376">
        <v>5263.9211598497559</v>
      </c>
      <c r="I368" s="376">
        <v>1</v>
      </c>
    </row>
    <row r="369" spans="1:9" x14ac:dyDescent="0.35">
      <c r="A369" s="376" t="s">
        <v>1851</v>
      </c>
      <c r="B369" s="376" t="s">
        <v>1609</v>
      </c>
      <c r="C369" s="376"/>
      <c r="D369" s="376">
        <v>2024</v>
      </c>
      <c r="E369" s="376">
        <v>2030</v>
      </c>
      <c r="F369" s="376">
        <v>0.98</v>
      </c>
      <c r="G369" s="376">
        <v>5705.3347119527834</v>
      </c>
      <c r="H369" s="376">
        <v>5263.9211598497559</v>
      </c>
      <c r="I369" s="376">
        <v>1</v>
      </c>
    </row>
    <row r="370" spans="1:9" x14ac:dyDescent="0.35">
      <c r="A370" s="376" t="s">
        <v>1851</v>
      </c>
      <c r="B370" s="376" t="s">
        <v>1609</v>
      </c>
      <c r="C370" s="376"/>
      <c r="D370" s="376">
        <v>2025</v>
      </c>
      <c r="E370" s="376">
        <v>2030</v>
      </c>
      <c r="F370" s="376">
        <v>0.98</v>
      </c>
      <c r="G370" s="376">
        <v>5705.3347119527834</v>
      </c>
      <c r="H370" s="376">
        <v>5263.9211598497559</v>
      </c>
      <c r="I370" s="376">
        <v>1</v>
      </c>
    </row>
    <row r="371" spans="1:9" x14ac:dyDescent="0.35">
      <c r="A371" s="376" t="s">
        <v>1851</v>
      </c>
      <c r="B371" s="376" t="s">
        <v>1609</v>
      </c>
      <c r="C371" s="376"/>
      <c r="D371" s="376">
        <v>2026</v>
      </c>
      <c r="E371" s="376">
        <v>2030</v>
      </c>
      <c r="F371" s="376">
        <v>0.98</v>
      </c>
      <c r="G371" s="376">
        <v>5705.3347119527834</v>
      </c>
      <c r="H371" s="376">
        <v>5263.9211598497559</v>
      </c>
      <c r="I371" s="376">
        <v>1</v>
      </c>
    </row>
    <row r="372" spans="1:9" x14ac:dyDescent="0.35">
      <c r="A372" s="376" t="s">
        <v>1851</v>
      </c>
      <c r="B372" s="376" t="s">
        <v>1609</v>
      </c>
      <c r="C372" s="376"/>
      <c r="D372" s="376">
        <v>2027</v>
      </c>
      <c r="E372" s="376">
        <v>2030</v>
      </c>
      <c r="F372" s="376">
        <v>0.98</v>
      </c>
      <c r="G372" s="376">
        <v>5705.3347119527834</v>
      </c>
      <c r="H372" s="376">
        <v>5263.9211598497559</v>
      </c>
      <c r="I372" s="376">
        <v>1</v>
      </c>
    </row>
    <row r="373" spans="1:9" x14ac:dyDescent="0.35">
      <c r="A373" s="376" t="s">
        <v>1851</v>
      </c>
      <c r="B373" s="376" t="s">
        <v>1609</v>
      </c>
      <c r="C373" s="376"/>
      <c r="D373" s="376">
        <v>2028</v>
      </c>
      <c r="E373" s="376">
        <v>2030</v>
      </c>
      <c r="F373" s="376">
        <v>0.98</v>
      </c>
      <c r="G373" s="376">
        <v>5705.3347119527834</v>
      </c>
      <c r="H373" s="376">
        <v>5263.9211598497559</v>
      </c>
      <c r="I373" s="376">
        <v>1</v>
      </c>
    </row>
    <row r="374" spans="1:9" x14ac:dyDescent="0.35">
      <c r="A374" s="376" t="s">
        <v>1851</v>
      </c>
      <c r="B374" s="376" t="s">
        <v>1609</v>
      </c>
      <c r="C374" s="376"/>
      <c r="D374" s="376">
        <v>2029</v>
      </c>
      <c r="E374" s="376">
        <v>2030</v>
      </c>
      <c r="F374" s="376">
        <v>0.98</v>
      </c>
      <c r="G374" s="376">
        <v>5705.3347119527834</v>
      </c>
      <c r="H374" s="376">
        <v>5263.9211598497559</v>
      </c>
      <c r="I374" s="376">
        <v>1</v>
      </c>
    </row>
    <row r="375" spans="1:9" x14ac:dyDescent="0.35">
      <c r="A375" s="376" t="s">
        <v>1851</v>
      </c>
      <c r="B375" s="376" t="s">
        <v>1609</v>
      </c>
      <c r="C375" s="376"/>
      <c r="D375" s="376">
        <v>2030</v>
      </c>
      <c r="E375" s="376">
        <v>2030</v>
      </c>
      <c r="F375" s="376">
        <v>0.98</v>
      </c>
      <c r="G375" s="376">
        <v>5705.3347119527834</v>
      </c>
      <c r="H375" s="376">
        <v>5263.9211598497559</v>
      </c>
      <c r="I375" s="376">
        <v>1</v>
      </c>
    </row>
    <row r="376" spans="1:9" x14ac:dyDescent="0.35">
      <c r="A376" s="376" t="s">
        <v>1851</v>
      </c>
      <c r="B376" s="376" t="s">
        <v>1609</v>
      </c>
      <c r="C376" s="376"/>
      <c r="D376" s="376">
        <v>2021</v>
      </c>
      <c r="E376" s="376">
        <v>2031</v>
      </c>
      <c r="F376" s="376">
        <v>0.98</v>
      </c>
      <c r="G376" s="376">
        <v>5705.3347119527834</v>
      </c>
      <c r="H376" s="376">
        <v>5263.9211598497559</v>
      </c>
      <c r="I376" s="376">
        <v>1</v>
      </c>
    </row>
    <row r="377" spans="1:9" x14ac:dyDescent="0.35">
      <c r="A377" s="376" t="s">
        <v>1851</v>
      </c>
      <c r="B377" s="376" t="s">
        <v>1609</v>
      </c>
      <c r="C377" s="376"/>
      <c r="D377" s="376">
        <v>2022</v>
      </c>
      <c r="E377" s="376">
        <v>2031</v>
      </c>
      <c r="F377" s="376">
        <v>0.98</v>
      </c>
      <c r="G377" s="376">
        <v>5705.3347119527834</v>
      </c>
      <c r="H377" s="376">
        <v>5263.9211598497559</v>
      </c>
      <c r="I377" s="376">
        <v>1</v>
      </c>
    </row>
    <row r="378" spans="1:9" x14ac:dyDescent="0.35">
      <c r="A378" s="376" t="s">
        <v>1851</v>
      </c>
      <c r="B378" s="376" t="s">
        <v>1609</v>
      </c>
      <c r="C378" s="376"/>
      <c r="D378" s="376">
        <v>2023</v>
      </c>
      <c r="E378" s="376">
        <v>2031</v>
      </c>
      <c r="F378" s="376">
        <v>0.98</v>
      </c>
      <c r="G378" s="376">
        <v>5705.3347119527834</v>
      </c>
      <c r="H378" s="376">
        <v>5263.9211598497559</v>
      </c>
      <c r="I378" s="376">
        <v>1</v>
      </c>
    </row>
    <row r="379" spans="1:9" x14ac:dyDescent="0.35">
      <c r="A379" s="376" t="s">
        <v>1851</v>
      </c>
      <c r="B379" s="376" t="s">
        <v>1609</v>
      </c>
      <c r="C379" s="376"/>
      <c r="D379" s="376">
        <v>2024</v>
      </c>
      <c r="E379" s="376">
        <v>2031</v>
      </c>
      <c r="F379" s="376">
        <v>0.98</v>
      </c>
      <c r="G379" s="376">
        <v>5705.3347119527834</v>
      </c>
      <c r="H379" s="376">
        <v>5263.9211598497559</v>
      </c>
      <c r="I379" s="376">
        <v>1</v>
      </c>
    </row>
    <row r="380" spans="1:9" x14ac:dyDescent="0.35">
      <c r="A380" s="376" t="s">
        <v>1851</v>
      </c>
      <c r="B380" s="376" t="s">
        <v>1609</v>
      </c>
      <c r="C380" s="376"/>
      <c r="D380" s="376">
        <v>2025</v>
      </c>
      <c r="E380" s="376">
        <v>2031</v>
      </c>
      <c r="F380" s="376">
        <v>0.98</v>
      </c>
      <c r="G380" s="376">
        <v>5705.3347119527834</v>
      </c>
      <c r="H380" s="376">
        <v>5263.9211598497559</v>
      </c>
      <c r="I380" s="376">
        <v>1</v>
      </c>
    </row>
    <row r="381" spans="1:9" x14ac:dyDescent="0.35">
      <c r="A381" s="376" t="s">
        <v>1851</v>
      </c>
      <c r="B381" s="376" t="s">
        <v>1609</v>
      </c>
      <c r="C381" s="376"/>
      <c r="D381" s="376">
        <v>2026</v>
      </c>
      <c r="E381" s="376">
        <v>2031</v>
      </c>
      <c r="F381" s="376">
        <v>0.98</v>
      </c>
      <c r="G381" s="376">
        <v>5705.3347119527834</v>
      </c>
      <c r="H381" s="376">
        <v>5263.9211598497559</v>
      </c>
      <c r="I381" s="376">
        <v>1</v>
      </c>
    </row>
    <row r="382" spans="1:9" x14ac:dyDescent="0.35">
      <c r="A382" s="376" t="s">
        <v>1851</v>
      </c>
      <c r="B382" s="376" t="s">
        <v>1609</v>
      </c>
      <c r="C382" s="376"/>
      <c r="D382" s="376">
        <v>2027</v>
      </c>
      <c r="E382" s="376">
        <v>2031</v>
      </c>
      <c r="F382" s="376">
        <v>0.98</v>
      </c>
      <c r="G382" s="376">
        <v>5705.3347119527834</v>
      </c>
      <c r="H382" s="376">
        <v>5263.9211598497559</v>
      </c>
      <c r="I382" s="376">
        <v>1</v>
      </c>
    </row>
    <row r="383" spans="1:9" x14ac:dyDescent="0.35">
      <c r="A383" s="376" t="s">
        <v>1851</v>
      </c>
      <c r="B383" s="376" t="s">
        <v>1609</v>
      </c>
      <c r="C383" s="376"/>
      <c r="D383" s="376">
        <v>2028</v>
      </c>
      <c r="E383" s="376">
        <v>2031</v>
      </c>
      <c r="F383" s="376">
        <v>0.98</v>
      </c>
      <c r="G383" s="376">
        <v>5705.3347119527834</v>
      </c>
      <c r="H383" s="376">
        <v>5263.9211598497559</v>
      </c>
      <c r="I383" s="376">
        <v>1</v>
      </c>
    </row>
    <row r="384" spans="1:9" x14ac:dyDescent="0.35">
      <c r="A384" s="376" t="s">
        <v>1851</v>
      </c>
      <c r="B384" s="376" t="s">
        <v>1609</v>
      </c>
      <c r="C384" s="376"/>
      <c r="D384" s="376">
        <v>2029</v>
      </c>
      <c r="E384" s="376">
        <v>2031</v>
      </c>
      <c r="F384" s="376">
        <v>0.98</v>
      </c>
      <c r="G384" s="376">
        <v>5705.3347119527834</v>
      </c>
      <c r="H384" s="376">
        <v>5263.9211598497559</v>
      </c>
      <c r="I384" s="376">
        <v>1</v>
      </c>
    </row>
    <row r="385" spans="1:9" x14ac:dyDescent="0.35">
      <c r="A385" s="376" t="s">
        <v>1851</v>
      </c>
      <c r="B385" s="376" t="s">
        <v>1609</v>
      </c>
      <c r="C385" s="376"/>
      <c r="D385" s="376">
        <v>2030</v>
      </c>
      <c r="E385" s="376">
        <v>2031</v>
      </c>
      <c r="F385" s="376">
        <v>0.98</v>
      </c>
      <c r="G385" s="376">
        <v>5705.3347119527834</v>
      </c>
      <c r="H385" s="376">
        <v>5263.9211598497559</v>
      </c>
      <c r="I385" s="376">
        <v>1</v>
      </c>
    </row>
    <row r="386" spans="1:9" x14ac:dyDescent="0.35">
      <c r="A386" s="376" t="s">
        <v>1851</v>
      </c>
      <c r="B386" s="376" t="s">
        <v>1609</v>
      </c>
      <c r="C386" s="376"/>
      <c r="D386" s="376">
        <v>2031</v>
      </c>
      <c r="E386" s="376">
        <v>2031</v>
      </c>
      <c r="F386" s="376">
        <v>0.98</v>
      </c>
      <c r="G386" s="376">
        <v>5705.3347119527834</v>
      </c>
      <c r="H386" s="376">
        <v>5263.9211598497559</v>
      </c>
      <c r="I386" s="376">
        <v>1</v>
      </c>
    </row>
    <row r="387" spans="1:9" x14ac:dyDescent="0.35">
      <c r="A387" s="376" t="s">
        <v>1612</v>
      </c>
      <c r="B387" s="376" t="s">
        <v>1609</v>
      </c>
      <c r="C387" s="376" t="s">
        <v>1046</v>
      </c>
      <c r="D387" s="376">
        <v>2020</v>
      </c>
      <c r="E387" s="376">
        <v>2021</v>
      </c>
      <c r="F387" s="376">
        <v>0.35737526128209052</v>
      </c>
      <c r="G387" s="376">
        <v>9569.1781470381666</v>
      </c>
      <c r="H387" s="376">
        <v>0.25</v>
      </c>
      <c r="I387" s="376">
        <v>0.85</v>
      </c>
    </row>
    <row r="388" spans="1:9" x14ac:dyDescent="0.35">
      <c r="A388" s="376" t="s">
        <v>1612</v>
      </c>
      <c r="B388" s="376" t="s">
        <v>1609</v>
      </c>
      <c r="C388" s="376" t="s">
        <v>1046</v>
      </c>
      <c r="D388" s="376">
        <v>2020</v>
      </c>
      <c r="E388" s="376">
        <v>2022</v>
      </c>
      <c r="F388" s="376">
        <v>0.35737526128209052</v>
      </c>
      <c r="G388" s="376">
        <v>9585.6713985900969</v>
      </c>
      <c r="H388" s="376">
        <v>0.25</v>
      </c>
      <c r="I388" s="376">
        <v>0.85</v>
      </c>
    </row>
    <row r="389" spans="1:9" x14ac:dyDescent="0.35">
      <c r="A389" s="376" t="s">
        <v>1612</v>
      </c>
      <c r="B389" s="376" t="s">
        <v>1609</v>
      </c>
      <c r="C389" s="376" t="s">
        <v>1046</v>
      </c>
      <c r="D389" s="376">
        <v>2020</v>
      </c>
      <c r="E389" s="376">
        <v>2023</v>
      </c>
      <c r="F389" s="376">
        <v>0.35737526128209052</v>
      </c>
      <c r="G389" s="376">
        <v>9602.1930775934325</v>
      </c>
      <c r="H389" s="376">
        <v>0.25</v>
      </c>
      <c r="I389" s="376">
        <v>0.85</v>
      </c>
    </row>
    <row r="390" spans="1:9" x14ac:dyDescent="0.35">
      <c r="A390" s="376" t="s">
        <v>1612</v>
      </c>
      <c r="B390" s="376" t="s">
        <v>1609</v>
      </c>
      <c r="C390" s="376" t="s">
        <v>1046</v>
      </c>
      <c r="D390" s="376">
        <v>2020</v>
      </c>
      <c r="E390" s="376">
        <v>2024</v>
      </c>
      <c r="F390" s="376">
        <v>0.35737526128209052</v>
      </c>
      <c r="G390" s="376">
        <v>9618.7432330451811</v>
      </c>
      <c r="H390" s="376">
        <v>0.25</v>
      </c>
      <c r="I390" s="376">
        <v>0.85</v>
      </c>
    </row>
    <row r="391" spans="1:9" x14ac:dyDescent="0.35">
      <c r="A391" s="376" t="s">
        <v>1612</v>
      </c>
      <c r="B391" s="376" t="s">
        <v>1609</v>
      </c>
      <c r="C391" s="376" t="s">
        <v>1046</v>
      </c>
      <c r="D391" s="376">
        <v>2020</v>
      </c>
      <c r="E391" s="376">
        <v>2025</v>
      </c>
      <c r="F391" s="376">
        <v>0.35737526128209052</v>
      </c>
      <c r="G391" s="376">
        <v>9635.3219140268029</v>
      </c>
      <c r="H391" s="376">
        <v>0.25</v>
      </c>
      <c r="I391" s="376">
        <v>0.85</v>
      </c>
    </row>
    <row r="392" spans="1:9" x14ac:dyDescent="0.35">
      <c r="A392" s="376" t="s">
        <v>1612</v>
      </c>
      <c r="B392" s="376" t="s">
        <v>1609</v>
      </c>
      <c r="C392" s="376" t="s">
        <v>1046</v>
      </c>
      <c r="D392" s="376">
        <v>2020</v>
      </c>
      <c r="E392" s="376">
        <v>2026</v>
      </c>
      <c r="F392" s="376">
        <v>0.35737526128209052</v>
      </c>
      <c r="G392" s="376">
        <v>9651.9291697043518</v>
      </c>
      <c r="H392" s="376">
        <v>0.25</v>
      </c>
      <c r="I392" s="376">
        <v>0.85</v>
      </c>
    </row>
    <row r="393" spans="1:9" x14ac:dyDescent="0.35">
      <c r="A393" s="376" t="s">
        <v>1612</v>
      </c>
      <c r="B393" s="376" t="s">
        <v>1609</v>
      </c>
      <c r="C393" s="376" t="s">
        <v>1046</v>
      </c>
      <c r="D393" s="376">
        <v>2020</v>
      </c>
      <c r="E393" s="376">
        <v>2027</v>
      </c>
      <c r="F393" s="376">
        <v>0.35737526128209052</v>
      </c>
      <c r="G393" s="376">
        <v>9668.5650493286248</v>
      </c>
      <c r="H393" s="376">
        <v>0.25</v>
      </c>
      <c r="I393" s="376">
        <v>0.85</v>
      </c>
    </row>
    <row r="394" spans="1:9" x14ac:dyDescent="0.35">
      <c r="A394" s="376" t="s">
        <v>1612</v>
      </c>
      <c r="B394" s="376" t="s">
        <v>1609</v>
      </c>
      <c r="C394" s="376" t="s">
        <v>1046</v>
      </c>
      <c r="D394" s="376">
        <v>2020</v>
      </c>
      <c r="E394" s="376">
        <v>2028</v>
      </c>
      <c r="F394" s="376">
        <v>0.35737526128209052</v>
      </c>
      <c r="G394" s="376">
        <v>9685.2296022353075</v>
      </c>
      <c r="H394" s="376">
        <v>0.25</v>
      </c>
      <c r="I394" s="376">
        <v>0.85</v>
      </c>
    </row>
    <row r="395" spans="1:9" x14ac:dyDescent="0.35">
      <c r="A395" s="376" t="s">
        <v>1612</v>
      </c>
      <c r="B395" s="376" t="s">
        <v>1609</v>
      </c>
      <c r="C395" s="376" t="s">
        <v>1046</v>
      </c>
      <c r="D395" s="376">
        <v>2020</v>
      </c>
      <c r="E395" s="376">
        <v>2029</v>
      </c>
      <c r="F395" s="376">
        <v>0.35737526128209052</v>
      </c>
      <c r="G395" s="376">
        <v>9701.9228778451179</v>
      </c>
      <c r="H395" s="376">
        <v>0.25</v>
      </c>
      <c r="I395" s="376">
        <v>0.85</v>
      </c>
    </row>
    <row r="396" spans="1:9" x14ac:dyDescent="0.35">
      <c r="A396" s="376" t="s">
        <v>1612</v>
      </c>
      <c r="B396" s="376" t="s">
        <v>1609</v>
      </c>
      <c r="C396" s="376" t="s">
        <v>1046</v>
      </c>
      <c r="D396" s="376">
        <v>2020</v>
      </c>
      <c r="E396" s="376">
        <v>2030</v>
      </c>
      <c r="F396" s="376">
        <v>0.35737526128209052</v>
      </c>
      <c r="G396" s="376">
        <v>9718.6449256639535</v>
      </c>
      <c r="H396" s="376">
        <v>0.25</v>
      </c>
      <c r="I396" s="376">
        <v>0.85</v>
      </c>
    </row>
    <row r="397" spans="1:9" x14ac:dyDescent="0.35">
      <c r="A397" s="376" t="s">
        <v>1612</v>
      </c>
      <c r="B397" s="376" t="s">
        <v>1609</v>
      </c>
      <c r="C397" s="376" t="s">
        <v>1046</v>
      </c>
      <c r="D397" s="376">
        <v>2020</v>
      </c>
      <c r="E397" s="376">
        <v>2031</v>
      </c>
      <c r="F397" s="376">
        <v>0.35737526128209052</v>
      </c>
      <c r="G397" s="376">
        <v>9735.3957952830424</v>
      </c>
      <c r="H397" s="376">
        <v>0.25</v>
      </c>
      <c r="I397" s="376">
        <v>0.85</v>
      </c>
    </row>
    <row r="398" spans="1:9" x14ac:dyDescent="0.35">
      <c r="A398" s="376" t="s">
        <v>1612</v>
      </c>
      <c r="B398" s="376" t="s">
        <v>1609</v>
      </c>
      <c r="C398" s="376" t="s">
        <v>644</v>
      </c>
      <c r="D398" s="376">
        <v>2020</v>
      </c>
      <c r="E398" s="376">
        <v>2021</v>
      </c>
      <c r="F398" s="376">
        <v>0.35737526128209052</v>
      </c>
      <c r="G398" s="376">
        <v>7832.0987824112553</v>
      </c>
      <c r="H398" s="376">
        <v>0.25</v>
      </c>
      <c r="I398" s="376">
        <v>0.85</v>
      </c>
    </row>
    <row r="399" spans="1:9" x14ac:dyDescent="0.35">
      <c r="A399" s="376" t="s">
        <v>1612</v>
      </c>
      <c r="B399" s="376" t="s">
        <v>1609</v>
      </c>
      <c r="C399" s="376" t="s">
        <v>644</v>
      </c>
      <c r="D399" s="376">
        <v>2020</v>
      </c>
      <c r="E399" s="376">
        <v>2022</v>
      </c>
      <c r="F399" s="376">
        <v>0.35737526128209052</v>
      </c>
      <c r="G399" s="376">
        <v>7845.5980373538405</v>
      </c>
      <c r="H399" s="376">
        <v>0.25</v>
      </c>
      <c r="I399" s="376">
        <v>0.85</v>
      </c>
    </row>
    <row r="400" spans="1:9" x14ac:dyDescent="0.35">
      <c r="A400" s="376" t="s">
        <v>1612</v>
      </c>
      <c r="B400" s="376" t="s">
        <v>1609</v>
      </c>
      <c r="C400" s="376" t="s">
        <v>644</v>
      </c>
      <c r="D400" s="376">
        <v>2020</v>
      </c>
      <c r="E400" s="376">
        <v>2023</v>
      </c>
      <c r="F400" s="376">
        <v>0.35737526128209052</v>
      </c>
      <c r="G400" s="376">
        <v>7859.120559352813</v>
      </c>
      <c r="H400" s="376">
        <v>0.25</v>
      </c>
      <c r="I400" s="376">
        <v>0.85</v>
      </c>
    </row>
    <row r="401" spans="1:9" x14ac:dyDescent="0.35">
      <c r="A401" s="376" t="s">
        <v>1612</v>
      </c>
      <c r="B401" s="376" t="s">
        <v>1609</v>
      </c>
      <c r="C401" s="376" t="s">
        <v>644</v>
      </c>
      <c r="D401" s="376">
        <v>2020</v>
      </c>
      <c r="E401" s="376">
        <v>2024</v>
      </c>
      <c r="F401" s="376">
        <v>0.35737526128209052</v>
      </c>
      <c r="G401" s="376">
        <v>7872.6663885108246</v>
      </c>
      <c r="H401" s="376">
        <v>0.25</v>
      </c>
      <c r="I401" s="376">
        <v>0.85</v>
      </c>
    </row>
    <row r="402" spans="1:9" x14ac:dyDescent="0.35">
      <c r="A402" s="376" t="s">
        <v>1612</v>
      </c>
      <c r="B402" s="376" t="s">
        <v>1609</v>
      </c>
      <c r="C402" s="376" t="s">
        <v>644</v>
      </c>
      <c r="D402" s="376">
        <v>2020</v>
      </c>
      <c r="E402" s="376">
        <v>2025</v>
      </c>
      <c r="F402" s="376">
        <v>0.35737526128209052</v>
      </c>
      <c r="G402" s="376">
        <v>7886.2355649996471</v>
      </c>
      <c r="H402" s="376">
        <v>0.25</v>
      </c>
      <c r="I402" s="376">
        <v>0.85</v>
      </c>
    </row>
    <row r="403" spans="1:9" x14ac:dyDescent="0.35">
      <c r="A403" s="376" t="s">
        <v>1612</v>
      </c>
      <c r="B403" s="376" t="s">
        <v>1609</v>
      </c>
      <c r="C403" s="376" t="s">
        <v>644</v>
      </c>
      <c r="D403" s="376">
        <v>2020</v>
      </c>
      <c r="E403" s="376">
        <v>2026</v>
      </c>
      <c r="F403" s="376">
        <v>0.35737526128209052</v>
      </c>
      <c r="G403" s="376">
        <v>7899.8281290602908</v>
      </c>
      <c r="H403" s="376">
        <v>0.25</v>
      </c>
      <c r="I403" s="376">
        <v>0.85</v>
      </c>
    </row>
    <row r="404" spans="1:9" x14ac:dyDescent="0.35">
      <c r="A404" s="376" t="s">
        <v>1612</v>
      </c>
      <c r="B404" s="376" t="s">
        <v>1609</v>
      </c>
      <c r="C404" s="376" t="s">
        <v>644</v>
      </c>
      <c r="D404" s="376">
        <v>2020</v>
      </c>
      <c r="E404" s="376">
        <v>2027</v>
      </c>
      <c r="F404" s="376">
        <v>0.35737526128209052</v>
      </c>
      <c r="G404" s="376">
        <v>7913.4441210031246</v>
      </c>
      <c r="H404" s="376">
        <v>0.25</v>
      </c>
      <c r="I404" s="376">
        <v>0.85</v>
      </c>
    </row>
    <row r="405" spans="1:9" x14ac:dyDescent="0.35">
      <c r="A405" s="376" t="s">
        <v>1612</v>
      </c>
      <c r="B405" s="376" t="s">
        <v>1609</v>
      </c>
      <c r="C405" s="376" t="s">
        <v>644</v>
      </c>
      <c r="D405" s="376">
        <v>2020</v>
      </c>
      <c r="E405" s="376">
        <v>2028</v>
      </c>
      <c r="F405" s="376">
        <v>0.35737526128209052</v>
      </c>
      <c r="G405" s="376">
        <v>7927.0835812079958</v>
      </c>
      <c r="H405" s="376">
        <v>0.25</v>
      </c>
      <c r="I405" s="376">
        <v>0.85</v>
      </c>
    </row>
    <row r="406" spans="1:9" x14ac:dyDescent="0.35">
      <c r="A406" s="376" t="s">
        <v>1612</v>
      </c>
      <c r="B406" s="376" t="s">
        <v>1609</v>
      </c>
      <c r="C406" s="376" t="s">
        <v>644</v>
      </c>
      <c r="D406" s="376">
        <v>2020</v>
      </c>
      <c r="E406" s="376">
        <v>2029</v>
      </c>
      <c r="F406" s="376">
        <v>0.35737526128209052</v>
      </c>
      <c r="G406" s="376">
        <v>7940.7465501243505</v>
      </c>
      <c r="H406" s="376">
        <v>0.25</v>
      </c>
      <c r="I406" s="376">
        <v>0.85</v>
      </c>
    </row>
    <row r="407" spans="1:9" x14ac:dyDescent="0.35">
      <c r="A407" s="376" t="s">
        <v>1612</v>
      </c>
      <c r="B407" s="376" t="s">
        <v>1609</v>
      </c>
      <c r="C407" s="376" t="s">
        <v>644</v>
      </c>
      <c r="D407" s="376">
        <v>2020</v>
      </c>
      <c r="E407" s="376">
        <v>2030</v>
      </c>
      <c r="F407" s="376">
        <v>0.35737526128209052</v>
      </c>
      <c r="G407" s="376">
        <v>7954.4330682713526</v>
      </c>
      <c r="H407" s="376">
        <v>0.25</v>
      </c>
      <c r="I407" s="376">
        <v>0.85</v>
      </c>
    </row>
    <row r="408" spans="1:9" x14ac:dyDescent="0.35">
      <c r="A408" s="376" t="s">
        <v>1612</v>
      </c>
      <c r="B408" s="376" t="s">
        <v>1609</v>
      </c>
      <c r="C408" s="376" t="s">
        <v>644</v>
      </c>
      <c r="D408" s="376">
        <v>2020</v>
      </c>
      <c r="E408" s="376">
        <v>2031</v>
      </c>
      <c r="F408" s="376">
        <v>0.35737526128209052</v>
      </c>
      <c r="G408" s="376">
        <v>7968.1431762380025</v>
      </c>
      <c r="H408" s="376">
        <v>0.25</v>
      </c>
      <c r="I408" s="376">
        <v>0.85</v>
      </c>
    </row>
    <row r="409" spans="1:9" x14ac:dyDescent="0.35">
      <c r="A409" s="376" t="s">
        <v>1613</v>
      </c>
      <c r="B409" s="376" t="s">
        <v>1609</v>
      </c>
      <c r="C409" s="376" t="s">
        <v>1046</v>
      </c>
      <c r="D409" s="376">
        <v>2020</v>
      </c>
      <c r="E409" s="376">
        <v>2021</v>
      </c>
      <c r="F409" s="376">
        <v>0.40444272241720852</v>
      </c>
      <c r="G409" s="376">
        <v>3071.533602770714</v>
      </c>
      <c r="H409" s="376">
        <v>0.25</v>
      </c>
      <c r="I409" s="376">
        <v>0.85</v>
      </c>
    </row>
    <row r="410" spans="1:9" x14ac:dyDescent="0.35">
      <c r="A410" s="376" t="s">
        <v>1613</v>
      </c>
      <c r="B410" s="376" t="s">
        <v>1609</v>
      </c>
      <c r="C410" s="376" t="s">
        <v>1046</v>
      </c>
      <c r="D410" s="376">
        <v>2020</v>
      </c>
      <c r="E410" s="376">
        <v>2022</v>
      </c>
      <c r="F410" s="376">
        <v>0.40444272241720852</v>
      </c>
      <c r="G410" s="376">
        <v>3076.8276390591268</v>
      </c>
      <c r="H410" s="376">
        <v>0.25</v>
      </c>
      <c r="I410" s="376">
        <v>0.85</v>
      </c>
    </row>
    <row r="411" spans="1:9" x14ac:dyDescent="0.35">
      <c r="A411" s="376" t="s">
        <v>1613</v>
      </c>
      <c r="B411" s="376" t="s">
        <v>1609</v>
      </c>
      <c r="C411" s="376" t="s">
        <v>1046</v>
      </c>
      <c r="D411" s="376">
        <v>2020</v>
      </c>
      <c r="E411" s="376">
        <v>2023</v>
      </c>
      <c r="F411" s="376">
        <v>0.40444272241720852</v>
      </c>
      <c r="G411" s="376">
        <v>3082.1308000467443</v>
      </c>
      <c r="H411" s="376">
        <v>0.25</v>
      </c>
      <c r="I411" s="376">
        <v>0.85</v>
      </c>
    </row>
    <row r="412" spans="1:9" x14ac:dyDescent="0.35">
      <c r="A412" s="376" t="s">
        <v>1613</v>
      </c>
      <c r="B412" s="376" t="s">
        <v>1609</v>
      </c>
      <c r="C412" s="376" t="s">
        <v>1046</v>
      </c>
      <c r="D412" s="376">
        <v>2020</v>
      </c>
      <c r="E412" s="376">
        <v>2024</v>
      </c>
      <c r="F412" s="376">
        <v>0.40444272241720852</v>
      </c>
      <c r="G412" s="376">
        <v>3087.443101460723</v>
      </c>
      <c r="H412" s="376">
        <v>0.25</v>
      </c>
      <c r="I412" s="376">
        <v>0.85</v>
      </c>
    </row>
    <row r="413" spans="1:9" x14ac:dyDescent="0.35">
      <c r="A413" s="376" t="s">
        <v>1613</v>
      </c>
      <c r="B413" s="376" t="s">
        <v>1609</v>
      </c>
      <c r="C413" s="376" t="s">
        <v>1046</v>
      </c>
      <c r="D413" s="376">
        <v>2020</v>
      </c>
      <c r="E413" s="376">
        <v>2025</v>
      </c>
      <c r="F413" s="376">
        <v>0.40444272241720852</v>
      </c>
      <c r="G413" s="376">
        <v>3092.7645590553261</v>
      </c>
      <c r="H413" s="376">
        <v>0.25</v>
      </c>
      <c r="I413" s="376">
        <v>0.85</v>
      </c>
    </row>
    <row r="414" spans="1:9" x14ac:dyDescent="0.35">
      <c r="A414" s="376" t="s">
        <v>1613</v>
      </c>
      <c r="B414" s="376" t="s">
        <v>1609</v>
      </c>
      <c r="C414" s="376" t="s">
        <v>1046</v>
      </c>
      <c r="D414" s="376">
        <v>2020</v>
      </c>
      <c r="E414" s="376">
        <v>2026</v>
      </c>
      <c r="F414" s="376">
        <v>0.40444272241720852</v>
      </c>
      <c r="G414" s="376">
        <v>3098.0951886119706</v>
      </c>
      <c r="H414" s="376">
        <v>0.25</v>
      </c>
      <c r="I414" s="376">
        <v>0.85</v>
      </c>
    </row>
    <row r="415" spans="1:9" x14ac:dyDescent="0.35">
      <c r="A415" s="376" t="s">
        <v>1613</v>
      </c>
      <c r="B415" s="376" t="s">
        <v>1609</v>
      </c>
      <c r="C415" s="376" t="s">
        <v>1046</v>
      </c>
      <c r="D415" s="376">
        <v>2020</v>
      </c>
      <c r="E415" s="376">
        <v>2027</v>
      </c>
      <c r="F415" s="376">
        <v>0.40444272241720852</v>
      </c>
      <c r="G415" s="376">
        <v>3103.4350059392737</v>
      </c>
      <c r="H415" s="376">
        <v>0.25</v>
      </c>
      <c r="I415" s="376">
        <v>0.85</v>
      </c>
    </row>
    <row r="416" spans="1:9" x14ac:dyDescent="0.35">
      <c r="A416" s="376" t="s">
        <v>1613</v>
      </c>
      <c r="B416" s="376" t="s">
        <v>1609</v>
      </c>
      <c r="C416" s="376" t="s">
        <v>1046</v>
      </c>
      <c r="D416" s="376">
        <v>2020</v>
      </c>
      <c r="E416" s="376">
        <v>2028</v>
      </c>
      <c r="F416" s="376">
        <v>0.40444272241720852</v>
      </c>
      <c r="G416" s="376">
        <v>3108.7840268731006</v>
      </c>
      <c r="H416" s="376">
        <v>0.25</v>
      </c>
      <c r="I416" s="376">
        <v>0.85</v>
      </c>
    </row>
    <row r="417" spans="1:9" x14ac:dyDescent="0.35">
      <c r="A417" s="376" t="s">
        <v>1613</v>
      </c>
      <c r="B417" s="376" t="s">
        <v>1609</v>
      </c>
      <c r="C417" s="376" t="s">
        <v>1046</v>
      </c>
      <c r="D417" s="376">
        <v>2020</v>
      </c>
      <c r="E417" s="376">
        <v>2029</v>
      </c>
      <c r="F417" s="376">
        <v>0.40444272241720852</v>
      </c>
      <c r="G417" s="376">
        <v>3114.1422672766103</v>
      </c>
      <c r="H417" s="376">
        <v>0.25</v>
      </c>
      <c r="I417" s="376">
        <v>0.85</v>
      </c>
    </row>
    <row r="418" spans="1:9" x14ac:dyDescent="0.35">
      <c r="A418" s="376" t="s">
        <v>1613</v>
      </c>
      <c r="B418" s="376" t="s">
        <v>1609</v>
      </c>
      <c r="C418" s="376" t="s">
        <v>1046</v>
      </c>
      <c r="D418" s="376">
        <v>2020</v>
      </c>
      <c r="E418" s="376">
        <v>2030</v>
      </c>
      <c r="F418" s="376">
        <v>0.40444272241720852</v>
      </c>
      <c r="G418" s="376">
        <v>3119.5097430403039</v>
      </c>
      <c r="H418" s="376">
        <v>0.25</v>
      </c>
      <c r="I418" s="376">
        <v>0.85</v>
      </c>
    </row>
    <row r="419" spans="1:9" x14ac:dyDescent="0.35">
      <c r="A419" s="376" t="s">
        <v>1613</v>
      </c>
      <c r="B419" s="376" t="s">
        <v>1609</v>
      </c>
      <c r="C419" s="376" t="s">
        <v>1046</v>
      </c>
      <c r="D419" s="376">
        <v>2020</v>
      </c>
      <c r="E419" s="376">
        <v>2031</v>
      </c>
      <c r="F419" s="376">
        <v>0.40444272241720852</v>
      </c>
      <c r="G419" s="376">
        <v>3124.8864700820704</v>
      </c>
      <c r="H419" s="376">
        <v>0.25</v>
      </c>
      <c r="I419" s="376">
        <v>0.85</v>
      </c>
    </row>
    <row r="420" spans="1:9" x14ac:dyDescent="0.35">
      <c r="A420" s="376" t="s">
        <v>1613</v>
      </c>
      <c r="B420" s="376" t="s">
        <v>1609</v>
      </c>
      <c r="C420" s="376" t="s">
        <v>644</v>
      </c>
      <c r="D420" s="376">
        <v>2020</v>
      </c>
      <c r="E420" s="376">
        <v>2021</v>
      </c>
      <c r="F420" s="376">
        <v>0.40444272241720852</v>
      </c>
      <c r="G420" s="376">
        <v>2472.51887629576</v>
      </c>
      <c r="H420" s="376">
        <v>0.25</v>
      </c>
      <c r="I420" s="376">
        <v>0.85</v>
      </c>
    </row>
    <row r="421" spans="1:9" x14ac:dyDescent="0.35">
      <c r="A421" s="376" t="s">
        <v>1613</v>
      </c>
      <c r="B421" s="376" t="s">
        <v>1609</v>
      </c>
      <c r="C421" s="376" t="s">
        <v>644</v>
      </c>
      <c r="D421" s="376">
        <v>2020</v>
      </c>
      <c r="E421" s="376">
        <v>2022</v>
      </c>
      <c r="F421" s="376">
        <v>0.40444272241720852</v>
      </c>
      <c r="G421" s="376">
        <v>2476.7804623136008</v>
      </c>
      <c r="H421" s="376">
        <v>0.25</v>
      </c>
      <c r="I421" s="376">
        <v>0.85</v>
      </c>
    </row>
    <row r="422" spans="1:9" x14ac:dyDescent="0.35">
      <c r="A422" s="376" t="s">
        <v>1613</v>
      </c>
      <c r="B422" s="376" t="s">
        <v>1609</v>
      </c>
      <c r="C422" s="376" t="s">
        <v>644</v>
      </c>
      <c r="D422" s="376">
        <v>2020</v>
      </c>
      <c r="E422" s="376">
        <v>2023</v>
      </c>
      <c r="F422" s="376">
        <v>0.40444272241720852</v>
      </c>
      <c r="G422" s="376">
        <v>2481.0493935192017</v>
      </c>
      <c r="H422" s="376">
        <v>0.25</v>
      </c>
      <c r="I422" s="376">
        <v>0.85</v>
      </c>
    </row>
    <row r="423" spans="1:9" x14ac:dyDescent="0.35">
      <c r="A423" s="376" t="s">
        <v>1613</v>
      </c>
      <c r="B423" s="376" t="s">
        <v>1609</v>
      </c>
      <c r="C423" s="376" t="s">
        <v>644</v>
      </c>
      <c r="D423" s="376">
        <v>2020</v>
      </c>
      <c r="E423" s="376">
        <v>2024</v>
      </c>
      <c r="F423" s="376">
        <v>0.40444272241720852</v>
      </c>
      <c r="G423" s="376">
        <v>2485.3256825725875</v>
      </c>
      <c r="H423" s="376">
        <v>0.25</v>
      </c>
      <c r="I423" s="376">
        <v>0.85</v>
      </c>
    </row>
    <row r="424" spans="1:9" x14ac:dyDescent="0.35">
      <c r="A424" s="376" t="s">
        <v>1613</v>
      </c>
      <c r="B424" s="376" t="s">
        <v>1609</v>
      </c>
      <c r="C424" s="376" t="s">
        <v>644</v>
      </c>
      <c r="D424" s="376">
        <v>2020</v>
      </c>
      <c r="E424" s="376">
        <v>2025</v>
      </c>
      <c r="F424" s="376">
        <v>0.40444272241720852</v>
      </c>
      <c r="G424" s="376">
        <v>2489.6093421556034</v>
      </c>
      <c r="H424" s="376">
        <v>0.25</v>
      </c>
      <c r="I424" s="376">
        <v>0.85</v>
      </c>
    </row>
    <row r="425" spans="1:9" x14ac:dyDescent="0.35">
      <c r="A425" s="376" t="s">
        <v>1613</v>
      </c>
      <c r="B425" s="376" t="s">
        <v>1609</v>
      </c>
      <c r="C425" s="376" t="s">
        <v>644</v>
      </c>
      <c r="D425" s="376">
        <v>2020</v>
      </c>
      <c r="E425" s="376">
        <v>2026</v>
      </c>
      <c r="F425" s="376">
        <v>0.40444272241720852</v>
      </c>
      <c r="G425" s="376">
        <v>2493.900384971952</v>
      </c>
      <c r="H425" s="376">
        <v>0.25</v>
      </c>
      <c r="I425" s="376">
        <v>0.85</v>
      </c>
    </row>
    <row r="426" spans="1:9" x14ac:dyDescent="0.35">
      <c r="A426" s="376" t="s">
        <v>1613</v>
      </c>
      <c r="B426" s="376" t="s">
        <v>1609</v>
      </c>
      <c r="C426" s="376" t="s">
        <v>644</v>
      </c>
      <c r="D426" s="376">
        <v>2020</v>
      </c>
      <c r="E426" s="376">
        <v>2027</v>
      </c>
      <c r="F426" s="376">
        <v>0.40444272241720852</v>
      </c>
      <c r="G426" s="376">
        <v>2498.1988237472328</v>
      </c>
      <c r="H426" s="376">
        <v>0.25</v>
      </c>
      <c r="I426" s="376">
        <v>0.85</v>
      </c>
    </row>
    <row r="427" spans="1:9" x14ac:dyDescent="0.35">
      <c r="A427" s="376" t="s">
        <v>1613</v>
      </c>
      <c r="B427" s="376" t="s">
        <v>1609</v>
      </c>
      <c r="C427" s="376" t="s">
        <v>644</v>
      </c>
      <c r="D427" s="376">
        <v>2020</v>
      </c>
      <c r="E427" s="376">
        <v>2028</v>
      </c>
      <c r="F427" s="376">
        <v>0.40444272241720852</v>
      </c>
      <c r="G427" s="376">
        <v>2502.5046712289786</v>
      </c>
      <c r="H427" s="376">
        <v>0.25</v>
      </c>
      <c r="I427" s="376">
        <v>0.85</v>
      </c>
    </row>
    <row r="428" spans="1:9" x14ac:dyDescent="0.35">
      <c r="A428" s="376" t="s">
        <v>1613</v>
      </c>
      <c r="B428" s="376" t="s">
        <v>1609</v>
      </c>
      <c r="C428" s="376" t="s">
        <v>644</v>
      </c>
      <c r="D428" s="376">
        <v>2020</v>
      </c>
      <c r="E428" s="376">
        <v>2029</v>
      </c>
      <c r="F428" s="376">
        <v>0.40444272241720852</v>
      </c>
      <c r="G428" s="376">
        <v>2506.8179401866932</v>
      </c>
      <c r="H428" s="376">
        <v>0.25</v>
      </c>
      <c r="I428" s="376">
        <v>0.85</v>
      </c>
    </row>
    <row r="429" spans="1:9" x14ac:dyDescent="0.35">
      <c r="A429" s="376" t="s">
        <v>1613</v>
      </c>
      <c r="B429" s="376" t="s">
        <v>1609</v>
      </c>
      <c r="C429" s="376" t="s">
        <v>644</v>
      </c>
      <c r="D429" s="376">
        <v>2020</v>
      </c>
      <c r="E429" s="376">
        <v>2030</v>
      </c>
      <c r="F429" s="376">
        <v>0.40444272241720852</v>
      </c>
      <c r="G429" s="376">
        <v>2511.1386434118904</v>
      </c>
      <c r="H429" s="376">
        <v>0.25</v>
      </c>
      <c r="I429" s="376">
        <v>0.85</v>
      </c>
    </row>
    <row r="430" spans="1:9" x14ac:dyDescent="0.35">
      <c r="A430" s="376" t="s">
        <v>1605</v>
      </c>
      <c r="B430" s="376" t="s">
        <v>1609</v>
      </c>
      <c r="C430" s="376" t="s">
        <v>1046</v>
      </c>
      <c r="D430" s="376">
        <v>2020</v>
      </c>
      <c r="E430" s="376">
        <v>2021</v>
      </c>
      <c r="F430" s="376">
        <v>0.23884589662749595</v>
      </c>
      <c r="G430" s="376">
        <v>12023.270348024485</v>
      </c>
      <c r="H430" s="376">
        <v>0</v>
      </c>
      <c r="I430" s="376">
        <v>1</v>
      </c>
    </row>
    <row r="431" spans="1:9" x14ac:dyDescent="0.35">
      <c r="A431" s="376" t="s">
        <v>1605</v>
      </c>
      <c r="B431" s="376" t="s">
        <v>1609</v>
      </c>
      <c r="C431" s="376" t="s">
        <v>1046</v>
      </c>
      <c r="D431" s="376">
        <v>2020</v>
      </c>
      <c r="E431" s="376">
        <v>2022</v>
      </c>
      <c r="F431" s="376">
        <v>0.23884589662749595</v>
      </c>
      <c r="G431" s="376">
        <v>12023.270348024485</v>
      </c>
      <c r="H431" s="376">
        <v>0</v>
      </c>
      <c r="I431" s="376">
        <v>1</v>
      </c>
    </row>
    <row r="432" spans="1:9" x14ac:dyDescent="0.35">
      <c r="A432" s="376" t="s">
        <v>1605</v>
      </c>
      <c r="B432" s="376" t="s">
        <v>1609</v>
      </c>
      <c r="C432" s="376" t="s">
        <v>1046</v>
      </c>
      <c r="D432" s="376">
        <v>2020</v>
      </c>
      <c r="E432" s="376">
        <v>2023</v>
      </c>
      <c r="F432" s="376">
        <v>0.23884589662749595</v>
      </c>
      <c r="G432" s="376">
        <v>12023.270348024485</v>
      </c>
      <c r="H432" s="376">
        <v>0</v>
      </c>
      <c r="I432" s="376">
        <v>1</v>
      </c>
    </row>
    <row r="433" spans="1:9" x14ac:dyDescent="0.35">
      <c r="A433" s="376" t="s">
        <v>1605</v>
      </c>
      <c r="B433" s="376" t="s">
        <v>1609</v>
      </c>
      <c r="C433" s="376" t="s">
        <v>1046</v>
      </c>
      <c r="D433" s="376">
        <v>2020</v>
      </c>
      <c r="E433" s="376">
        <v>2024</v>
      </c>
      <c r="F433" s="376">
        <v>0.23884589662749595</v>
      </c>
      <c r="G433" s="376">
        <v>12023.270348024485</v>
      </c>
      <c r="H433" s="376">
        <v>0</v>
      </c>
      <c r="I433" s="376">
        <v>1</v>
      </c>
    </row>
    <row r="434" spans="1:9" x14ac:dyDescent="0.35">
      <c r="A434" s="376" t="s">
        <v>1605</v>
      </c>
      <c r="B434" s="376" t="s">
        <v>1609</v>
      </c>
      <c r="C434" s="376" t="s">
        <v>1046</v>
      </c>
      <c r="D434" s="376">
        <v>2020</v>
      </c>
      <c r="E434" s="376">
        <v>2025</v>
      </c>
      <c r="F434" s="376">
        <v>0.23884589662749595</v>
      </c>
      <c r="G434" s="376">
        <v>12023.270348024485</v>
      </c>
      <c r="H434" s="376">
        <v>0</v>
      </c>
      <c r="I434" s="376">
        <v>1</v>
      </c>
    </row>
    <row r="435" spans="1:9" x14ac:dyDescent="0.35">
      <c r="A435" s="376" t="s">
        <v>1605</v>
      </c>
      <c r="B435" s="376" t="s">
        <v>1609</v>
      </c>
      <c r="C435" s="376" t="s">
        <v>1046</v>
      </c>
      <c r="D435" s="376">
        <v>2020</v>
      </c>
      <c r="E435" s="376">
        <v>2026</v>
      </c>
      <c r="F435" s="376">
        <v>0.23884589662749595</v>
      </c>
      <c r="G435" s="376">
        <v>12023.270348024485</v>
      </c>
      <c r="H435" s="376">
        <v>0</v>
      </c>
      <c r="I435" s="376">
        <v>1</v>
      </c>
    </row>
    <row r="436" spans="1:9" x14ac:dyDescent="0.35">
      <c r="A436" s="376" t="s">
        <v>1605</v>
      </c>
      <c r="B436" s="376" t="s">
        <v>1609</v>
      </c>
      <c r="C436" s="376" t="s">
        <v>1046</v>
      </c>
      <c r="D436" s="376">
        <v>2020</v>
      </c>
      <c r="E436" s="376">
        <v>2027</v>
      </c>
      <c r="F436" s="376">
        <v>0.23884589662749595</v>
      </c>
      <c r="G436" s="376">
        <v>12023.270348024485</v>
      </c>
      <c r="H436" s="376">
        <v>0</v>
      </c>
      <c r="I436" s="376">
        <v>1</v>
      </c>
    </row>
    <row r="437" spans="1:9" x14ac:dyDescent="0.35">
      <c r="A437" s="376" t="s">
        <v>1605</v>
      </c>
      <c r="B437" s="376" t="s">
        <v>1609</v>
      </c>
      <c r="C437" s="376" t="s">
        <v>1046</v>
      </c>
      <c r="D437" s="376">
        <v>2020</v>
      </c>
      <c r="E437" s="376">
        <v>2028</v>
      </c>
      <c r="F437" s="376">
        <v>0.23884589662749595</v>
      </c>
      <c r="G437" s="376">
        <v>12023.270348024485</v>
      </c>
      <c r="H437" s="376">
        <v>0</v>
      </c>
      <c r="I437" s="376">
        <v>1</v>
      </c>
    </row>
    <row r="438" spans="1:9" x14ac:dyDescent="0.35">
      <c r="A438" s="376" t="s">
        <v>1605</v>
      </c>
      <c r="B438" s="376" t="s">
        <v>1609</v>
      </c>
      <c r="C438" s="376" t="s">
        <v>1046</v>
      </c>
      <c r="D438" s="376">
        <v>2020</v>
      </c>
      <c r="E438" s="376">
        <v>2029</v>
      </c>
      <c r="F438" s="376">
        <v>0.23884589662749595</v>
      </c>
      <c r="G438" s="376">
        <v>12023.270348024485</v>
      </c>
      <c r="H438" s="376">
        <v>0</v>
      </c>
      <c r="I438" s="376">
        <v>1</v>
      </c>
    </row>
    <row r="439" spans="1:9" x14ac:dyDescent="0.35">
      <c r="A439" s="376" t="s">
        <v>1605</v>
      </c>
      <c r="B439" s="376" t="s">
        <v>1609</v>
      </c>
      <c r="C439" s="376" t="s">
        <v>1046</v>
      </c>
      <c r="D439" s="376">
        <v>2020</v>
      </c>
      <c r="E439" s="376">
        <v>2030</v>
      </c>
      <c r="F439" s="376">
        <v>0.23884589662749595</v>
      </c>
      <c r="G439" s="376">
        <v>12023.270348024485</v>
      </c>
      <c r="H439" s="376">
        <v>0</v>
      </c>
      <c r="I439" s="376">
        <v>1</v>
      </c>
    </row>
    <row r="440" spans="1:9" x14ac:dyDescent="0.35">
      <c r="A440" s="376" t="s">
        <v>1605</v>
      </c>
      <c r="B440" s="376" t="s">
        <v>1609</v>
      </c>
      <c r="C440" s="376" t="s">
        <v>1046</v>
      </c>
      <c r="D440" s="376">
        <v>2020</v>
      </c>
      <c r="E440" s="376">
        <v>2031</v>
      </c>
      <c r="F440" s="376">
        <v>0.23884589662749595</v>
      </c>
      <c r="G440" s="376">
        <v>12023.270348024485</v>
      </c>
      <c r="H440" s="376">
        <v>0</v>
      </c>
      <c r="I440" s="376">
        <v>1</v>
      </c>
    </row>
    <row r="441" spans="1:9" x14ac:dyDescent="0.35">
      <c r="A441" s="376" t="s">
        <v>1604</v>
      </c>
      <c r="B441" s="376" t="s">
        <v>1609</v>
      </c>
      <c r="C441" s="376" t="s">
        <v>1046</v>
      </c>
      <c r="D441" s="376">
        <v>2020</v>
      </c>
      <c r="E441" s="376">
        <v>2021</v>
      </c>
      <c r="F441" s="376">
        <v>1</v>
      </c>
      <c r="G441" s="376">
        <v>11576.617455650492</v>
      </c>
      <c r="H441" s="376">
        <v>0</v>
      </c>
      <c r="I441" s="376">
        <v>1</v>
      </c>
    </row>
    <row r="442" spans="1:9" x14ac:dyDescent="0.35">
      <c r="A442" s="376" t="s">
        <v>1604</v>
      </c>
      <c r="B442" s="376" t="s">
        <v>1609</v>
      </c>
      <c r="C442" s="376" t="s">
        <v>1046</v>
      </c>
      <c r="D442" s="376">
        <v>2020</v>
      </c>
      <c r="E442" s="376">
        <v>2022</v>
      </c>
      <c r="F442" s="376">
        <v>1</v>
      </c>
      <c r="G442" s="376">
        <v>11576.617455650492</v>
      </c>
      <c r="H442" s="376">
        <v>0</v>
      </c>
      <c r="I442" s="376">
        <v>1</v>
      </c>
    </row>
    <row r="443" spans="1:9" x14ac:dyDescent="0.35">
      <c r="A443" s="376" t="s">
        <v>1604</v>
      </c>
      <c r="B443" s="376" t="s">
        <v>1609</v>
      </c>
      <c r="C443" s="376" t="s">
        <v>1046</v>
      </c>
      <c r="D443" s="376">
        <v>2020</v>
      </c>
      <c r="E443" s="376">
        <v>2023</v>
      </c>
      <c r="F443" s="376">
        <v>1</v>
      </c>
      <c r="G443" s="376">
        <v>11576.617455650492</v>
      </c>
      <c r="H443" s="376">
        <v>0</v>
      </c>
      <c r="I443" s="376">
        <v>1</v>
      </c>
    </row>
    <row r="444" spans="1:9" x14ac:dyDescent="0.35">
      <c r="A444" s="376" t="s">
        <v>1604</v>
      </c>
      <c r="B444" s="376" t="s">
        <v>1609</v>
      </c>
      <c r="C444" s="376" t="s">
        <v>1046</v>
      </c>
      <c r="D444" s="376">
        <v>2020</v>
      </c>
      <c r="E444" s="376">
        <v>2024</v>
      </c>
      <c r="F444" s="376">
        <v>1</v>
      </c>
      <c r="G444" s="376">
        <v>11576.617455650492</v>
      </c>
      <c r="H444" s="376">
        <v>0</v>
      </c>
      <c r="I444" s="376">
        <v>1</v>
      </c>
    </row>
    <row r="445" spans="1:9" x14ac:dyDescent="0.35">
      <c r="A445" s="376" t="s">
        <v>1604</v>
      </c>
      <c r="B445" s="376" t="s">
        <v>1609</v>
      </c>
      <c r="C445" s="376" t="s">
        <v>1046</v>
      </c>
      <c r="D445" s="376">
        <v>2020</v>
      </c>
      <c r="E445" s="376">
        <v>2025</v>
      </c>
      <c r="F445" s="376">
        <v>1</v>
      </c>
      <c r="G445" s="376">
        <v>11576.617455650492</v>
      </c>
      <c r="H445" s="376">
        <v>0</v>
      </c>
      <c r="I445" s="376">
        <v>1</v>
      </c>
    </row>
    <row r="446" spans="1:9" x14ac:dyDescent="0.35">
      <c r="A446" s="376" t="s">
        <v>1604</v>
      </c>
      <c r="B446" s="376" t="s">
        <v>1609</v>
      </c>
      <c r="C446" s="376" t="s">
        <v>1046</v>
      </c>
      <c r="D446" s="376">
        <v>2020</v>
      </c>
      <c r="E446" s="376">
        <v>2026</v>
      </c>
      <c r="F446" s="376">
        <v>1</v>
      </c>
      <c r="G446" s="376">
        <v>11576.617455650492</v>
      </c>
      <c r="H446" s="376">
        <v>0</v>
      </c>
      <c r="I446" s="376">
        <v>1</v>
      </c>
    </row>
    <row r="447" spans="1:9" x14ac:dyDescent="0.35">
      <c r="A447" s="376" t="s">
        <v>1604</v>
      </c>
      <c r="B447" s="376" t="s">
        <v>1609</v>
      </c>
      <c r="C447" s="376" t="s">
        <v>1046</v>
      </c>
      <c r="D447" s="376">
        <v>2020</v>
      </c>
      <c r="E447" s="376">
        <v>2027</v>
      </c>
      <c r="F447" s="376">
        <v>1</v>
      </c>
      <c r="G447" s="376">
        <v>11576.617455650492</v>
      </c>
      <c r="H447" s="376">
        <v>0</v>
      </c>
      <c r="I447" s="376">
        <v>1</v>
      </c>
    </row>
    <row r="448" spans="1:9" x14ac:dyDescent="0.35">
      <c r="A448" s="376" t="s">
        <v>1604</v>
      </c>
      <c r="B448" s="376" t="s">
        <v>1609</v>
      </c>
      <c r="C448" s="376" t="s">
        <v>1046</v>
      </c>
      <c r="D448" s="376">
        <v>2020</v>
      </c>
      <c r="E448" s="376">
        <v>2028</v>
      </c>
      <c r="F448" s="376">
        <v>1</v>
      </c>
      <c r="G448" s="376">
        <v>11576.617455650492</v>
      </c>
      <c r="H448" s="376">
        <v>0</v>
      </c>
      <c r="I448" s="376">
        <v>1</v>
      </c>
    </row>
    <row r="449" spans="1:9" x14ac:dyDescent="0.35">
      <c r="A449" s="376" t="s">
        <v>1604</v>
      </c>
      <c r="B449" s="376" t="s">
        <v>1609</v>
      </c>
      <c r="C449" s="376" t="s">
        <v>1046</v>
      </c>
      <c r="D449" s="376">
        <v>2020</v>
      </c>
      <c r="E449" s="376">
        <v>2029</v>
      </c>
      <c r="F449" s="376">
        <v>1</v>
      </c>
      <c r="G449" s="376">
        <v>11576.617455650492</v>
      </c>
      <c r="H449" s="376">
        <v>0</v>
      </c>
      <c r="I449" s="376">
        <v>1</v>
      </c>
    </row>
    <row r="450" spans="1:9" x14ac:dyDescent="0.35">
      <c r="A450" s="376" t="s">
        <v>1604</v>
      </c>
      <c r="B450" s="376" t="s">
        <v>1609</v>
      </c>
      <c r="C450" s="376" t="s">
        <v>1046</v>
      </c>
      <c r="D450" s="376">
        <v>2020</v>
      </c>
      <c r="E450" s="376">
        <v>2030</v>
      </c>
      <c r="F450" s="376">
        <v>1</v>
      </c>
      <c r="G450" s="376">
        <v>11576.617455650492</v>
      </c>
      <c r="H450" s="376">
        <v>0</v>
      </c>
      <c r="I450" s="376">
        <v>1</v>
      </c>
    </row>
    <row r="451" spans="1:9" x14ac:dyDescent="0.35">
      <c r="A451" s="376" t="s">
        <v>1604</v>
      </c>
      <c r="B451" s="376" t="s">
        <v>1609</v>
      </c>
      <c r="C451" s="376" t="s">
        <v>1046</v>
      </c>
      <c r="D451" s="376">
        <v>2020</v>
      </c>
      <c r="E451" s="376">
        <v>2031</v>
      </c>
      <c r="F451" s="376">
        <v>1</v>
      </c>
      <c r="G451" s="376">
        <v>11576.617455650492</v>
      </c>
      <c r="H451" s="376">
        <v>0</v>
      </c>
      <c r="I451" s="376">
        <v>1</v>
      </c>
    </row>
    <row r="452" spans="1:9" x14ac:dyDescent="0.35">
      <c r="A452" s="376" t="s">
        <v>1615</v>
      </c>
      <c r="B452" s="376" t="s">
        <v>1609</v>
      </c>
      <c r="C452" s="376" t="s">
        <v>1046</v>
      </c>
      <c r="D452" s="376">
        <v>2020</v>
      </c>
      <c r="E452" s="376">
        <v>2021</v>
      </c>
      <c r="F452" s="376">
        <v>1</v>
      </c>
      <c r="G452" s="376">
        <v>18216.212472207873</v>
      </c>
      <c r="H452" s="376">
        <v>0</v>
      </c>
      <c r="I452" s="376">
        <v>0.65716939790195539</v>
      </c>
    </row>
    <row r="453" spans="1:9" x14ac:dyDescent="0.35">
      <c r="A453" s="376" t="s">
        <v>1615</v>
      </c>
      <c r="B453" s="376" t="s">
        <v>1609</v>
      </c>
      <c r="C453" s="376" t="s">
        <v>1046</v>
      </c>
      <c r="D453" s="376">
        <v>2020</v>
      </c>
      <c r="E453" s="376">
        <v>2022</v>
      </c>
      <c r="F453" s="376">
        <v>1</v>
      </c>
      <c r="G453" s="376">
        <v>18216.212472207873</v>
      </c>
      <c r="H453" s="376">
        <v>0</v>
      </c>
      <c r="I453" s="376">
        <v>0.65716939790195539</v>
      </c>
    </row>
    <row r="454" spans="1:9" x14ac:dyDescent="0.35">
      <c r="A454" s="376" t="s">
        <v>1615</v>
      </c>
      <c r="B454" s="376" t="s">
        <v>1609</v>
      </c>
      <c r="C454" s="376" t="s">
        <v>1046</v>
      </c>
      <c r="D454" s="376">
        <v>2020</v>
      </c>
      <c r="E454" s="376">
        <v>2023</v>
      </c>
      <c r="F454" s="376">
        <v>1</v>
      </c>
      <c r="G454" s="376">
        <v>18216.212472207873</v>
      </c>
      <c r="H454" s="376">
        <v>0</v>
      </c>
      <c r="I454" s="376">
        <v>0.65716939790195539</v>
      </c>
    </row>
    <row r="455" spans="1:9" x14ac:dyDescent="0.35">
      <c r="A455" s="376" t="s">
        <v>1615</v>
      </c>
      <c r="B455" s="376" t="s">
        <v>1609</v>
      </c>
      <c r="C455" s="376" t="s">
        <v>1046</v>
      </c>
      <c r="D455" s="376">
        <v>2020</v>
      </c>
      <c r="E455" s="376">
        <v>2024</v>
      </c>
      <c r="F455" s="376">
        <v>1</v>
      </c>
      <c r="G455" s="376">
        <v>18216.212472207873</v>
      </c>
      <c r="H455" s="376">
        <v>0</v>
      </c>
      <c r="I455" s="376">
        <v>0.65716939790195539</v>
      </c>
    </row>
    <row r="456" spans="1:9" x14ac:dyDescent="0.35">
      <c r="A456" s="376" t="s">
        <v>1615</v>
      </c>
      <c r="B456" s="376" t="s">
        <v>1609</v>
      </c>
      <c r="C456" s="376" t="s">
        <v>1046</v>
      </c>
      <c r="D456" s="376">
        <v>2020</v>
      </c>
      <c r="E456" s="376">
        <v>2025</v>
      </c>
      <c r="F456" s="376">
        <v>1</v>
      </c>
      <c r="G456" s="376">
        <v>18216.212472207873</v>
      </c>
      <c r="H456" s="376">
        <v>0</v>
      </c>
      <c r="I456" s="376">
        <v>0.65716939790195539</v>
      </c>
    </row>
    <row r="457" spans="1:9" x14ac:dyDescent="0.35">
      <c r="A457" s="376" t="s">
        <v>1615</v>
      </c>
      <c r="B457" s="376" t="s">
        <v>1609</v>
      </c>
      <c r="C457" s="376" t="s">
        <v>1046</v>
      </c>
      <c r="D457" s="376">
        <v>2020</v>
      </c>
      <c r="E457" s="376">
        <v>2026</v>
      </c>
      <c r="F457" s="376">
        <v>1</v>
      </c>
      <c r="G457" s="376">
        <v>18216.212472207873</v>
      </c>
      <c r="H457" s="376">
        <v>0</v>
      </c>
      <c r="I457" s="376">
        <v>0.65716939790195539</v>
      </c>
    </row>
    <row r="458" spans="1:9" x14ac:dyDescent="0.35">
      <c r="A458" s="376" t="s">
        <v>1615</v>
      </c>
      <c r="B458" s="376" t="s">
        <v>1609</v>
      </c>
      <c r="C458" s="376" t="s">
        <v>1046</v>
      </c>
      <c r="D458" s="376">
        <v>2020</v>
      </c>
      <c r="E458" s="376">
        <v>2027</v>
      </c>
      <c r="F458" s="376">
        <v>1</v>
      </c>
      <c r="G458" s="376">
        <v>18216.212472207873</v>
      </c>
      <c r="H458" s="376">
        <v>0</v>
      </c>
      <c r="I458" s="376">
        <v>0.65716939790195539</v>
      </c>
    </row>
    <row r="459" spans="1:9" x14ac:dyDescent="0.35">
      <c r="A459" s="376" t="s">
        <v>1615</v>
      </c>
      <c r="B459" s="376" t="s">
        <v>1609</v>
      </c>
      <c r="C459" s="376" t="s">
        <v>1046</v>
      </c>
      <c r="D459" s="376">
        <v>2020</v>
      </c>
      <c r="E459" s="376">
        <v>2028</v>
      </c>
      <c r="F459" s="376">
        <v>1</v>
      </c>
      <c r="G459" s="376">
        <v>18216.212472207873</v>
      </c>
      <c r="H459" s="376">
        <v>0</v>
      </c>
      <c r="I459" s="376">
        <v>0.65716939790195539</v>
      </c>
    </row>
    <row r="460" spans="1:9" x14ac:dyDescent="0.35">
      <c r="A460" s="376" t="s">
        <v>1615</v>
      </c>
      <c r="B460" s="376" t="s">
        <v>1609</v>
      </c>
      <c r="C460" s="376" t="s">
        <v>1046</v>
      </c>
      <c r="D460" s="376">
        <v>2020</v>
      </c>
      <c r="E460" s="376">
        <v>2029</v>
      </c>
      <c r="F460" s="376">
        <v>1</v>
      </c>
      <c r="G460" s="376">
        <v>18216.212472207873</v>
      </c>
      <c r="H460" s="376">
        <v>0</v>
      </c>
      <c r="I460" s="376">
        <v>0.65716939790195539</v>
      </c>
    </row>
    <row r="461" spans="1:9" x14ac:dyDescent="0.35">
      <c r="A461" s="376" t="s">
        <v>1615</v>
      </c>
      <c r="B461" s="376" t="s">
        <v>1609</v>
      </c>
      <c r="C461" s="376" t="s">
        <v>1046</v>
      </c>
      <c r="D461" s="376">
        <v>2020</v>
      </c>
      <c r="E461" s="376">
        <v>2030</v>
      </c>
      <c r="F461" s="376">
        <v>1</v>
      </c>
      <c r="G461" s="376">
        <v>18216.212472207873</v>
      </c>
      <c r="H461" s="376">
        <v>0</v>
      </c>
      <c r="I461" s="376">
        <v>0.65716939790195539</v>
      </c>
    </row>
    <row r="462" spans="1:9" x14ac:dyDescent="0.35">
      <c r="A462" s="376" t="s">
        <v>1615</v>
      </c>
      <c r="B462" s="376" t="s">
        <v>1609</v>
      </c>
      <c r="C462" s="376" t="s">
        <v>1046</v>
      </c>
      <c r="D462" s="376">
        <v>2020</v>
      </c>
      <c r="E462" s="376">
        <v>2031</v>
      </c>
      <c r="F462" s="376">
        <v>1</v>
      </c>
      <c r="G462" s="376">
        <v>18216.212472207873</v>
      </c>
      <c r="H462" s="376">
        <v>0</v>
      </c>
      <c r="I462" s="376">
        <v>0.65716939790195539</v>
      </c>
    </row>
    <row r="463" spans="1:9" x14ac:dyDescent="0.35">
      <c r="A463" s="376" t="s">
        <v>1603</v>
      </c>
      <c r="B463" s="376" t="s">
        <v>1609</v>
      </c>
      <c r="C463" s="376" t="s">
        <v>1046</v>
      </c>
      <c r="D463" s="376">
        <v>2020</v>
      </c>
      <c r="E463" s="376">
        <v>2021</v>
      </c>
      <c r="F463" s="376">
        <v>1</v>
      </c>
      <c r="G463" s="376">
        <v>4783.4825046733322</v>
      </c>
      <c r="H463" s="376">
        <v>0</v>
      </c>
      <c r="I463" s="376">
        <v>1</v>
      </c>
    </row>
    <row r="464" spans="1:9" x14ac:dyDescent="0.35">
      <c r="A464" s="376" t="s">
        <v>1603</v>
      </c>
      <c r="B464" s="376" t="s">
        <v>1609</v>
      </c>
      <c r="C464" s="376" t="s">
        <v>1046</v>
      </c>
      <c r="D464" s="376">
        <v>2020</v>
      </c>
      <c r="E464" s="376">
        <v>2022</v>
      </c>
      <c r="F464" s="376">
        <v>1</v>
      </c>
      <c r="G464" s="376">
        <v>4783.4825046733322</v>
      </c>
      <c r="H464" s="376">
        <v>0</v>
      </c>
      <c r="I464" s="376">
        <v>1</v>
      </c>
    </row>
    <row r="465" spans="1:9" x14ac:dyDescent="0.35">
      <c r="A465" s="376" t="s">
        <v>1603</v>
      </c>
      <c r="B465" s="376" t="s">
        <v>1609</v>
      </c>
      <c r="C465" s="376" t="s">
        <v>1046</v>
      </c>
      <c r="D465" s="376">
        <v>2020</v>
      </c>
      <c r="E465" s="376">
        <v>2023</v>
      </c>
      <c r="F465" s="376">
        <v>1</v>
      </c>
      <c r="G465" s="376">
        <v>4783.4825046733322</v>
      </c>
      <c r="H465" s="376">
        <v>0</v>
      </c>
      <c r="I465" s="376">
        <v>1</v>
      </c>
    </row>
    <row r="466" spans="1:9" x14ac:dyDescent="0.35">
      <c r="A466" s="376" t="s">
        <v>1603</v>
      </c>
      <c r="B466" s="376" t="s">
        <v>1609</v>
      </c>
      <c r="C466" s="376" t="s">
        <v>1046</v>
      </c>
      <c r="D466" s="376">
        <v>2020</v>
      </c>
      <c r="E466" s="376">
        <v>2024</v>
      </c>
      <c r="F466" s="376">
        <v>1</v>
      </c>
      <c r="G466" s="376">
        <v>4783.4825046733322</v>
      </c>
      <c r="H466" s="376">
        <v>0</v>
      </c>
      <c r="I466" s="376">
        <v>1</v>
      </c>
    </row>
    <row r="467" spans="1:9" x14ac:dyDescent="0.35">
      <c r="A467" s="376" t="s">
        <v>1603</v>
      </c>
      <c r="B467" s="376" t="s">
        <v>1609</v>
      </c>
      <c r="C467" s="376" t="s">
        <v>1046</v>
      </c>
      <c r="D467" s="376">
        <v>2020</v>
      </c>
      <c r="E467" s="376">
        <v>2025</v>
      </c>
      <c r="F467" s="376">
        <v>1</v>
      </c>
      <c r="G467" s="376">
        <v>4783.4825046733322</v>
      </c>
      <c r="H467" s="376">
        <v>0</v>
      </c>
      <c r="I467" s="376">
        <v>1</v>
      </c>
    </row>
    <row r="468" spans="1:9" x14ac:dyDescent="0.35">
      <c r="A468" s="376" t="s">
        <v>1603</v>
      </c>
      <c r="B468" s="376" t="s">
        <v>1609</v>
      </c>
      <c r="C468" s="376" t="s">
        <v>1046</v>
      </c>
      <c r="D468" s="376">
        <v>2020</v>
      </c>
      <c r="E468" s="376">
        <v>2026</v>
      </c>
      <c r="F468" s="376">
        <v>1</v>
      </c>
      <c r="G468" s="376">
        <v>4783.4825046733322</v>
      </c>
      <c r="H468" s="376">
        <v>0</v>
      </c>
      <c r="I468" s="376">
        <v>1</v>
      </c>
    </row>
    <row r="469" spans="1:9" x14ac:dyDescent="0.35">
      <c r="A469" s="376" t="s">
        <v>1603</v>
      </c>
      <c r="B469" s="376" t="s">
        <v>1609</v>
      </c>
      <c r="C469" s="376" t="s">
        <v>1046</v>
      </c>
      <c r="D469" s="376">
        <v>2020</v>
      </c>
      <c r="E469" s="376">
        <v>2027</v>
      </c>
      <c r="F469" s="376">
        <v>1</v>
      </c>
      <c r="G469" s="376">
        <v>4783.4825046733322</v>
      </c>
      <c r="H469" s="376">
        <v>0</v>
      </c>
      <c r="I469" s="376">
        <v>1</v>
      </c>
    </row>
    <row r="470" spans="1:9" x14ac:dyDescent="0.35">
      <c r="A470" s="376" t="s">
        <v>1603</v>
      </c>
      <c r="B470" s="376" t="s">
        <v>1609</v>
      </c>
      <c r="C470" s="376" t="s">
        <v>1046</v>
      </c>
      <c r="D470" s="376">
        <v>2020</v>
      </c>
      <c r="E470" s="376">
        <v>2028</v>
      </c>
      <c r="F470" s="376">
        <v>1</v>
      </c>
      <c r="G470" s="376">
        <v>4783.4825046733322</v>
      </c>
      <c r="H470" s="376">
        <v>0</v>
      </c>
      <c r="I470" s="376">
        <v>1</v>
      </c>
    </row>
    <row r="471" spans="1:9" x14ac:dyDescent="0.35">
      <c r="A471" s="376" t="s">
        <v>1603</v>
      </c>
      <c r="B471" s="376" t="s">
        <v>1609</v>
      </c>
      <c r="C471" s="376" t="s">
        <v>1046</v>
      </c>
      <c r="D471" s="376">
        <v>2020</v>
      </c>
      <c r="E471" s="376">
        <v>2029</v>
      </c>
      <c r="F471" s="376">
        <v>1</v>
      </c>
      <c r="G471" s="376">
        <v>4783.4825046733322</v>
      </c>
      <c r="H471" s="376">
        <v>0</v>
      </c>
      <c r="I471" s="376">
        <v>1</v>
      </c>
    </row>
    <row r="472" spans="1:9" x14ac:dyDescent="0.35">
      <c r="A472" s="376" t="s">
        <v>1603</v>
      </c>
      <c r="B472" s="376" t="s">
        <v>1609</v>
      </c>
      <c r="C472" s="376" t="s">
        <v>1046</v>
      </c>
      <c r="D472" s="376">
        <v>2020</v>
      </c>
      <c r="E472" s="376">
        <v>2030</v>
      </c>
      <c r="F472" s="376">
        <v>1</v>
      </c>
      <c r="G472" s="376">
        <v>4783.4825046733322</v>
      </c>
      <c r="H472" s="376">
        <v>0</v>
      </c>
      <c r="I472" s="376">
        <v>1</v>
      </c>
    </row>
    <row r="473" spans="1:9" x14ac:dyDescent="0.35">
      <c r="A473" s="376" t="s">
        <v>1603</v>
      </c>
      <c r="B473" s="376" t="s">
        <v>1609</v>
      </c>
      <c r="C473" s="376" t="s">
        <v>1046</v>
      </c>
      <c r="D473" s="376">
        <v>2020</v>
      </c>
      <c r="E473" s="376">
        <v>2031</v>
      </c>
      <c r="F473" s="376">
        <v>1</v>
      </c>
      <c r="G473" s="376">
        <v>4783.4825046733322</v>
      </c>
      <c r="H473" s="376">
        <v>0</v>
      </c>
      <c r="I473" s="376">
        <v>1</v>
      </c>
    </row>
    <row r="474" spans="1:9" x14ac:dyDescent="0.35">
      <c r="A474" s="376" t="s">
        <v>1636</v>
      </c>
      <c r="B474" s="376" t="s">
        <v>1609</v>
      </c>
      <c r="C474" s="376" t="s">
        <v>1046</v>
      </c>
      <c r="D474" s="376">
        <v>2020</v>
      </c>
      <c r="E474" s="376">
        <v>2021</v>
      </c>
      <c r="F474" s="376">
        <v>1</v>
      </c>
      <c r="G474" s="376">
        <v>8940.0285185740213</v>
      </c>
      <c r="H474" s="376">
        <v>0</v>
      </c>
      <c r="I474" s="376">
        <v>1</v>
      </c>
    </row>
    <row r="475" spans="1:9" x14ac:dyDescent="0.35">
      <c r="A475" s="376" t="s">
        <v>1636</v>
      </c>
      <c r="B475" s="376" t="s">
        <v>1609</v>
      </c>
      <c r="C475" s="376" t="s">
        <v>1046</v>
      </c>
      <c r="D475" s="376">
        <v>2020</v>
      </c>
      <c r="E475" s="376">
        <v>2022</v>
      </c>
      <c r="F475" s="376">
        <v>1</v>
      </c>
      <c r="G475" s="376">
        <v>8582.4273778310599</v>
      </c>
      <c r="H475" s="376">
        <v>0</v>
      </c>
      <c r="I475" s="376">
        <v>1</v>
      </c>
    </row>
    <row r="476" spans="1:9" x14ac:dyDescent="0.35">
      <c r="A476" s="376" t="s">
        <v>1636</v>
      </c>
      <c r="B476" s="376" t="s">
        <v>1609</v>
      </c>
      <c r="C476" s="376" t="s">
        <v>1046</v>
      </c>
      <c r="D476" s="376">
        <v>2020</v>
      </c>
      <c r="E476" s="376">
        <v>2023</v>
      </c>
      <c r="F476" s="376">
        <v>1</v>
      </c>
      <c r="G476" s="376">
        <v>8239.130282717817</v>
      </c>
      <c r="H476" s="376">
        <v>0</v>
      </c>
      <c r="I476" s="376">
        <v>1</v>
      </c>
    </row>
    <row r="477" spans="1:9" x14ac:dyDescent="0.35">
      <c r="A477" s="376" t="s">
        <v>1636</v>
      </c>
      <c r="B477" s="376" t="s">
        <v>1609</v>
      </c>
      <c r="C477" s="376" t="s">
        <v>1046</v>
      </c>
      <c r="D477" s="376">
        <v>2020</v>
      </c>
      <c r="E477" s="376">
        <v>2024</v>
      </c>
      <c r="F477" s="376">
        <v>1</v>
      </c>
      <c r="G477" s="376">
        <v>7909.5650714091043</v>
      </c>
      <c r="H477" s="376">
        <v>0</v>
      </c>
      <c r="I477" s="376">
        <v>1</v>
      </c>
    </row>
    <row r="478" spans="1:9" x14ac:dyDescent="0.35">
      <c r="A478" s="376" t="s">
        <v>1636</v>
      </c>
      <c r="B478" s="376" t="s">
        <v>1609</v>
      </c>
      <c r="C478" s="376" t="s">
        <v>1046</v>
      </c>
      <c r="D478" s="376">
        <v>2020</v>
      </c>
      <c r="E478" s="376">
        <v>2025</v>
      </c>
      <c r="F478" s="376">
        <v>1</v>
      </c>
      <c r="G478" s="376">
        <v>7593.1824685527399</v>
      </c>
      <c r="H478" s="376">
        <v>0</v>
      </c>
      <c r="I478" s="376">
        <v>1</v>
      </c>
    </row>
    <row r="479" spans="1:9" x14ac:dyDescent="0.35">
      <c r="A479" s="376" t="s">
        <v>1636</v>
      </c>
      <c r="B479" s="376" t="s">
        <v>1609</v>
      </c>
      <c r="C479" s="376" t="s">
        <v>1046</v>
      </c>
      <c r="D479" s="376">
        <v>2020</v>
      </c>
      <c r="E479" s="376">
        <v>2026</v>
      </c>
      <c r="F479" s="376">
        <v>1</v>
      </c>
      <c r="G479" s="376">
        <v>7289.4551698106297</v>
      </c>
      <c r="H479" s="376">
        <v>0</v>
      </c>
      <c r="I479" s="376">
        <v>1</v>
      </c>
    </row>
    <row r="480" spans="1:9" x14ac:dyDescent="0.35">
      <c r="A480" s="376" t="s">
        <v>1636</v>
      </c>
      <c r="B480" s="376" t="s">
        <v>1609</v>
      </c>
      <c r="C480" s="376" t="s">
        <v>1046</v>
      </c>
      <c r="D480" s="376">
        <v>2020</v>
      </c>
      <c r="E480" s="376">
        <v>2027</v>
      </c>
      <c r="F480" s="376">
        <v>1</v>
      </c>
      <c r="G480" s="376">
        <v>6997.8769630182042</v>
      </c>
      <c r="H480" s="376">
        <v>0</v>
      </c>
      <c r="I480" s="376">
        <v>1</v>
      </c>
    </row>
    <row r="481" spans="1:9" x14ac:dyDescent="0.35">
      <c r="A481" s="376" t="s">
        <v>1636</v>
      </c>
      <c r="B481" s="376" t="s">
        <v>1609</v>
      </c>
      <c r="C481" s="376" t="s">
        <v>1046</v>
      </c>
      <c r="D481" s="376">
        <v>2020</v>
      </c>
      <c r="E481" s="376">
        <v>2028</v>
      </c>
      <c r="F481" s="376">
        <v>1</v>
      </c>
      <c r="G481" s="376">
        <v>6717.9618844974757</v>
      </c>
      <c r="H481" s="376">
        <v>0</v>
      </c>
      <c r="I481" s="376">
        <v>1</v>
      </c>
    </row>
    <row r="482" spans="1:9" x14ac:dyDescent="0.35">
      <c r="A482" s="376" t="s">
        <v>1636</v>
      </c>
      <c r="B482" s="376" t="s">
        <v>1609</v>
      </c>
      <c r="C482" s="376" t="s">
        <v>1046</v>
      </c>
      <c r="D482" s="376">
        <v>2020</v>
      </c>
      <c r="E482" s="376">
        <v>2029</v>
      </c>
      <c r="F482" s="376">
        <v>1</v>
      </c>
      <c r="G482" s="376">
        <v>6449.2434091175764</v>
      </c>
      <c r="H482" s="376">
        <v>0</v>
      </c>
      <c r="I482" s="376">
        <v>1</v>
      </c>
    </row>
    <row r="483" spans="1:9" x14ac:dyDescent="0.35">
      <c r="A483" s="376" t="s">
        <v>1636</v>
      </c>
      <c r="B483" s="376" t="s">
        <v>1609</v>
      </c>
      <c r="C483" s="376" t="s">
        <v>1046</v>
      </c>
      <c r="D483" s="376">
        <v>2020</v>
      </c>
      <c r="E483" s="376">
        <v>2030</v>
      </c>
      <c r="F483" s="376">
        <v>1</v>
      </c>
      <c r="G483" s="376">
        <v>6191.2736727528736</v>
      </c>
      <c r="H483" s="376">
        <v>0</v>
      </c>
      <c r="I483" s="376">
        <v>1</v>
      </c>
    </row>
    <row r="484" spans="1:9" x14ac:dyDescent="0.35">
      <c r="A484" s="376" t="s">
        <v>1636</v>
      </c>
      <c r="B484" s="376" t="s">
        <v>1609</v>
      </c>
      <c r="C484" s="376" t="s">
        <v>1046</v>
      </c>
      <c r="D484" s="376">
        <v>2020</v>
      </c>
      <c r="E484" s="376">
        <v>2031</v>
      </c>
      <c r="F484" s="376">
        <v>1</v>
      </c>
      <c r="G484" s="376">
        <v>5943.6227258427589</v>
      </c>
      <c r="H484" s="376">
        <v>0</v>
      </c>
      <c r="I484" s="376">
        <v>1</v>
      </c>
    </row>
    <row r="485" spans="1:9" x14ac:dyDescent="0.35">
      <c r="A485" s="376" t="s">
        <v>1606</v>
      </c>
      <c r="B485" s="376" t="s">
        <v>1609</v>
      </c>
      <c r="C485" s="376" t="s">
        <v>1046</v>
      </c>
      <c r="D485" s="376">
        <v>2020</v>
      </c>
      <c r="E485" s="376">
        <v>2021</v>
      </c>
      <c r="F485" s="376">
        <v>1</v>
      </c>
      <c r="G485" s="376">
        <v>8177.3076994117473</v>
      </c>
      <c r="H485" s="376">
        <v>0</v>
      </c>
      <c r="I485" s="376">
        <v>1</v>
      </c>
    </row>
    <row r="486" spans="1:9" x14ac:dyDescent="0.35">
      <c r="A486" s="376" t="s">
        <v>1606</v>
      </c>
      <c r="B486" s="376" t="s">
        <v>1609</v>
      </c>
      <c r="C486" s="376" t="s">
        <v>1046</v>
      </c>
      <c r="D486" s="376">
        <v>2020</v>
      </c>
      <c r="E486" s="376">
        <v>2022</v>
      </c>
      <c r="F486" s="376">
        <v>1</v>
      </c>
      <c r="G486" s="376">
        <v>7850.2153914352775</v>
      </c>
      <c r="H486" s="376">
        <v>0</v>
      </c>
      <c r="I486" s="376">
        <v>1</v>
      </c>
    </row>
    <row r="487" spans="1:9" x14ac:dyDescent="0.35">
      <c r="A487" s="376" t="s">
        <v>1606</v>
      </c>
      <c r="B487" s="376" t="s">
        <v>1609</v>
      </c>
      <c r="C487" s="376" t="s">
        <v>1046</v>
      </c>
      <c r="D487" s="376">
        <v>2020</v>
      </c>
      <c r="E487" s="376">
        <v>2023</v>
      </c>
      <c r="F487" s="376">
        <v>1</v>
      </c>
      <c r="G487" s="376">
        <v>7536.2067757778659</v>
      </c>
      <c r="H487" s="376">
        <v>0</v>
      </c>
      <c r="I487" s="376">
        <v>1</v>
      </c>
    </row>
    <row r="488" spans="1:9" x14ac:dyDescent="0.35">
      <c r="A488" s="376" t="s">
        <v>1606</v>
      </c>
      <c r="B488" s="376" t="s">
        <v>1609</v>
      </c>
      <c r="C488" s="376" t="s">
        <v>1046</v>
      </c>
      <c r="D488" s="376">
        <v>2020</v>
      </c>
      <c r="E488" s="376">
        <v>2024</v>
      </c>
      <c r="F488" s="376">
        <v>1</v>
      </c>
      <c r="G488" s="376">
        <v>7234.758504746751</v>
      </c>
      <c r="H488" s="376">
        <v>0</v>
      </c>
      <c r="I488" s="376">
        <v>1</v>
      </c>
    </row>
    <row r="489" spans="1:9" x14ac:dyDescent="0.35">
      <c r="A489" s="376" t="s">
        <v>1606</v>
      </c>
      <c r="B489" s="376" t="s">
        <v>1609</v>
      </c>
      <c r="C489" s="376" t="s">
        <v>1046</v>
      </c>
      <c r="D489" s="376">
        <v>2020</v>
      </c>
      <c r="E489" s="376">
        <v>2025</v>
      </c>
      <c r="F489" s="376">
        <v>1</v>
      </c>
      <c r="G489" s="376">
        <v>6945.3681645568804</v>
      </c>
      <c r="H489" s="376">
        <v>0</v>
      </c>
      <c r="I489" s="376">
        <v>1</v>
      </c>
    </row>
    <row r="490" spans="1:9" x14ac:dyDescent="0.35">
      <c r="A490" s="376" t="s">
        <v>1606</v>
      </c>
      <c r="B490" s="376" t="s">
        <v>1609</v>
      </c>
      <c r="C490" s="376" t="s">
        <v>1046</v>
      </c>
      <c r="D490" s="376">
        <v>2020</v>
      </c>
      <c r="E490" s="376">
        <v>2026</v>
      </c>
      <c r="F490" s="376">
        <v>1</v>
      </c>
      <c r="G490" s="376">
        <v>6667.553437974605</v>
      </c>
      <c r="H490" s="376">
        <v>0</v>
      </c>
      <c r="I490" s="376">
        <v>1</v>
      </c>
    </row>
    <row r="491" spans="1:9" x14ac:dyDescent="0.35">
      <c r="A491" s="376" t="s">
        <v>1606</v>
      </c>
      <c r="B491" s="376" t="s">
        <v>1609</v>
      </c>
      <c r="C491" s="376" t="s">
        <v>1046</v>
      </c>
      <c r="D491" s="376">
        <v>2020</v>
      </c>
      <c r="E491" s="376">
        <v>2027</v>
      </c>
      <c r="F491" s="376">
        <v>1</v>
      </c>
      <c r="G491" s="376">
        <v>6400.8513004556207</v>
      </c>
      <c r="H491" s="376">
        <v>0</v>
      </c>
      <c r="I491" s="376">
        <v>1</v>
      </c>
    </row>
    <row r="492" spans="1:9" x14ac:dyDescent="0.35">
      <c r="A492" s="376" t="s">
        <v>1606</v>
      </c>
      <c r="B492" s="376" t="s">
        <v>1609</v>
      </c>
      <c r="C492" s="376" t="s">
        <v>1046</v>
      </c>
      <c r="D492" s="376">
        <v>2020</v>
      </c>
      <c r="E492" s="376">
        <v>2028</v>
      </c>
      <c r="F492" s="376">
        <v>1</v>
      </c>
      <c r="G492" s="376">
        <v>6144.8172484373954</v>
      </c>
      <c r="H492" s="376">
        <v>0</v>
      </c>
      <c r="I492" s="376">
        <v>1</v>
      </c>
    </row>
    <row r="493" spans="1:9" x14ac:dyDescent="0.35">
      <c r="A493" s="376" t="s">
        <v>1606</v>
      </c>
      <c r="B493" s="376" t="s">
        <v>1609</v>
      </c>
      <c r="C493" s="376" t="s">
        <v>1046</v>
      </c>
      <c r="D493" s="376">
        <v>2020</v>
      </c>
      <c r="E493" s="376">
        <v>2029</v>
      </c>
      <c r="F493" s="376">
        <v>1</v>
      </c>
      <c r="G493" s="376">
        <v>5899.0245584998993</v>
      </c>
      <c r="H493" s="376">
        <v>0</v>
      </c>
      <c r="I493" s="376">
        <v>1</v>
      </c>
    </row>
    <row r="494" spans="1:9" x14ac:dyDescent="0.35">
      <c r="A494" s="376" t="s">
        <v>1606</v>
      </c>
      <c r="B494" s="376" t="s">
        <v>1609</v>
      </c>
      <c r="C494" s="376" t="s">
        <v>1046</v>
      </c>
      <c r="D494" s="376">
        <v>2020</v>
      </c>
      <c r="E494" s="376">
        <v>2030</v>
      </c>
      <c r="F494" s="376">
        <v>1</v>
      </c>
      <c r="G494" s="376">
        <v>5663.0635761599033</v>
      </c>
      <c r="H494" s="376">
        <v>0</v>
      </c>
      <c r="I494" s="376">
        <v>1</v>
      </c>
    </row>
    <row r="495" spans="1:9" x14ac:dyDescent="0.35">
      <c r="A495" s="376" t="s">
        <v>1606</v>
      </c>
      <c r="B495" s="376" t="s">
        <v>1609</v>
      </c>
      <c r="C495" s="376" t="s">
        <v>1046</v>
      </c>
      <c r="D495" s="376">
        <v>2020</v>
      </c>
      <c r="E495" s="376">
        <v>2031</v>
      </c>
      <c r="F495" s="376">
        <v>1</v>
      </c>
      <c r="G495" s="376">
        <v>5436.5410331135072</v>
      </c>
      <c r="H495" s="376">
        <v>0</v>
      </c>
      <c r="I495" s="376">
        <v>1</v>
      </c>
    </row>
    <row r="496" spans="1:9" x14ac:dyDescent="0.35">
      <c r="A496" s="376" t="s">
        <v>1613</v>
      </c>
      <c r="B496" s="376" t="s">
        <v>1609</v>
      </c>
      <c r="C496" s="376" t="s">
        <v>644</v>
      </c>
      <c r="D496" s="376">
        <v>2020</v>
      </c>
      <c r="E496" s="376">
        <v>2031</v>
      </c>
      <c r="F496" s="376">
        <v>0.40444272241720852</v>
      </c>
      <c r="G496" s="376">
        <v>2515.4667937181302</v>
      </c>
      <c r="H496" s="376">
        <v>0.25</v>
      </c>
      <c r="I496" s="376">
        <v>0.85</v>
      </c>
    </row>
    <row r="497" spans="1:9" x14ac:dyDescent="0.35">
      <c r="A497" s="376" t="s">
        <v>1604</v>
      </c>
      <c r="B497" s="376" t="s">
        <v>1609</v>
      </c>
      <c r="C497" s="376" t="s">
        <v>644</v>
      </c>
      <c r="D497" s="376">
        <v>2020</v>
      </c>
      <c r="E497" s="376">
        <v>2021</v>
      </c>
      <c r="F497" s="376">
        <v>1</v>
      </c>
      <c r="G497" s="376">
        <v>8143.6762367750935</v>
      </c>
      <c r="H497" s="376">
        <v>0</v>
      </c>
      <c r="I497" s="376">
        <v>1</v>
      </c>
    </row>
    <row r="498" spans="1:9" x14ac:dyDescent="0.35">
      <c r="A498" s="376" t="s">
        <v>1604</v>
      </c>
      <c r="B498" s="376" t="s">
        <v>1609</v>
      </c>
      <c r="C498" s="376" t="s">
        <v>644</v>
      </c>
      <c r="D498" s="376">
        <v>2020</v>
      </c>
      <c r="E498" s="376">
        <v>2022</v>
      </c>
      <c r="F498" s="376">
        <v>1</v>
      </c>
      <c r="G498" s="376">
        <v>8143.6762367750935</v>
      </c>
      <c r="H498" s="376">
        <v>0</v>
      </c>
      <c r="I498" s="376">
        <v>1</v>
      </c>
    </row>
    <row r="499" spans="1:9" x14ac:dyDescent="0.35">
      <c r="A499" s="376" t="s">
        <v>1604</v>
      </c>
      <c r="B499" s="376" t="s">
        <v>1609</v>
      </c>
      <c r="C499" s="376" t="s">
        <v>644</v>
      </c>
      <c r="D499" s="376">
        <v>2020</v>
      </c>
      <c r="E499" s="376">
        <v>2023</v>
      </c>
      <c r="F499" s="376">
        <v>1</v>
      </c>
      <c r="G499" s="376">
        <v>8143.6762367750935</v>
      </c>
      <c r="H499" s="376">
        <v>0</v>
      </c>
      <c r="I499" s="376">
        <v>1</v>
      </c>
    </row>
    <row r="500" spans="1:9" x14ac:dyDescent="0.35">
      <c r="A500" s="376" t="s">
        <v>1604</v>
      </c>
      <c r="B500" s="376" t="s">
        <v>1609</v>
      </c>
      <c r="C500" s="376" t="s">
        <v>644</v>
      </c>
      <c r="D500" s="376">
        <v>2020</v>
      </c>
      <c r="E500" s="376">
        <v>2024</v>
      </c>
      <c r="F500" s="376">
        <v>1</v>
      </c>
      <c r="G500" s="376">
        <v>8143.6762367750935</v>
      </c>
      <c r="H500" s="376">
        <v>0</v>
      </c>
      <c r="I500" s="376">
        <v>1</v>
      </c>
    </row>
    <row r="501" spans="1:9" x14ac:dyDescent="0.35">
      <c r="A501" s="376" t="s">
        <v>1604</v>
      </c>
      <c r="B501" s="376" t="s">
        <v>1609</v>
      </c>
      <c r="C501" s="376" t="s">
        <v>644</v>
      </c>
      <c r="D501" s="376">
        <v>2020</v>
      </c>
      <c r="E501" s="376">
        <v>2025</v>
      </c>
      <c r="F501" s="376">
        <v>1</v>
      </c>
      <c r="G501" s="376">
        <v>8143.6762367750935</v>
      </c>
      <c r="H501" s="376">
        <v>0</v>
      </c>
      <c r="I501" s="376">
        <v>1</v>
      </c>
    </row>
    <row r="502" spans="1:9" x14ac:dyDescent="0.35">
      <c r="A502" s="376" t="s">
        <v>1604</v>
      </c>
      <c r="B502" s="376" t="s">
        <v>1609</v>
      </c>
      <c r="C502" s="376" t="s">
        <v>644</v>
      </c>
      <c r="D502" s="376">
        <v>2020</v>
      </c>
      <c r="E502" s="376">
        <v>2026</v>
      </c>
      <c r="F502" s="376">
        <v>1</v>
      </c>
      <c r="G502" s="376">
        <v>8143.6762367750935</v>
      </c>
      <c r="H502" s="376">
        <v>0</v>
      </c>
      <c r="I502" s="376">
        <v>1</v>
      </c>
    </row>
    <row r="503" spans="1:9" x14ac:dyDescent="0.35">
      <c r="A503" s="376" t="s">
        <v>1604</v>
      </c>
      <c r="B503" s="376" t="s">
        <v>1609</v>
      </c>
      <c r="C503" s="376" t="s">
        <v>644</v>
      </c>
      <c r="D503" s="376">
        <v>2020</v>
      </c>
      <c r="E503" s="376">
        <v>2027</v>
      </c>
      <c r="F503" s="376">
        <v>1</v>
      </c>
      <c r="G503" s="376">
        <v>8143.6762367750935</v>
      </c>
      <c r="H503" s="376">
        <v>0</v>
      </c>
      <c r="I503" s="376">
        <v>1</v>
      </c>
    </row>
    <row r="504" spans="1:9" x14ac:dyDescent="0.35">
      <c r="A504" s="376" t="s">
        <v>1604</v>
      </c>
      <c r="B504" s="376" t="s">
        <v>1609</v>
      </c>
      <c r="C504" s="376" t="s">
        <v>644</v>
      </c>
      <c r="D504" s="376">
        <v>2020</v>
      </c>
      <c r="E504" s="376">
        <v>2028</v>
      </c>
      <c r="F504" s="376">
        <v>1</v>
      </c>
      <c r="G504" s="376">
        <v>8143.6762367750935</v>
      </c>
      <c r="H504" s="376">
        <v>0</v>
      </c>
      <c r="I504" s="376">
        <v>1</v>
      </c>
    </row>
    <row r="505" spans="1:9" x14ac:dyDescent="0.35">
      <c r="A505" s="376" t="s">
        <v>1604</v>
      </c>
      <c r="B505" s="376" t="s">
        <v>1609</v>
      </c>
      <c r="C505" s="376" t="s">
        <v>644</v>
      </c>
      <c r="D505" s="376">
        <v>2020</v>
      </c>
      <c r="E505" s="376">
        <v>2029</v>
      </c>
      <c r="F505" s="376">
        <v>1</v>
      </c>
      <c r="G505" s="376">
        <v>8143.6762367750935</v>
      </c>
      <c r="H505" s="376">
        <v>0</v>
      </c>
      <c r="I505" s="376">
        <v>1</v>
      </c>
    </row>
    <row r="506" spans="1:9" x14ac:dyDescent="0.35">
      <c r="A506" s="376" t="s">
        <v>1604</v>
      </c>
      <c r="B506" s="376" t="s">
        <v>1609</v>
      </c>
      <c r="C506" s="376" t="s">
        <v>644</v>
      </c>
      <c r="D506" s="376">
        <v>2020</v>
      </c>
      <c r="E506" s="376">
        <v>2030</v>
      </c>
      <c r="F506" s="376">
        <v>1</v>
      </c>
      <c r="G506" s="376">
        <v>8143.6762367750935</v>
      </c>
      <c r="H506" s="376">
        <v>0</v>
      </c>
      <c r="I506" s="376">
        <v>1</v>
      </c>
    </row>
    <row r="507" spans="1:9" x14ac:dyDescent="0.35">
      <c r="A507" s="376" t="s">
        <v>1604</v>
      </c>
      <c r="B507" s="376" t="s">
        <v>1609</v>
      </c>
      <c r="C507" s="376" t="s">
        <v>644</v>
      </c>
      <c r="D507" s="376">
        <v>2020</v>
      </c>
      <c r="E507" s="376">
        <v>2031</v>
      </c>
      <c r="F507" s="376">
        <v>1</v>
      </c>
      <c r="G507" s="376">
        <v>8143.6762367750935</v>
      </c>
      <c r="H507" s="376">
        <v>0</v>
      </c>
      <c r="I507" s="376">
        <v>1</v>
      </c>
    </row>
    <row r="508" spans="1:9" x14ac:dyDescent="0.35">
      <c r="A508" s="376" t="s">
        <v>1603</v>
      </c>
      <c r="B508" s="376" t="s">
        <v>1609</v>
      </c>
      <c r="C508" s="376" t="s">
        <v>644</v>
      </c>
      <c r="D508" s="376">
        <v>2020</v>
      </c>
      <c r="E508" s="376">
        <v>2021</v>
      </c>
      <c r="F508" s="376">
        <v>1</v>
      </c>
      <c r="G508" s="376">
        <v>1819.9453197613475</v>
      </c>
      <c r="H508" s="376">
        <v>0</v>
      </c>
      <c r="I508" s="376">
        <v>1</v>
      </c>
    </row>
    <row r="509" spans="1:9" x14ac:dyDescent="0.35">
      <c r="A509" s="376" t="s">
        <v>1603</v>
      </c>
      <c r="B509" s="376" t="s">
        <v>1609</v>
      </c>
      <c r="C509" s="376" t="s">
        <v>644</v>
      </c>
      <c r="D509" s="376">
        <v>2020</v>
      </c>
      <c r="E509" s="376">
        <v>2022</v>
      </c>
      <c r="F509" s="376">
        <v>1</v>
      </c>
      <c r="G509" s="376">
        <v>1819.9453197613475</v>
      </c>
      <c r="H509" s="376">
        <v>0</v>
      </c>
      <c r="I509" s="376">
        <v>1</v>
      </c>
    </row>
    <row r="510" spans="1:9" x14ac:dyDescent="0.35">
      <c r="A510" s="376" t="s">
        <v>1603</v>
      </c>
      <c r="B510" s="376" t="s">
        <v>1609</v>
      </c>
      <c r="C510" s="376" t="s">
        <v>644</v>
      </c>
      <c r="D510" s="376">
        <v>2020</v>
      </c>
      <c r="E510" s="376">
        <v>2023</v>
      </c>
      <c r="F510" s="376">
        <v>1</v>
      </c>
      <c r="G510" s="376">
        <v>1819.9453197613475</v>
      </c>
      <c r="H510" s="376">
        <v>0</v>
      </c>
      <c r="I510" s="376">
        <v>1</v>
      </c>
    </row>
    <row r="511" spans="1:9" x14ac:dyDescent="0.35">
      <c r="A511" s="376" t="s">
        <v>1603</v>
      </c>
      <c r="B511" s="376" t="s">
        <v>1609</v>
      </c>
      <c r="C511" s="376" t="s">
        <v>644</v>
      </c>
      <c r="D511" s="376">
        <v>2020</v>
      </c>
      <c r="E511" s="376">
        <v>2024</v>
      </c>
      <c r="F511" s="376">
        <v>1</v>
      </c>
      <c r="G511" s="376">
        <v>1819.9453197613475</v>
      </c>
      <c r="H511" s="376">
        <v>0</v>
      </c>
      <c r="I511" s="376">
        <v>1</v>
      </c>
    </row>
    <row r="512" spans="1:9" x14ac:dyDescent="0.35">
      <c r="A512" s="376" t="s">
        <v>1603</v>
      </c>
      <c r="B512" s="376" t="s">
        <v>1609</v>
      </c>
      <c r="C512" s="376" t="s">
        <v>644</v>
      </c>
      <c r="D512" s="376">
        <v>2020</v>
      </c>
      <c r="E512" s="376">
        <v>2025</v>
      </c>
      <c r="F512" s="376">
        <v>1</v>
      </c>
      <c r="G512" s="376">
        <v>1819.9453197613475</v>
      </c>
      <c r="H512" s="376">
        <v>0</v>
      </c>
      <c r="I512" s="376">
        <v>1</v>
      </c>
    </row>
    <row r="513" spans="1:9" x14ac:dyDescent="0.35">
      <c r="A513" s="376" t="s">
        <v>1603</v>
      </c>
      <c r="B513" s="376" t="s">
        <v>1609</v>
      </c>
      <c r="C513" s="376" t="s">
        <v>644</v>
      </c>
      <c r="D513" s="376">
        <v>2020</v>
      </c>
      <c r="E513" s="376">
        <v>2026</v>
      </c>
      <c r="F513" s="376">
        <v>1</v>
      </c>
      <c r="G513" s="376">
        <v>1819.9453197613475</v>
      </c>
      <c r="H513" s="376">
        <v>0</v>
      </c>
      <c r="I513" s="376">
        <v>1</v>
      </c>
    </row>
    <row r="514" spans="1:9" x14ac:dyDescent="0.35">
      <c r="A514" s="376" t="s">
        <v>1603</v>
      </c>
      <c r="B514" s="376" t="s">
        <v>1609</v>
      </c>
      <c r="C514" s="376" t="s">
        <v>644</v>
      </c>
      <c r="D514" s="376">
        <v>2020</v>
      </c>
      <c r="E514" s="376">
        <v>2027</v>
      </c>
      <c r="F514" s="376">
        <v>1</v>
      </c>
      <c r="G514" s="376">
        <v>1819.9453197613475</v>
      </c>
      <c r="H514" s="376">
        <v>0</v>
      </c>
      <c r="I514" s="376">
        <v>1</v>
      </c>
    </row>
    <row r="515" spans="1:9" x14ac:dyDescent="0.35">
      <c r="A515" s="376" t="s">
        <v>1603</v>
      </c>
      <c r="B515" s="376" t="s">
        <v>1609</v>
      </c>
      <c r="C515" s="376" t="s">
        <v>644</v>
      </c>
      <c r="D515" s="376">
        <v>2020</v>
      </c>
      <c r="E515" s="376">
        <v>2028</v>
      </c>
      <c r="F515" s="376">
        <v>1</v>
      </c>
      <c r="G515" s="376">
        <v>1819.9453197613475</v>
      </c>
      <c r="H515" s="376">
        <v>0</v>
      </c>
      <c r="I515" s="376">
        <v>1</v>
      </c>
    </row>
    <row r="516" spans="1:9" x14ac:dyDescent="0.35">
      <c r="A516" s="376" t="s">
        <v>1603</v>
      </c>
      <c r="B516" s="376" t="s">
        <v>1609</v>
      </c>
      <c r="C516" s="376" t="s">
        <v>644</v>
      </c>
      <c r="D516" s="376">
        <v>2020</v>
      </c>
      <c r="E516" s="376">
        <v>2029</v>
      </c>
      <c r="F516" s="376">
        <v>1</v>
      </c>
      <c r="G516" s="376">
        <v>1819.9453197613475</v>
      </c>
      <c r="H516" s="376">
        <v>0</v>
      </c>
      <c r="I516" s="376">
        <v>1</v>
      </c>
    </row>
    <row r="517" spans="1:9" x14ac:dyDescent="0.35">
      <c r="A517" s="376" t="s">
        <v>1603</v>
      </c>
      <c r="B517" s="376" t="s">
        <v>1609</v>
      </c>
      <c r="C517" s="376" t="s">
        <v>644</v>
      </c>
      <c r="D517" s="376">
        <v>2020</v>
      </c>
      <c r="E517" s="376">
        <v>2030</v>
      </c>
      <c r="F517" s="376">
        <v>1</v>
      </c>
      <c r="G517" s="376">
        <v>1819.9453197613475</v>
      </c>
      <c r="H517" s="376">
        <v>0</v>
      </c>
      <c r="I517" s="376">
        <v>1</v>
      </c>
    </row>
    <row r="518" spans="1:9" x14ac:dyDescent="0.35">
      <c r="A518" s="376" t="s">
        <v>1603</v>
      </c>
      <c r="B518" s="376" t="s">
        <v>1609</v>
      </c>
      <c r="C518" s="376" t="s">
        <v>644</v>
      </c>
      <c r="D518" s="376">
        <v>2020</v>
      </c>
      <c r="E518" s="376">
        <v>2031</v>
      </c>
      <c r="F518" s="376">
        <v>1</v>
      </c>
      <c r="G518" s="376">
        <v>1819.9453197613475</v>
      </c>
      <c r="H518" s="376">
        <v>0</v>
      </c>
      <c r="I518" s="376">
        <v>1</v>
      </c>
    </row>
    <row r="519" spans="1:9" x14ac:dyDescent="0.35">
      <c r="A519" s="376" t="s">
        <v>1605</v>
      </c>
      <c r="B519" s="376" t="s">
        <v>1609</v>
      </c>
      <c r="C519" s="376" t="s">
        <v>644</v>
      </c>
      <c r="D519" s="376">
        <v>2020</v>
      </c>
      <c r="E519" s="376">
        <v>2021</v>
      </c>
      <c r="F519" s="376">
        <v>0.23884589662749595</v>
      </c>
      <c r="G519" s="376">
        <v>14598.416471112962</v>
      </c>
      <c r="H519" s="376">
        <v>0</v>
      </c>
      <c r="I519" s="376">
        <v>1</v>
      </c>
    </row>
    <row r="520" spans="1:9" x14ac:dyDescent="0.35">
      <c r="A520" s="376" t="s">
        <v>1605</v>
      </c>
      <c r="B520" s="376" t="s">
        <v>1609</v>
      </c>
      <c r="C520" s="376" t="s">
        <v>644</v>
      </c>
      <c r="D520" s="376">
        <v>2020</v>
      </c>
      <c r="E520" s="376">
        <v>2022</v>
      </c>
      <c r="F520" s="376">
        <v>0.23884589662749595</v>
      </c>
      <c r="G520" s="376">
        <v>14598.416471112962</v>
      </c>
      <c r="H520" s="376">
        <v>0</v>
      </c>
      <c r="I520" s="376">
        <v>1</v>
      </c>
    </row>
    <row r="521" spans="1:9" x14ac:dyDescent="0.35">
      <c r="A521" s="376" t="s">
        <v>1605</v>
      </c>
      <c r="B521" s="376" t="s">
        <v>1609</v>
      </c>
      <c r="C521" s="376" t="s">
        <v>644</v>
      </c>
      <c r="D521" s="376">
        <v>2020</v>
      </c>
      <c r="E521" s="376">
        <v>2023</v>
      </c>
      <c r="F521" s="376">
        <v>0.23884589662749595</v>
      </c>
      <c r="G521" s="376">
        <v>14598.416471112962</v>
      </c>
      <c r="H521" s="376">
        <v>0</v>
      </c>
      <c r="I521" s="376">
        <v>1</v>
      </c>
    </row>
    <row r="522" spans="1:9" x14ac:dyDescent="0.35">
      <c r="A522" s="376" t="s">
        <v>1605</v>
      </c>
      <c r="B522" s="376" t="s">
        <v>1609</v>
      </c>
      <c r="C522" s="376" t="s">
        <v>644</v>
      </c>
      <c r="D522" s="376">
        <v>2020</v>
      </c>
      <c r="E522" s="376">
        <v>2024</v>
      </c>
      <c r="F522" s="376">
        <v>0.23884589662749595</v>
      </c>
      <c r="G522" s="376">
        <v>14598.416471112962</v>
      </c>
      <c r="H522" s="376">
        <v>0</v>
      </c>
      <c r="I522" s="376">
        <v>1</v>
      </c>
    </row>
    <row r="523" spans="1:9" x14ac:dyDescent="0.35">
      <c r="A523" s="376" t="s">
        <v>1605</v>
      </c>
      <c r="B523" s="376" t="s">
        <v>1609</v>
      </c>
      <c r="C523" s="376" t="s">
        <v>644</v>
      </c>
      <c r="D523" s="376">
        <v>2020</v>
      </c>
      <c r="E523" s="376">
        <v>2025</v>
      </c>
      <c r="F523" s="376">
        <v>0.23884589662749595</v>
      </c>
      <c r="G523" s="376">
        <v>14598.416471112962</v>
      </c>
      <c r="H523" s="376">
        <v>0</v>
      </c>
      <c r="I523" s="376">
        <v>1</v>
      </c>
    </row>
    <row r="524" spans="1:9" x14ac:dyDescent="0.35">
      <c r="A524" s="376" t="s">
        <v>1605</v>
      </c>
      <c r="B524" s="376" t="s">
        <v>1609</v>
      </c>
      <c r="C524" s="376" t="s">
        <v>644</v>
      </c>
      <c r="D524" s="376">
        <v>2020</v>
      </c>
      <c r="E524" s="376">
        <v>2026</v>
      </c>
      <c r="F524" s="376">
        <v>0.23884589662749595</v>
      </c>
      <c r="G524" s="376">
        <v>14598.416471112962</v>
      </c>
      <c r="H524" s="376">
        <v>0</v>
      </c>
      <c r="I524" s="376">
        <v>1</v>
      </c>
    </row>
    <row r="525" spans="1:9" x14ac:dyDescent="0.35">
      <c r="A525" s="376" t="s">
        <v>1605</v>
      </c>
      <c r="B525" s="376" t="s">
        <v>1609</v>
      </c>
      <c r="C525" s="376" t="s">
        <v>644</v>
      </c>
      <c r="D525" s="376">
        <v>2020</v>
      </c>
      <c r="E525" s="376">
        <v>2027</v>
      </c>
      <c r="F525" s="376">
        <v>0.23884589662749595</v>
      </c>
      <c r="G525" s="376">
        <v>14598.416471112962</v>
      </c>
      <c r="H525" s="376">
        <v>0</v>
      </c>
      <c r="I525" s="376">
        <v>1</v>
      </c>
    </row>
    <row r="526" spans="1:9" x14ac:dyDescent="0.35">
      <c r="A526" s="376" t="s">
        <v>1605</v>
      </c>
      <c r="B526" s="376" t="s">
        <v>1609</v>
      </c>
      <c r="C526" s="376" t="s">
        <v>644</v>
      </c>
      <c r="D526" s="376">
        <v>2020</v>
      </c>
      <c r="E526" s="376">
        <v>2028</v>
      </c>
      <c r="F526" s="376">
        <v>0.23884589662749595</v>
      </c>
      <c r="G526" s="376">
        <v>14598.416471112962</v>
      </c>
      <c r="H526" s="376">
        <v>0</v>
      </c>
      <c r="I526" s="376">
        <v>1</v>
      </c>
    </row>
    <row r="527" spans="1:9" x14ac:dyDescent="0.35">
      <c r="A527" s="376" t="s">
        <v>1605</v>
      </c>
      <c r="B527" s="376" t="s">
        <v>1609</v>
      </c>
      <c r="C527" s="376" t="s">
        <v>644</v>
      </c>
      <c r="D527" s="376">
        <v>2020</v>
      </c>
      <c r="E527" s="376">
        <v>2029</v>
      </c>
      <c r="F527" s="376">
        <v>0.23884589662749595</v>
      </c>
      <c r="G527" s="376">
        <v>14598.416471112962</v>
      </c>
      <c r="H527" s="376">
        <v>0</v>
      </c>
      <c r="I527" s="376">
        <v>1</v>
      </c>
    </row>
    <row r="528" spans="1:9" x14ac:dyDescent="0.35">
      <c r="A528" s="376" t="s">
        <v>1605</v>
      </c>
      <c r="B528" s="376" t="s">
        <v>1609</v>
      </c>
      <c r="C528" s="376" t="s">
        <v>644</v>
      </c>
      <c r="D528" s="376">
        <v>2020</v>
      </c>
      <c r="E528" s="376">
        <v>2030</v>
      </c>
      <c r="F528" s="376">
        <v>0.23884589662749595</v>
      </c>
      <c r="G528" s="376">
        <v>14598.416471112962</v>
      </c>
      <c r="H528" s="376">
        <v>0</v>
      </c>
      <c r="I528" s="376">
        <v>1</v>
      </c>
    </row>
    <row r="529" spans="1:9" x14ac:dyDescent="0.35">
      <c r="A529" s="376" t="s">
        <v>1605</v>
      </c>
      <c r="B529" s="376" t="s">
        <v>1609</v>
      </c>
      <c r="C529" s="376" t="s">
        <v>644</v>
      </c>
      <c r="D529" s="376">
        <v>2020</v>
      </c>
      <c r="E529" s="376">
        <v>2031</v>
      </c>
      <c r="F529" s="376">
        <v>0.23884589662749595</v>
      </c>
      <c r="G529" s="376">
        <v>14598.416471112962</v>
      </c>
      <c r="H529" s="376">
        <v>0</v>
      </c>
      <c r="I529" s="376">
        <v>1</v>
      </c>
    </row>
    <row r="530" spans="1:9" x14ac:dyDescent="0.35">
      <c r="A530" s="376" t="s">
        <v>1636</v>
      </c>
      <c r="B530" s="376" t="s">
        <v>1609</v>
      </c>
      <c r="C530" s="376" t="s">
        <v>644</v>
      </c>
      <c r="D530" s="376">
        <v>2020</v>
      </c>
      <c r="E530" s="376">
        <v>2021</v>
      </c>
      <c r="F530" s="376">
        <v>1</v>
      </c>
      <c r="G530" s="376">
        <v>15808.731754424425</v>
      </c>
      <c r="H530" s="376">
        <v>0</v>
      </c>
      <c r="I530" s="376">
        <v>1</v>
      </c>
    </row>
    <row r="531" spans="1:9" x14ac:dyDescent="0.35">
      <c r="A531" s="376" t="s">
        <v>1636</v>
      </c>
      <c r="B531" s="376" t="s">
        <v>1609</v>
      </c>
      <c r="C531" s="376" t="s">
        <v>644</v>
      </c>
      <c r="D531" s="376">
        <v>2020</v>
      </c>
      <c r="E531" s="376">
        <v>2022</v>
      </c>
      <c r="F531" s="376">
        <v>1</v>
      </c>
      <c r="G531" s="376">
        <v>15176.382484247448</v>
      </c>
      <c r="H531" s="376">
        <v>0</v>
      </c>
      <c r="I531" s="376">
        <v>1</v>
      </c>
    </row>
    <row r="532" spans="1:9" x14ac:dyDescent="0.35">
      <c r="A532" s="376" t="s">
        <v>1636</v>
      </c>
      <c r="B532" s="376" t="s">
        <v>1609</v>
      </c>
      <c r="C532" s="376" t="s">
        <v>644</v>
      </c>
      <c r="D532" s="376">
        <v>2020</v>
      </c>
      <c r="E532" s="376">
        <v>2023</v>
      </c>
      <c r="F532" s="376">
        <v>1</v>
      </c>
      <c r="G532" s="376">
        <v>14569.327184877549</v>
      </c>
      <c r="H532" s="376">
        <v>0</v>
      </c>
      <c r="I532" s="376">
        <v>1</v>
      </c>
    </row>
    <row r="533" spans="1:9" x14ac:dyDescent="0.35">
      <c r="A533" s="376" t="s">
        <v>1636</v>
      </c>
      <c r="B533" s="376" t="s">
        <v>1609</v>
      </c>
      <c r="C533" s="376" t="s">
        <v>644</v>
      </c>
      <c r="D533" s="376">
        <v>2020</v>
      </c>
      <c r="E533" s="376">
        <v>2024</v>
      </c>
      <c r="F533" s="376">
        <v>1</v>
      </c>
      <c r="G533" s="376">
        <v>13986.554097482447</v>
      </c>
      <c r="H533" s="376">
        <v>0</v>
      </c>
      <c r="I533" s="376">
        <v>1</v>
      </c>
    </row>
    <row r="534" spans="1:9" x14ac:dyDescent="0.35">
      <c r="A534" s="376" t="s">
        <v>1636</v>
      </c>
      <c r="B534" s="376" t="s">
        <v>1609</v>
      </c>
      <c r="C534" s="376" t="s">
        <v>644</v>
      </c>
      <c r="D534" s="376">
        <v>2020</v>
      </c>
      <c r="E534" s="376">
        <v>2025</v>
      </c>
      <c r="F534" s="376">
        <v>1</v>
      </c>
      <c r="G534" s="376">
        <v>13427.09193358315</v>
      </c>
      <c r="H534" s="376">
        <v>0</v>
      </c>
      <c r="I534" s="376">
        <v>1</v>
      </c>
    </row>
    <row r="535" spans="1:9" x14ac:dyDescent="0.35">
      <c r="A535" s="376" t="s">
        <v>1636</v>
      </c>
      <c r="B535" s="376" t="s">
        <v>1609</v>
      </c>
      <c r="C535" s="376" t="s">
        <v>644</v>
      </c>
      <c r="D535" s="376">
        <v>2020</v>
      </c>
      <c r="E535" s="376">
        <v>2026</v>
      </c>
      <c r="F535" s="376">
        <v>1</v>
      </c>
      <c r="G535" s="376">
        <v>12890.008256239824</v>
      </c>
      <c r="H535" s="376">
        <v>0</v>
      </c>
      <c r="I535" s="376">
        <v>1</v>
      </c>
    </row>
    <row r="536" spans="1:9" x14ac:dyDescent="0.35">
      <c r="A536" s="376" t="s">
        <v>1636</v>
      </c>
      <c r="B536" s="376" t="s">
        <v>1609</v>
      </c>
      <c r="C536" s="376" t="s">
        <v>644</v>
      </c>
      <c r="D536" s="376">
        <v>2020</v>
      </c>
      <c r="E536" s="376">
        <v>2027</v>
      </c>
      <c r="F536" s="376">
        <v>1</v>
      </c>
      <c r="G536" s="376">
        <v>12374.40792599023</v>
      </c>
      <c r="H536" s="376">
        <v>0</v>
      </c>
      <c r="I536" s="376">
        <v>1</v>
      </c>
    </row>
    <row r="537" spans="1:9" x14ac:dyDescent="0.35">
      <c r="A537" s="376" t="s">
        <v>1636</v>
      </c>
      <c r="B537" s="376" t="s">
        <v>1609</v>
      </c>
      <c r="C537" s="376" t="s">
        <v>644</v>
      </c>
      <c r="D537" s="376">
        <v>2020</v>
      </c>
      <c r="E537" s="376">
        <v>2028</v>
      </c>
      <c r="F537" s="376">
        <v>1</v>
      </c>
      <c r="G537" s="376">
        <v>11879.431608950621</v>
      </c>
      <c r="H537" s="376">
        <v>0</v>
      </c>
      <c r="I537" s="376">
        <v>1</v>
      </c>
    </row>
    <row r="538" spans="1:9" x14ac:dyDescent="0.35">
      <c r="A538" s="376" t="s">
        <v>1636</v>
      </c>
      <c r="B538" s="376" t="s">
        <v>1609</v>
      </c>
      <c r="C538" s="376" t="s">
        <v>644</v>
      </c>
      <c r="D538" s="376">
        <v>2020</v>
      </c>
      <c r="E538" s="376">
        <v>2029</v>
      </c>
      <c r="F538" s="376">
        <v>1</v>
      </c>
      <c r="G538" s="376">
        <v>11404.254344592595</v>
      </c>
      <c r="H538" s="376">
        <v>0</v>
      </c>
      <c r="I538" s="376">
        <v>1</v>
      </c>
    </row>
    <row r="539" spans="1:9" x14ac:dyDescent="0.35">
      <c r="A539" s="376" t="s">
        <v>1636</v>
      </c>
      <c r="B539" s="376" t="s">
        <v>1609</v>
      </c>
      <c r="C539" s="376" t="s">
        <v>644</v>
      </c>
      <c r="D539" s="376">
        <v>2020</v>
      </c>
      <c r="E539" s="376">
        <v>2030</v>
      </c>
      <c r="F539" s="376">
        <v>1</v>
      </c>
      <c r="G539" s="376">
        <v>10948.08417080889</v>
      </c>
      <c r="H539" s="376">
        <v>0</v>
      </c>
      <c r="I539" s="376">
        <v>1</v>
      </c>
    </row>
    <row r="540" spans="1:9" x14ac:dyDescent="0.35">
      <c r="A540" s="376" t="s">
        <v>1636</v>
      </c>
      <c r="B540" s="376" t="s">
        <v>1609</v>
      </c>
      <c r="C540" s="376" t="s">
        <v>644</v>
      </c>
      <c r="D540" s="376">
        <v>2020</v>
      </c>
      <c r="E540" s="376">
        <v>2031</v>
      </c>
      <c r="F540" s="376">
        <v>1</v>
      </c>
      <c r="G540" s="376">
        <v>10510.160803976534</v>
      </c>
      <c r="H540" s="376">
        <v>0</v>
      </c>
      <c r="I540" s="376">
        <v>1</v>
      </c>
    </row>
    <row r="541" spans="1:9" x14ac:dyDescent="0.35">
      <c r="A541" s="376" t="s">
        <v>1612</v>
      </c>
      <c r="B541" s="376" t="s">
        <v>1609</v>
      </c>
      <c r="C541" s="376" t="s">
        <v>628</v>
      </c>
      <c r="D541" s="376">
        <v>2020</v>
      </c>
      <c r="E541" s="376">
        <v>2021</v>
      </c>
      <c r="F541" s="376">
        <v>0.35737526128209052</v>
      </c>
      <c r="G541" s="376">
        <v>9260.0037315282771</v>
      </c>
      <c r="H541" s="376">
        <v>0.25</v>
      </c>
      <c r="I541" s="376">
        <v>0.85</v>
      </c>
    </row>
    <row r="542" spans="1:9" x14ac:dyDescent="0.35">
      <c r="A542" s="376" t="s">
        <v>1612</v>
      </c>
      <c r="B542" s="376" t="s">
        <v>1609</v>
      </c>
      <c r="C542" s="376" t="s">
        <v>628</v>
      </c>
      <c r="D542" s="376">
        <v>2020</v>
      </c>
      <c r="E542" s="376">
        <v>2022</v>
      </c>
      <c r="F542" s="376">
        <v>0.35737526128209052</v>
      </c>
      <c r="G542" s="376">
        <v>9275.9640959994085</v>
      </c>
      <c r="H542" s="376">
        <v>0.25</v>
      </c>
      <c r="I542" s="376">
        <v>0.85</v>
      </c>
    </row>
    <row r="543" spans="1:9" x14ac:dyDescent="0.35">
      <c r="A543" s="376" t="s">
        <v>1612</v>
      </c>
      <c r="B543" s="376" t="s">
        <v>1609</v>
      </c>
      <c r="C543" s="376" t="s">
        <v>628</v>
      </c>
      <c r="D543" s="376">
        <v>2020</v>
      </c>
      <c r="E543" s="376">
        <v>2023</v>
      </c>
      <c r="F543" s="376">
        <v>0.35737526128209052</v>
      </c>
      <c r="G543" s="376">
        <v>9291.9519694480132</v>
      </c>
      <c r="H543" s="376">
        <v>0.25</v>
      </c>
      <c r="I543" s="376">
        <v>0.85</v>
      </c>
    </row>
    <row r="544" spans="1:9" x14ac:dyDescent="0.35">
      <c r="A544" s="376" t="s">
        <v>1612</v>
      </c>
      <c r="B544" s="376" t="s">
        <v>1609</v>
      </c>
      <c r="C544" s="376" t="s">
        <v>628</v>
      </c>
      <c r="D544" s="376">
        <v>2020</v>
      </c>
      <c r="E544" s="376">
        <v>2024</v>
      </c>
      <c r="F544" s="376">
        <v>0.35737526128209052</v>
      </c>
      <c r="G544" s="376">
        <v>9307.9673992880362</v>
      </c>
      <c r="H544" s="376">
        <v>0.25</v>
      </c>
      <c r="I544" s="376">
        <v>0.85</v>
      </c>
    </row>
    <row r="545" spans="1:9" x14ac:dyDescent="0.35">
      <c r="A545" s="376" t="s">
        <v>1612</v>
      </c>
      <c r="B545" s="376" t="s">
        <v>1609</v>
      </c>
      <c r="C545" s="376" t="s">
        <v>628</v>
      </c>
      <c r="D545" s="376">
        <v>2020</v>
      </c>
      <c r="E545" s="376">
        <v>2025</v>
      </c>
      <c r="F545" s="376">
        <v>0.35737526128209052</v>
      </c>
      <c r="G545" s="376">
        <v>9324.0104330151444</v>
      </c>
      <c r="H545" s="376">
        <v>0.25</v>
      </c>
      <c r="I545" s="376">
        <v>0.85</v>
      </c>
    </row>
    <row r="546" spans="1:9" x14ac:dyDescent="0.35">
      <c r="A546" s="376" t="s">
        <v>1612</v>
      </c>
      <c r="B546" s="376" t="s">
        <v>1609</v>
      </c>
      <c r="C546" s="376" t="s">
        <v>628</v>
      </c>
      <c r="D546" s="376">
        <v>2020</v>
      </c>
      <c r="E546" s="376">
        <v>2026</v>
      </c>
      <c r="F546" s="376">
        <v>0.35737526128209052</v>
      </c>
      <c r="G546" s="376">
        <v>9340.0811182068664</v>
      </c>
      <c r="H546" s="376">
        <v>0.25</v>
      </c>
      <c r="I546" s="376">
        <v>0.85</v>
      </c>
    </row>
    <row r="547" spans="1:9" x14ac:dyDescent="0.35">
      <c r="A547" s="376" t="s">
        <v>1612</v>
      </c>
      <c r="B547" s="376" t="s">
        <v>1609</v>
      </c>
      <c r="C547" s="376" t="s">
        <v>628</v>
      </c>
      <c r="D547" s="376">
        <v>2020</v>
      </c>
      <c r="E547" s="376">
        <v>2027</v>
      </c>
      <c r="F547" s="376">
        <v>0.35737526128209052</v>
      </c>
      <c r="G547" s="376">
        <v>9356.1795025227348</v>
      </c>
      <c r="H547" s="376">
        <v>0.25</v>
      </c>
      <c r="I547" s="376">
        <v>0.85</v>
      </c>
    </row>
    <row r="548" spans="1:9" x14ac:dyDescent="0.35">
      <c r="A548" s="376" t="s">
        <v>1612</v>
      </c>
      <c r="B548" s="376" t="s">
        <v>1609</v>
      </c>
      <c r="C548" s="376" t="s">
        <v>628</v>
      </c>
      <c r="D548" s="376">
        <v>2020</v>
      </c>
      <c r="E548" s="376">
        <v>2028</v>
      </c>
      <c r="F548" s="376">
        <v>0.35737526128209052</v>
      </c>
      <c r="G548" s="376">
        <v>9372.3056337044272</v>
      </c>
      <c r="H548" s="376">
        <v>0.25</v>
      </c>
      <c r="I548" s="376">
        <v>0.85</v>
      </c>
    </row>
    <row r="549" spans="1:9" x14ac:dyDescent="0.35">
      <c r="A549" s="376" t="s">
        <v>1612</v>
      </c>
      <c r="B549" s="376" t="s">
        <v>1609</v>
      </c>
      <c r="C549" s="376" t="s">
        <v>628</v>
      </c>
      <c r="D549" s="376">
        <v>2020</v>
      </c>
      <c r="E549" s="376">
        <v>2029</v>
      </c>
      <c r="F549" s="376">
        <v>0.35737526128209052</v>
      </c>
      <c r="G549" s="376">
        <v>9388.4595595759092</v>
      </c>
      <c r="H549" s="376">
        <v>0.25</v>
      </c>
      <c r="I549" s="376">
        <v>0.85</v>
      </c>
    </row>
    <row r="550" spans="1:9" x14ac:dyDescent="0.35">
      <c r="A550" s="376" t="s">
        <v>1612</v>
      </c>
      <c r="B550" s="376" t="s">
        <v>1609</v>
      </c>
      <c r="C550" s="376" t="s">
        <v>628</v>
      </c>
      <c r="D550" s="376">
        <v>2020</v>
      </c>
      <c r="E550" s="376">
        <v>2030</v>
      </c>
      <c r="F550" s="376">
        <v>0.35737526128209052</v>
      </c>
      <c r="G550" s="376">
        <v>9404.6413280435754</v>
      </c>
      <c r="H550" s="376">
        <v>0.25</v>
      </c>
      <c r="I550" s="376">
        <v>0.85</v>
      </c>
    </row>
    <row r="551" spans="1:9" x14ac:dyDescent="0.35">
      <c r="A551" s="376" t="s">
        <v>1612</v>
      </c>
      <c r="B551" s="376" t="s">
        <v>1609</v>
      </c>
      <c r="C551" s="376" t="s">
        <v>628</v>
      </c>
      <c r="D551" s="376">
        <v>2020</v>
      </c>
      <c r="E551" s="376">
        <v>2031</v>
      </c>
      <c r="F551" s="376">
        <v>0.35737526128209052</v>
      </c>
      <c r="G551" s="376">
        <v>9420.8509870963881</v>
      </c>
      <c r="H551" s="376">
        <v>0.25</v>
      </c>
      <c r="I551" s="376">
        <v>0.85</v>
      </c>
    </row>
    <row r="552" spans="1:9" x14ac:dyDescent="0.35">
      <c r="A552" s="376" t="s">
        <v>1613</v>
      </c>
      <c r="B552" s="376" t="s">
        <v>1609</v>
      </c>
      <c r="C552" s="376" t="s">
        <v>628</v>
      </c>
      <c r="D552" s="376">
        <v>2020</v>
      </c>
      <c r="E552" s="376">
        <v>2021</v>
      </c>
      <c r="F552" s="376">
        <v>0.40444272241720852</v>
      </c>
      <c r="G552" s="376">
        <v>5742.4984906120881</v>
      </c>
      <c r="H552" s="376">
        <v>0.25</v>
      </c>
      <c r="I552" s="376">
        <v>0.85</v>
      </c>
    </row>
    <row r="553" spans="1:9" x14ac:dyDescent="0.35">
      <c r="A553" s="376" t="s">
        <v>1613</v>
      </c>
      <c r="B553" s="376" t="s">
        <v>1609</v>
      </c>
      <c r="C553" s="376" t="s">
        <v>628</v>
      </c>
      <c r="D553" s="376">
        <v>2020</v>
      </c>
      <c r="E553" s="376">
        <v>2022</v>
      </c>
      <c r="F553" s="376">
        <v>0.40444272241720852</v>
      </c>
      <c r="G553" s="376">
        <v>5752.3961506500682</v>
      </c>
      <c r="H553" s="376">
        <v>0.25</v>
      </c>
      <c r="I553" s="376">
        <v>0.85</v>
      </c>
    </row>
    <row r="554" spans="1:9" x14ac:dyDescent="0.35">
      <c r="A554" s="376" t="s">
        <v>1613</v>
      </c>
      <c r="B554" s="376" t="s">
        <v>1609</v>
      </c>
      <c r="C554" s="376" t="s">
        <v>628</v>
      </c>
      <c r="D554" s="376">
        <v>2020</v>
      </c>
      <c r="E554" s="376">
        <v>2023</v>
      </c>
      <c r="F554" s="376">
        <v>0.40444272241720852</v>
      </c>
      <c r="G554" s="376">
        <v>5762.310870104674</v>
      </c>
      <c r="H554" s="376">
        <v>0.25</v>
      </c>
      <c r="I554" s="376">
        <v>0.85</v>
      </c>
    </row>
    <row r="555" spans="1:9" x14ac:dyDescent="0.35">
      <c r="A555" s="376" t="s">
        <v>1613</v>
      </c>
      <c r="B555" s="376" t="s">
        <v>1609</v>
      </c>
      <c r="C555" s="376" t="s">
        <v>628</v>
      </c>
      <c r="D555" s="376">
        <v>2020</v>
      </c>
      <c r="E555" s="376">
        <v>2024</v>
      </c>
      <c r="F555" s="376">
        <v>0.40444272241720852</v>
      </c>
      <c r="G555" s="376">
        <v>5772.2426783791889</v>
      </c>
      <c r="H555" s="376">
        <v>0.25</v>
      </c>
      <c r="I555" s="376">
        <v>0.85</v>
      </c>
    </row>
    <row r="556" spans="1:9" x14ac:dyDescent="0.35">
      <c r="A556" s="376" t="s">
        <v>1613</v>
      </c>
      <c r="B556" s="376" t="s">
        <v>1609</v>
      </c>
      <c r="C556" s="376" t="s">
        <v>628</v>
      </c>
      <c r="D556" s="376">
        <v>2020</v>
      </c>
      <c r="E556" s="376">
        <v>2025</v>
      </c>
      <c r="F556" s="376">
        <v>0.40444272241720852</v>
      </c>
      <c r="G556" s="376">
        <v>5782.1916049275742</v>
      </c>
      <c r="H556" s="376">
        <v>0.25</v>
      </c>
      <c r="I556" s="376">
        <v>0.85</v>
      </c>
    </row>
    <row r="557" spans="1:9" x14ac:dyDescent="0.35">
      <c r="A557" s="376" t="s">
        <v>1613</v>
      </c>
      <c r="B557" s="376" t="s">
        <v>1609</v>
      </c>
      <c r="C557" s="376" t="s">
        <v>628</v>
      </c>
      <c r="D557" s="376">
        <v>2020</v>
      </c>
      <c r="E557" s="376">
        <v>2026</v>
      </c>
      <c r="F557" s="376">
        <v>0.40444272241720852</v>
      </c>
      <c r="G557" s="376">
        <v>5792.1576792545584</v>
      </c>
      <c r="H557" s="376">
        <v>0.25</v>
      </c>
      <c r="I557" s="376">
        <v>0.85</v>
      </c>
    </row>
    <row r="558" spans="1:9" x14ac:dyDescent="0.35">
      <c r="A558" s="376" t="s">
        <v>1613</v>
      </c>
      <c r="B558" s="376" t="s">
        <v>1609</v>
      </c>
      <c r="C558" s="376" t="s">
        <v>628</v>
      </c>
      <c r="D558" s="376">
        <v>2020</v>
      </c>
      <c r="E558" s="376">
        <v>2027</v>
      </c>
      <c r="F558" s="376">
        <v>0.40444272241720852</v>
      </c>
      <c r="G558" s="376">
        <v>5802.1409309157225</v>
      </c>
      <c r="H558" s="376">
        <v>0.25</v>
      </c>
      <c r="I558" s="376">
        <v>0.85</v>
      </c>
    </row>
    <row r="559" spans="1:9" x14ac:dyDescent="0.35">
      <c r="A559" s="376" t="s">
        <v>1613</v>
      </c>
      <c r="B559" s="376" t="s">
        <v>1609</v>
      </c>
      <c r="C559" s="376" t="s">
        <v>628</v>
      </c>
      <c r="D559" s="376">
        <v>2020</v>
      </c>
      <c r="E559" s="376">
        <v>2028</v>
      </c>
      <c r="F559" s="376">
        <v>0.40444272241720852</v>
      </c>
      <c r="G559" s="376">
        <v>5812.1413895175901</v>
      </c>
      <c r="H559" s="376">
        <v>0.25</v>
      </c>
      <c r="I559" s="376">
        <v>0.85</v>
      </c>
    </row>
    <row r="560" spans="1:9" x14ac:dyDescent="0.35">
      <c r="A560" s="376" t="s">
        <v>1613</v>
      </c>
      <c r="B560" s="376" t="s">
        <v>1609</v>
      </c>
      <c r="C560" s="376" t="s">
        <v>628</v>
      </c>
      <c r="D560" s="376">
        <v>2020</v>
      </c>
      <c r="E560" s="376">
        <v>2029</v>
      </c>
      <c r="F560" s="376">
        <v>0.40444272241720852</v>
      </c>
      <c r="G560" s="376">
        <v>5822.1590847177131</v>
      </c>
      <c r="H560" s="376">
        <v>0.25</v>
      </c>
      <c r="I560" s="376">
        <v>0.85</v>
      </c>
    </row>
    <row r="561" spans="1:9" x14ac:dyDescent="0.35">
      <c r="A561" s="376" t="s">
        <v>1613</v>
      </c>
      <c r="B561" s="376" t="s">
        <v>1609</v>
      </c>
      <c r="C561" s="376" t="s">
        <v>628</v>
      </c>
      <c r="D561" s="376">
        <v>2020</v>
      </c>
      <c r="E561" s="376">
        <v>2030</v>
      </c>
      <c r="F561" s="376">
        <v>0.40444272241720852</v>
      </c>
      <c r="G561" s="376">
        <v>5832.1940462247612</v>
      </c>
      <c r="H561" s="376">
        <v>0.25</v>
      </c>
      <c r="I561" s="376">
        <v>0.85</v>
      </c>
    </row>
    <row r="562" spans="1:9" x14ac:dyDescent="0.35">
      <c r="A562" s="376" t="s">
        <v>1613</v>
      </c>
      <c r="B562" s="376" t="s">
        <v>1609</v>
      </c>
      <c r="C562" s="376" t="s">
        <v>628</v>
      </c>
      <c r="D562" s="376">
        <v>2020</v>
      </c>
      <c r="E562" s="376">
        <v>2031</v>
      </c>
      <c r="F562" s="376">
        <v>0.40444272241720852</v>
      </c>
      <c r="G562" s="376">
        <v>5842.246303798609</v>
      </c>
      <c r="H562" s="376">
        <v>0.25</v>
      </c>
      <c r="I562" s="376">
        <v>0.85</v>
      </c>
    </row>
    <row r="563" spans="1:9" x14ac:dyDescent="0.35">
      <c r="A563" s="376" t="s">
        <v>1604</v>
      </c>
      <c r="B563" s="376" t="s">
        <v>1609</v>
      </c>
      <c r="C563" s="376" t="s">
        <v>628</v>
      </c>
      <c r="D563" s="376">
        <v>2020</v>
      </c>
      <c r="E563" s="376">
        <v>2021</v>
      </c>
      <c r="F563" s="376">
        <v>1</v>
      </c>
      <c r="G563" s="376">
        <v>4688.4442946660474</v>
      </c>
      <c r="H563" s="376">
        <v>0</v>
      </c>
      <c r="I563" s="376">
        <v>1</v>
      </c>
    </row>
    <row r="564" spans="1:9" x14ac:dyDescent="0.35">
      <c r="A564" s="376" t="s">
        <v>1604</v>
      </c>
      <c r="B564" s="376" t="s">
        <v>1609</v>
      </c>
      <c r="C564" s="376" t="s">
        <v>628</v>
      </c>
      <c r="D564" s="376">
        <v>2020</v>
      </c>
      <c r="E564" s="376">
        <v>2022</v>
      </c>
      <c r="F564" s="376">
        <v>1</v>
      </c>
      <c r="G564" s="376">
        <v>4688.4442946660474</v>
      </c>
      <c r="H564" s="376">
        <v>0</v>
      </c>
      <c r="I564" s="376">
        <v>1</v>
      </c>
    </row>
    <row r="565" spans="1:9" x14ac:dyDescent="0.35">
      <c r="A565" s="376" t="s">
        <v>1604</v>
      </c>
      <c r="B565" s="376" t="s">
        <v>1609</v>
      </c>
      <c r="C565" s="376" t="s">
        <v>628</v>
      </c>
      <c r="D565" s="376">
        <v>2020</v>
      </c>
      <c r="E565" s="376">
        <v>2023</v>
      </c>
      <c r="F565" s="376">
        <v>1</v>
      </c>
      <c r="G565" s="376">
        <v>4688.4442946660474</v>
      </c>
      <c r="H565" s="376">
        <v>0</v>
      </c>
      <c r="I565" s="376">
        <v>1</v>
      </c>
    </row>
    <row r="566" spans="1:9" x14ac:dyDescent="0.35">
      <c r="A566" s="376" t="s">
        <v>1604</v>
      </c>
      <c r="B566" s="376" t="s">
        <v>1609</v>
      </c>
      <c r="C566" s="376" t="s">
        <v>628</v>
      </c>
      <c r="D566" s="376">
        <v>2020</v>
      </c>
      <c r="E566" s="376">
        <v>2024</v>
      </c>
      <c r="F566" s="376">
        <v>1</v>
      </c>
      <c r="G566" s="376">
        <v>4688.4442946660474</v>
      </c>
      <c r="H566" s="376">
        <v>0</v>
      </c>
      <c r="I566" s="376">
        <v>1</v>
      </c>
    </row>
    <row r="567" spans="1:9" x14ac:dyDescent="0.35">
      <c r="A567" s="376" t="s">
        <v>1604</v>
      </c>
      <c r="B567" s="376" t="s">
        <v>1609</v>
      </c>
      <c r="C567" s="376" t="s">
        <v>628</v>
      </c>
      <c r="D567" s="376">
        <v>2020</v>
      </c>
      <c r="E567" s="376">
        <v>2025</v>
      </c>
      <c r="F567" s="376">
        <v>1</v>
      </c>
      <c r="G567" s="376">
        <v>4688.4442946660474</v>
      </c>
      <c r="H567" s="376">
        <v>0</v>
      </c>
      <c r="I567" s="376">
        <v>1</v>
      </c>
    </row>
    <row r="568" spans="1:9" x14ac:dyDescent="0.35">
      <c r="A568" s="376" t="s">
        <v>1604</v>
      </c>
      <c r="B568" s="376" t="s">
        <v>1609</v>
      </c>
      <c r="C568" s="376" t="s">
        <v>628</v>
      </c>
      <c r="D568" s="376">
        <v>2020</v>
      </c>
      <c r="E568" s="376">
        <v>2026</v>
      </c>
      <c r="F568" s="376">
        <v>1</v>
      </c>
      <c r="G568" s="376">
        <v>4688.4442946660474</v>
      </c>
      <c r="H568" s="376">
        <v>0</v>
      </c>
      <c r="I568" s="376">
        <v>1</v>
      </c>
    </row>
    <row r="569" spans="1:9" x14ac:dyDescent="0.35">
      <c r="A569" s="376" t="s">
        <v>1604</v>
      </c>
      <c r="B569" s="376" t="s">
        <v>1609</v>
      </c>
      <c r="C569" s="376" t="s">
        <v>628</v>
      </c>
      <c r="D569" s="376">
        <v>2020</v>
      </c>
      <c r="E569" s="376">
        <v>2027</v>
      </c>
      <c r="F569" s="376">
        <v>1</v>
      </c>
      <c r="G569" s="376">
        <v>4688.4442946660474</v>
      </c>
      <c r="H569" s="376">
        <v>0</v>
      </c>
      <c r="I569" s="376">
        <v>1</v>
      </c>
    </row>
    <row r="570" spans="1:9" x14ac:dyDescent="0.35">
      <c r="A570" s="376" t="s">
        <v>1604</v>
      </c>
      <c r="B570" s="376" t="s">
        <v>1609</v>
      </c>
      <c r="C570" s="376" t="s">
        <v>628</v>
      </c>
      <c r="D570" s="376">
        <v>2020</v>
      </c>
      <c r="E570" s="376">
        <v>2028</v>
      </c>
      <c r="F570" s="376">
        <v>1</v>
      </c>
      <c r="G570" s="376">
        <v>4688.4442946660474</v>
      </c>
      <c r="H570" s="376">
        <v>0</v>
      </c>
      <c r="I570" s="376">
        <v>1</v>
      </c>
    </row>
    <row r="571" spans="1:9" x14ac:dyDescent="0.35">
      <c r="A571" s="376" t="s">
        <v>1604</v>
      </c>
      <c r="B571" s="376" t="s">
        <v>1609</v>
      </c>
      <c r="C571" s="376" t="s">
        <v>628</v>
      </c>
      <c r="D571" s="376">
        <v>2020</v>
      </c>
      <c r="E571" s="376">
        <v>2029</v>
      </c>
      <c r="F571" s="376">
        <v>1</v>
      </c>
      <c r="G571" s="376">
        <v>4688.4442946660474</v>
      </c>
      <c r="H571" s="376">
        <v>0</v>
      </c>
      <c r="I571" s="376">
        <v>1</v>
      </c>
    </row>
    <row r="572" spans="1:9" x14ac:dyDescent="0.35">
      <c r="A572" s="376" t="s">
        <v>1604</v>
      </c>
      <c r="B572" s="376" t="s">
        <v>1609</v>
      </c>
      <c r="C572" s="376" t="s">
        <v>628</v>
      </c>
      <c r="D572" s="376">
        <v>2020</v>
      </c>
      <c r="E572" s="376">
        <v>2030</v>
      </c>
      <c r="F572" s="376">
        <v>1</v>
      </c>
      <c r="G572" s="376">
        <v>4688.4442946660474</v>
      </c>
      <c r="H572" s="376">
        <v>0</v>
      </c>
      <c r="I572" s="376">
        <v>1</v>
      </c>
    </row>
    <row r="573" spans="1:9" x14ac:dyDescent="0.35">
      <c r="A573" s="376" t="s">
        <v>1604</v>
      </c>
      <c r="B573" s="376" t="s">
        <v>1609</v>
      </c>
      <c r="C573" s="376" t="s">
        <v>628</v>
      </c>
      <c r="D573" s="376">
        <v>2020</v>
      </c>
      <c r="E573" s="376">
        <v>2031</v>
      </c>
      <c r="F573" s="376">
        <v>1</v>
      </c>
      <c r="G573" s="376">
        <v>4688.4442946660474</v>
      </c>
      <c r="H573" s="376">
        <v>0</v>
      </c>
      <c r="I573" s="376">
        <v>1</v>
      </c>
    </row>
    <row r="574" spans="1:9" x14ac:dyDescent="0.35">
      <c r="A574" s="376" t="s">
        <v>1615</v>
      </c>
      <c r="B574" s="376" t="s">
        <v>1609</v>
      </c>
      <c r="C574" s="376" t="s">
        <v>628</v>
      </c>
      <c r="D574" s="376">
        <v>2020</v>
      </c>
      <c r="E574" s="376">
        <v>2021</v>
      </c>
      <c r="F574" s="376">
        <v>1</v>
      </c>
      <c r="G574" s="376">
        <v>15322.738981527909</v>
      </c>
      <c r="H574" s="376">
        <v>0</v>
      </c>
      <c r="I574" s="376">
        <v>0.65716939790195539</v>
      </c>
    </row>
    <row r="575" spans="1:9" x14ac:dyDescent="0.35">
      <c r="A575" s="376" t="s">
        <v>1615</v>
      </c>
      <c r="B575" s="376" t="s">
        <v>1609</v>
      </c>
      <c r="C575" s="376" t="s">
        <v>628</v>
      </c>
      <c r="D575" s="376">
        <v>2020</v>
      </c>
      <c r="E575" s="376">
        <v>2022</v>
      </c>
      <c r="F575" s="376">
        <v>1</v>
      </c>
      <c r="G575" s="376">
        <v>15322.738981527909</v>
      </c>
      <c r="H575" s="376">
        <v>0</v>
      </c>
      <c r="I575" s="376">
        <v>0.65716939790195539</v>
      </c>
    </row>
    <row r="576" spans="1:9" x14ac:dyDescent="0.35">
      <c r="A576" s="376" t="s">
        <v>1615</v>
      </c>
      <c r="B576" s="376" t="s">
        <v>1609</v>
      </c>
      <c r="C576" s="376" t="s">
        <v>628</v>
      </c>
      <c r="D576" s="376">
        <v>2020</v>
      </c>
      <c r="E576" s="376">
        <v>2023</v>
      </c>
      <c r="F576" s="376">
        <v>1</v>
      </c>
      <c r="G576" s="376">
        <v>15322.738981527909</v>
      </c>
      <c r="H576" s="376">
        <v>0</v>
      </c>
      <c r="I576" s="376">
        <v>0.65716939790195539</v>
      </c>
    </row>
    <row r="577" spans="1:9" x14ac:dyDescent="0.35">
      <c r="A577" s="376" t="s">
        <v>1615</v>
      </c>
      <c r="B577" s="376" t="s">
        <v>1609</v>
      </c>
      <c r="C577" s="376" t="s">
        <v>628</v>
      </c>
      <c r="D577" s="376">
        <v>2020</v>
      </c>
      <c r="E577" s="376">
        <v>2024</v>
      </c>
      <c r="F577" s="376">
        <v>1</v>
      </c>
      <c r="G577" s="376">
        <v>15322.738981527909</v>
      </c>
      <c r="H577" s="376">
        <v>0</v>
      </c>
      <c r="I577" s="376">
        <v>0.65716939790195539</v>
      </c>
    </row>
    <row r="578" spans="1:9" x14ac:dyDescent="0.35">
      <c r="A578" s="376" t="s">
        <v>1615</v>
      </c>
      <c r="B578" s="376" t="s">
        <v>1609</v>
      </c>
      <c r="C578" s="376" t="s">
        <v>628</v>
      </c>
      <c r="D578" s="376">
        <v>2020</v>
      </c>
      <c r="E578" s="376">
        <v>2025</v>
      </c>
      <c r="F578" s="376">
        <v>1</v>
      </c>
      <c r="G578" s="376">
        <v>15322.738981527909</v>
      </c>
      <c r="H578" s="376">
        <v>0</v>
      </c>
      <c r="I578" s="376">
        <v>0.65716939790195539</v>
      </c>
    </row>
    <row r="579" spans="1:9" x14ac:dyDescent="0.35">
      <c r="A579" s="376" t="s">
        <v>1615</v>
      </c>
      <c r="B579" s="376" t="s">
        <v>1609</v>
      </c>
      <c r="C579" s="376" t="s">
        <v>628</v>
      </c>
      <c r="D579" s="376">
        <v>2020</v>
      </c>
      <c r="E579" s="376">
        <v>2026</v>
      </c>
      <c r="F579" s="376">
        <v>1</v>
      </c>
      <c r="G579" s="376">
        <v>15322.738981527909</v>
      </c>
      <c r="H579" s="376">
        <v>0</v>
      </c>
      <c r="I579" s="376">
        <v>0.65716939790195539</v>
      </c>
    </row>
    <row r="580" spans="1:9" x14ac:dyDescent="0.35">
      <c r="A580" s="376" t="s">
        <v>1615</v>
      </c>
      <c r="B580" s="376" t="s">
        <v>1609</v>
      </c>
      <c r="C580" s="376" t="s">
        <v>628</v>
      </c>
      <c r="D580" s="376">
        <v>2020</v>
      </c>
      <c r="E580" s="376">
        <v>2027</v>
      </c>
      <c r="F580" s="376">
        <v>1</v>
      </c>
      <c r="G580" s="376">
        <v>15322.738981527909</v>
      </c>
      <c r="H580" s="376">
        <v>0</v>
      </c>
      <c r="I580" s="376">
        <v>0.65716939790195539</v>
      </c>
    </row>
    <row r="581" spans="1:9" x14ac:dyDescent="0.35">
      <c r="A581" s="376" t="s">
        <v>1615</v>
      </c>
      <c r="B581" s="376" t="s">
        <v>1609</v>
      </c>
      <c r="C581" s="376" t="s">
        <v>628</v>
      </c>
      <c r="D581" s="376">
        <v>2020</v>
      </c>
      <c r="E581" s="376">
        <v>2028</v>
      </c>
      <c r="F581" s="376">
        <v>1</v>
      </c>
      <c r="G581" s="376">
        <v>15322.738981527909</v>
      </c>
      <c r="H581" s="376">
        <v>0</v>
      </c>
      <c r="I581" s="376">
        <v>0.65716939790195539</v>
      </c>
    </row>
    <row r="582" spans="1:9" x14ac:dyDescent="0.35">
      <c r="A582" s="376" t="s">
        <v>1615</v>
      </c>
      <c r="B582" s="376" t="s">
        <v>1609</v>
      </c>
      <c r="C582" s="376" t="s">
        <v>628</v>
      </c>
      <c r="D582" s="376">
        <v>2020</v>
      </c>
      <c r="E582" s="376">
        <v>2029</v>
      </c>
      <c r="F582" s="376">
        <v>1</v>
      </c>
      <c r="G582" s="376">
        <v>15322.738981527909</v>
      </c>
      <c r="H582" s="376">
        <v>0</v>
      </c>
      <c r="I582" s="376">
        <v>0.65716939790195539</v>
      </c>
    </row>
    <row r="583" spans="1:9" x14ac:dyDescent="0.35">
      <c r="A583" s="376" t="s">
        <v>1615</v>
      </c>
      <c r="B583" s="376" t="s">
        <v>1609</v>
      </c>
      <c r="C583" s="376" t="s">
        <v>628</v>
      </c>
      <c r="D583" s="376">
        <v>2020</v>
      </c>
      <c r="E583" s="376">
        <v>2030</v>
      </c>
      <c r="F583" s="376">
        <v>1</v>
      </c>
      <c r="G583" s="376">
        <v>15322.738981527909</v>
      </c>
      <c r="H583" s="376">
        <v>0</v>
      </c>
      <c r="I583" s="376">
        <v>0.65716939790195539</v>
      </c>
    </row>
    <row r="584" spans="1:9" x14ac:dyDescent="0.35">
      <c r="A584" s="376" t="s">
        <v>1615</v>
      </c>
      <c r="B584" s="376" t="s">
        <v>1609</v>
      </c>
      <c r="C584" s="376" t="s">
        <v>628</v>
      </c>
      <c r="D584" s="376">
        <v>2020</v>
      </c>
      <c r="E584" s="376">
        <v>2031</v>
      </c>
      <c r="F584" s="376">
        <v>1</v>
      </c>
      <c r="G584" s="376">
        <v>15322.738981527909</v>
      </c>
      <c r="H584" s="376">
        <v>0</v>
      </c>
      <c r="I584" s="376">
        <v>0.65716939790195539</v>
      </c>
    </row>
    <row r="585" spans="1:9" x14ac:dyDescent="0.35">
      <c r="A585" s="376" t="s">
        <v>1603</v>
      </c>
      <c r="B585" s="376" t="s">
        <v>1609</v>
      </c>
      <c r="C585" s="376" t="s">
        <v>628</v>
      </c>
      <c r="D585" s="376">
        <v>2020</v>
      </c>
      <c r="E585" s="376">
        <v>2021</v>
      </c>
      <c r="F585" s="376">
        <v>1</v>
      </c>
      <c r="G585" s="376">
        <v>2761.0753173085959</v>
      </c>
      <c r="H585" s="376">
        <v>0</v>
      </c>
      <c r="I585" s="376">
        <v>1</v>
      </c>
    </row>
    <row r="586" spans="1:9" x14ac:dyDescent="0.35">
      <c r="A586" s="376" t="s">
        <v>1603</v>
      </c>
      <c r="B586" s="376" t="s">
        <v>1609</v>
      </c>
      <c r="C586" s="376" t="s">
        <v>628</v>
      </c>
      <c r="D586" s="376">
        <v>2020</v>
      </c>
      <c r="E586" s="376">
        <v>2022</v>
      </c>
      <c r="F586" s="376">
        <v>1</v>
      </c>
      <c r="G586" s="376">
        <v>2761.0753173085959</v>
      </c>
      <c r="H586" s="376">
        <v>0</v>
      </c>
      <c r="I586" s="376">
        <v>1</v>
      </c>
    </row>
    <row r="587" spans="1:9" x14ac:dyDescent="0.35">
      <c r="A587" s="376" t="s">
        <v>1603</v>
      </c>
      <c r="B587" s="376" t="s">
        <v>1609</v>
      </c>
      <c r="C587" s="376" t="s">
        <v>628</v>
      </c>
      <c r="D587" s="376">
        <v>2020</v>
      </c>
      <c r="E587" s="376">
        <v>2023</v>
      </c>
      <c r="F587" s="376">
        <v>1</v>
      </c>
      <c r="G587" s="376">
        <v>2761.0753173085959</v>
      </c>
      <c r="H587" s="376">
        <v>0</v>
      </c>
      <c r="I587" s="376">
        <v>1</v>
      </c>
    </row>
    <row r="588" spans="1:9" x14ac:dyDescent="0.35">
      <c r="A588" s="376" t="s">
        <v>1603</v>
      </c>
      <c r="B588" s="376" t="s">
        <v>1609</v>
      </c>
      <c r="C588" s="376" t="s">
        <v>628</v>
      </c>
      <c r="D588" s="376">
        <v>2020</v>
      </c>
      <c r="E588" s="376">
        <v>2024</v>
      </c>
      <c r="F588" s="376">
        <v>1</v>
      </c>
      <c r="G588" s="376">
        <v>2761.0753173085959</v>
      </c>
      <c r="H588" s="376">
        <v>0</v>
      </c>
      <c r="I588" s="376">
        <v>1</v>
      </c>
    </row>
    <row r="589" spans="1:9" x14ac:dyDescent="0.35">
      <c r="A589" s="376" t="s">
        <v>1603</v>
      </c>
      <c r="B589" s="376" t="s">
        <v>1609</v>
      </c>
      <c r="C589" s="376" t="s">
        <v>628</v>
      </c>
      <c r="D589" s="376">
        <v>2020</v>
      </c>
      <c r="E589" s="376">
        <v>2025</v>
      </c>
      <c r="F589" s="376">
        <v>1</v>
      </c>
      <c r="G589" s="376">
        <v>2761.0753173085959</v>
      </c>
      <c r="H589" s="376">
        <v>0</v>
      </c>
      <c r="I589" s="376">
        <v>1</v>
      </c>
    </row>
    <row r="590" spans="1:9" x14ac:dyDescent="0.35">
      <c r="A590" s="376" t="s">
        <v>1603</v>
      </c>
      <c r="B590" s="376" t="s">
        <v>1609</v>
      </c>
      <c r="C590" s="376" t="s">
        <v>628</v>
      </c>
      <c r="D590" s="376">
        <v>2020</v>
      </c>
      <c r="E590" s="376">
        <v>2026</v>
      </c>
      <c r="F590" s="376">
        <v>1</v>
      </c>
      <c r="G590" s="376">
        <v>2761.0753173085959</v>
      </c>
      <c r="H590" s="376">
        <v>0</v>
      </c>
      <c r="I590" s="376">
        <v>1</v>
      </c>
    </row>
    <row r="591" spans="1:9" x14ac:dyDescent="0.35">
      <c r="A591" s="376" t="s">
        <v>1603</v>
      </c>
      <c r="B591" s="376" t="s">
        <v>1609</v>
      </c>
      <c r="C591" s="376" t="s">
        <v>628</v>
      </c>
      <c r="D591" s="376">
        <v>2020</v>
      </c>
      <c r="E591" s="376">
        <v>2027</v>
      </c>
      <c r="F591" s="376">
        <v>1</v>
      </c>
      <c r="G591" s="376">
        <v>2761.0753173085959</v>
      </c>
      <c r="H591" s="376">
        <v>0</v>
      </c>
      <c r="I591" s="376">
        <v>1</v>
      </c>
    </row>
    <row r="592" spans="1:9" x14ac:dyDescent="0.35">
      <c r="A592" s="376" t="s">
        <v>1603</v>
      </c>
      <c r="B592" s="376" t="s">
        <v>1609</v>
      </c>
      <c r="C592" s="376" t="s">
        <v>628</v>
      </c>
      <c r="D592" s="376">
        <v>2020</v>
      </c>
      <c r="E592" s="376">
        <v>2028</v>
      </c>
      <c r="F592" s="376">
        <v>1</v>
      </c>
      <c r="G592" s="376">
        <v>2761.0753173085959</v>
      </c>
      <c r="H592" s="376">
        <v>0</v>
      </c>
      <c r="I592" s="376">
        <v>1</v>
      </c>
    </row>
    <row r="593" spans="1:9" x14ac:dyDescent="0.35">
      <c r="A593" s="376" t="s">
        <v>1603</v>
      </c>
      <c r="B593" s="376" t="s">
        <v>1609</v>
      </c>
      <c r="C593" s="376" t="s">
        <v>628</v>
      </c>
      <c r="D593" s="376">
        <v>2020</v>
      </c>
      <c r="E593" s="376">
        <v>2029</v>
      </c>
      <c r="F593" s="376">
        <v>1</v>
      </c>
      <c r="G593" s="376">
        <v>2761.0753173085959</v>
      </c>
      <c r="H593" s="376">
        <v>0</v>
      </c>
      <c r="I593" s="376">
        <v>1</v>
      </c>
    </row>
    <row r="594" spans="1:9" x14ac:dyDescent="0.35">
      <c r="A594" s="376" t="s">
        <v>1603</v>
      </c>
      <c r="B594" s="376" t="s">
        <v>1609</v>
      </c>
      <c r="C594" s="376" t="s">
        <v>628</v>
      </c>
      <c r="D594" s="376">
        <v>2020</v>
      </c>
      <c r="E594" s="376">
        <v>2030</v>
      </c>
      <c r="F594" s="376">
        <v>1</v>
      </c>
      <c r="G594" s="376">
        <v>2761.0753173085959</v>
      </c>
      <c r="H594" s="376">
        <v>0</v>
      </c>
      <c r="I594" s="376">
        <v>1</v>
      </c>
    </row>
    <row r="595" spans="1:9" x14ac:dyDescent="0.35">
      <c r="A595" s="376" t="s">
        <v>1603</v>
      </c>
      <c r="B595" s="376" t="s">
        <v>1609</v>
      </c>
      <c r="C595" s="376" t="s">
        <v>628</v>
      </c>
      <c r="D595" s="376">
        <v>2020</v>
      </c>
      <c r="E595" s="376">
        <v>2031</v>
      </c>
      <c r="F595" s="376">
        <v>1</v>
      </c>
      <c r="G595" s="376">
        <v>2761.0753173085959</v>
      </c>
      <c r="H595" s="376">
        <v>0</v>
      </c>
      <c r="I595" s="376">
        <v>1</v>
      </c>
    </row>
    <row r="596" spans="1:9" x14ac:dyDescent="0.35">
      <c r="A596" s="376" t="s">
        <v>1605</v>
      </c>
      <c r="B596" s="376" t="s">
        <v>1609</v>
      </c>
      <c r="C596" s="376" t="s">
        <v>628</v>
      </c>
      <c r="D596" s="376">
        <v>2020</v>
      </c>
      <c r="E596" s="376">
        <v>2021</v>
      </c>
      <c r="F596" s="376">
        <v>0.23884589662749595</v>
      </c>
      <c r="G596" s="376">
        <v>11616.716581930692</v>
      </c>
      <c r="H596" s="376">
        <v>0</v>
      </c>
      <c r="I596" s="376">
        <v>1</v>
      </c>
    </row>
    <row r="597" spans="1:9" x14ac:dyDescent="0.35">
      <c r="A597" s="376" t="s">
        <v>1605</v>
      </c>
      <c r="B597" s="376" t="s">
        <v>1609</v>
      </c>
      <c r="C597" s="376" t="s">
        <v>628</v>
      </c>
      <c r="D597" s="376">
        <v>2020</v>
      </c>
      <c r="E597" s="376">
        <v>2022</v>
      </c>
      <c r="F597" s="376">
        <v>0.23884589662749595</v>
      </c>
      <c r="G597" s="376">
        <v>11616.716581930692</v>
      </c>
      <c r="H597" s="376">
        <v>0</v>
      </c>
      <c r="I597" s="376">
        <v>1</v>
      </c>
    </row>
    <row r="598" spans="1:9" x14ac:dyDescent="0.35">
      <c r="A598" s="376" t="s">
        <v>1605</v>
      </c>
      <c r="B598" s="376" t="s">
        <v>1609</v>
      </c>
      <c r="C598" s="376" t="s">
        <v>628</v>
      </c>
      <c r="D598" s="376">
        <v>2020</v>
      </c>
      <c r="E598" s="376">
        <v>2023</v>
      </c>
      <c r="F598" s="376">
        <v>0.23884589662749595</v>
      </c>
      <c r="G598" s="376">
        <v>11616.716581930692</v>
      </c>
      <c r="H598" s="376">
        <v>0</v>
      </c>
      <c r="I598" s="376">
        <v>1</v>
      </c>
    </row>
    <row r="599" spans="1:9" x14ac:dyDescent="0.35">
      <c r="A599" s="376" t="s">
        <v>1605</v>
      </c>
      <c r="B599" s="376" t="s">
        <v>1609</v>
      </c>
      <c r="C599" s="376" t="s">
        <v>628</v>
      </c>
      <c r="D599" s="376">
        <v>2020</v>
      </c>
      <c r="E599" s="376">
        <v>2024</v>
      </c>
      <c r="F599" s="376">
        <v>0.23884589662749595</v>
      </c>
      <c r="G599" s="376">
        <v>11616.716581930692</v>
      </c>
      <c r="H599" s="376">
        <v>0</v>
      </c>
      <c r="I599" s="376">
        <v>1</v>
      </c>
    </row>
    <row r="600" spans="1:9" x14ac:dyDescent="0.35">
      <c r="A600" s="376" t="s">
        <v>1605</v>
      </c>
      <c r="B600" s="376" t="s">
        <v>1609</v>
      </c>
      <c r="C600" s="376" t="s">
        <v>628</v>
      </c>
      <c r="D600" s="376">
        <v>2020</v>
      </c>
      <c r="E600" s="376">
        <v>2025</v>
      </c>
      <c r="F600" s="376">
        <v>0.23884589662749595</v>
      </c>
      <c r="G600" s="376">
        <v>11616.716581930692</v>
      </c>
      <c r="H600" s="376">
        <v>0</v>
      </c>
      <c r="I600" s="376">
        <v>1</v>
      </c>
    </row>
    <row r="601" spans="1:9" x14ac:dyDescent="0.35">
      <c r="A601" s="376" t="s">
        <v>1605</v>
      </c>
      <c r="B601" s="376" t="s">
        <v>1609</v>
      </c>
      <c r="C601" s="376" t="s">
        <v>628</v>
      </c>
      <c r="D601" s="376">
        <v>2020</v>
      </c>
      <c r="E601" s="376">
        <v>2026</v>
      </c>
      <c r="F601" s="376">
        <v>0.23884589662749595</v>
      </c>
      <c r="G601" s="376">
        <v>11616.716581930692</v>
      </c>
      <c r="H601" s="376">
        <v>0</v>
      </c>
      <c r="I601" s="376">
        <v>1</v>
      </c>
    </row>
    <row r="602" spans="1:9" x14ac:dyDescent="0.35">
      <c r="A602" s="376" t="s">
        <v>1605</v>
      </c>
      <c r="B602" s="376" t="s">
        <v>1609</v>
      </c>
      <c r="C602" s="376" t="s">
        <v>628</v>
      </c>
      <c r="D602" s="376">
        <v>2020</v>
      </c>
      <c r="E602" s="376">
        <v>2027</v>
      </c>
      <c r="F602" s="376">
        <v>0.23884589662749595</v>
      </c>
      <c r="G602" s="376">
        <v>11616.716581930692</v>
      </c>
      <c r="H602" s="376">
        <v>0</v>
      </c>
      <c r="I602" s="376">
        <v>1</v>
      </c>
    </row>
    <row r="603" spans="1:9" x14ac:dyDescent="0.35">
      <c r="A603" s="376" t="s">
        <v>1605</v>
      </c>
      <c r="B603" s="376" t="s">
        <v>1609</v>
      </c>
      <c r="C603" s="376" t="s">
        <v>628</v>
      </c>
      <c r="D603" s="376">
        <v>2020</v>
      </c>
      <c r="E603" s="376">
        <v>2028</v>
      </c>
      <c r="F603" s="376">
        <v>0.23884589662749595</v>
      </c>
      <c r="G603" s="376">
        <v>11616.716581930692</v>
      </c>
      <c r="H603" s="376">
        <v>0</v>
      </c>
      <c r="I603" s="376">
        <v>1</v>
      </c>
    </row>
    <row r="604" spans="1:9" x14ac:dyDescent="0.35">
      <c r="A604" s="376" t="s">
        <v>1605</v>
      </c>
      <c r="B604" s="376" t="s">
        <v>1609</v>
      </c>
      <c r="C604" s="376" t="s">
        <v>628</v>
      </c>
      <c r="D604" s="376">
        <v>2020</v>
      </c>
      <c r="E604" s="376">
        <v>2029</v>
      </c>
      <c r="F604" s="376">
        <v>0.23884589662749595</v>
      </c>
      <c r="G604" s="376">
        <v>11616.716581930692</v>
      </c>
      <c r="H604" s="376">
        <v>0</v>
      </c>
      <c r="I604" s="376">
        <v>1</v>
      </c>
    </row>
    <row r="605" spans="1:9" x14ac:dyDescent="0.35">
      <c r="A605" s="376" t="s">
        <v>1605</v>
      </c>
      <c r="B605" s="376" t="s">
        <v>1609</v>
      </c>
      <c r="C605" s="376" t="s">
        <v>628</v>
      </c>
      <c r="D605" s="376">
        <v>2020</v>
      </c>
      <c r="E605" s="376">
        <v>2030</v>
      </c>
      <c r="F605" s="376">
        <v>0.23884589662749595</v>
      </c>
      <c r="G605" s="376">
        <v>11616.716581930692</v>
      </c>
      <c r="H605" s="376">
        <v>0</v>
      </c>
      <c r="I605" s="376">
        <v>1</v>
      </c>
    </row>
    <row r="606" spans="1:9" x14ac:dyDescent="0.35">
      <c r="A606" s="376" t="s">
        <v>1605</v>
      </c>
      <c r="B606" s="376" t="s">
        <v>1609</v>
      </c>
      <c r="C606" s="376" t="s">
        <v>628</v>
      </c>
      <c r="D606" s="376">
        <v>2020</v>
      </c>
      <c r="E606" s="376">
        <v>2031</v>
      </c>
      <c r="F606" s="376">
        <v>0.23884589662749595</v>
      </c>
      <c r="G606" s="376">
        <v>11616.716581930692</v>
      </c>
      <c r="H606" s="376">
        <v>0</v>
      </c>
      <c r="I606" s="376">
        <v>1</v>
      </c>
    </row>
    <row r="607" spans="1:9" x14ac:dyDescent="0.35">
      <c r="A607" s="376" t="s">
        <v>1636</v>
      </c>
      <c r="B607" s="376" t="s">
        <v>1609</v>
      </c>
      <c r="C607" s="376" t="s">
        <v>628</v>
      </c>
      <c r="D607" s="376">
        <v>2020</v>
      </c>
      <c r="E607" s="376">
        <v>2021</v>
      </c>
      <c r="F607" s="376">
        <v>1</v>
      </c>
      <c r="G607" s="376">
        <v>10793.167282852371</v>
      </c>
      <c r="H607" s="376">
        <v>0</v>
      </c>
      <c r="I607" s="376">
        <v>1</v>
      </c>
    </row>
    <row r="608" spans="1:9" x14ac:dyDescent="0.35">
      <c r="A608" s="376" t="s">
        <v>1636</v>
      </c>
      <c r="B608" s="376" t="s">
        <v>1609</v>
      </c>
      <c r="C608" s="376" t="s">
        <v>628</v>
      </c>
      <c r="D608" s="376">
        <v>2020</v>
      </c>
      <c r="E608" s="376">
        <v>2022</v>
      </c>
      <c r="F608" s="376">
        <v>1</v>
      </c>
      <c r="G608" s="376">
        <v>10361.440591538276</v>
      </c>
      <c r="H608" s="376">
        <v>0</v>
      </c>
      <c r="I608" s="376">
        <v>1</v>
      </c>
    </row>
    <row r="609" spans="1:9" x14ac:dyDescent="0.35">
      <c r="A609" s="376" t="s">
        <v>1636</v>
      </c>
      <c r="B609" s="376" t="s">
        <v>1609</v>
      </c>
      <c r="C609" s="376" t="s">
        <v>628</v>
      </c>
      <c r="D609" s="376">
        <v>2020</v>
      </c>
      <c r="E609" s="376">
        <v>2023</v>
      </c>
      <c r="F609" s="376">
        <v>1</v>
      </c>
      <c r="G609" s="376">
        <v>9946.9829678767437</v>
      </c>
      <c r="H609" s="376">
        <v>0</v>
      </c>
      <c r="I609" s="376">
        <v>1</v>
      </c>
    </row>
    <row r="610" spans="1:9" x14ac:dyDescent="0.35">
      <c r="A610" s="376" t="s">
        <v>1636</v>
      </c>
      <c r="B610" s="376" t="s">
        <v>1609</v>
      </c>
      <c r="C610" s="376" t="s">
        <v>628</v>
      </c>
      <c r="D610" s="376">
        <v>2020</v>
      </c>
      <c r="E610" s="376">
        <v>2024</v>
      </c>
      <c r="F610" s="376">
        <v>1</v>
      </c>
      <c r="G610" s="376">
        <v>9549.1036491616742</v>
      </c>
      <c r="H610" s="376">
        <v>0</v>
      </c>
      <c r="I610" s="376">
        <v>1</v>
      </c>
    </row>
    <row r="611" spans="1:9" x14ac:dyDescent="0.35">
      <c r="A611" s="376" t="s">
        <v>1636</v>
      </c>
      <c r="B611" s="376" t="s">
        <v>1609</v>
      </c>
      <c r="C611" s="376" t="s">
        <v>628</v>
      </c>
      <c r="D611" s="376">
        <v>2020</v>
      </c>
      <c r="E611" s="376">
        <v>2025</v>
      </c>
      <c r="F611" s="376">
        <v>1</v>
      </c>
      <c r="G611" s="376">
        <v>9167.139503195207</v>
      </c>
      <c r="H611" s="376">
        <v>0</v>
      </c>
      <c r="I611" s="376">
        <v>1</v>
      </c>
    </row>
    <row r="612" spans="1:9" x14ac:dyDescent="0.35">
      <c r="A612" s="376" t="s">
        <v>1636</v>
      </c>
      <c r="B612" s="376" t="s">
        <v>1609</v>
      </c>
      <c r="C612" s="376" t="s">
        <v>628</v>
      </c>
      <c r="D612" s="376">
        <v>2020</v>
      </c>
      <c r="E612" s="376">
        <v>2026</v>
      </c>
      <c r="F612" s="376">
        <v>1</v>
      </c>
      <c r="G612" s="376">
        <v>8800.4539230673981</v>
      </c>
      <c r="H612" s="376">
        <v>0</v>
      </c>
      <c r="I612" s="376">
        <v>1</v>
      </c>
    </row>
    <row r="613" spans="1:9" x14ac:dyDescent="0.35">
      <c r="A613" s="376" t="s">
        <v>1636</v>
      </c>
      <c r="B613" s="376" t="s">
        <v>1609</v>
      </c>
      <c r="C613" s="376" t="s">
        <v>628</v>
      </c>
      <c r="D613" s="376">
        <v>2020</v>
      </c>
      <c r="E613" s="376">
        <v>2027</v>
      </c>
      <c r="F613" s="376">
        <v>1</v>
      </c>
      <c r="G613" s="376">
        <v>8448.4357661447011</v>
      </c>
      <c r="H613" s="376">
        <v>0</v>
      </c>
      <c r="I613" s="376">
        <v>1</v>
      </c>
    </row>
    <row r="614" spans="1:9" x14ac:dyDescent="0.35">
      <c r="A614" s="376" t="s">
        <v>1636</v>
      </c>
      <c r="B614" s="376" t="s">
        <v>1609</v>
      </c>
      <c r="C614" s="376" t="s">
        <v>628</v>
      </c>
      <c r="D614" s="376">
        <v>2020</v>
      </c>
      <c r="E614" s="376">
        <v>2028</v>
      </c>
      <c r="F614" s="376">
        <v>1</v>
      </c>
      <c r="G614" s="376">
        <v>8110.4983354989126</v>
      </c>
      <c r="H614" s="376">
        <v>0</v>
      </c>
      <c r="I614" s="376">
        <v>1</v>
      </c>
    </row>
    <row r="615" spans="1:9" x14ac:dyDescent="0.35">
      <c r="A615" s="376" t="s">
        <v>1636</v>
      </c>
      <c r="B615" s="376" t="s">
        <v>1609</v>
      </c>
      <c r="C615" s="376" t="s">
        <v>628</v>
      </c>
      <c r="D615" s="376">
        <v>2020</v>
      </c>
      <c r="E615" s="376">
        <v>2029</v>
      </c>
      <c r="F615" s="376">
        <v>1</v>
      </c>
      <c r="G615" s="376">
        <v>7786.0784020789561</v>
      </c>
      <c r="H615" s="376">
        <v>0</v>
      </c>
      <c r="I615" s="376">
        <v>1</v>
      </c>
    </row>
    <row r="616" spans="1:9" x14ac:dyDescent="0.35">
      <c r="A616" s="376" t="s">
        <v>1636</v>
      </c>
      <c r="B616" s="376" t="s">
        <v>1609</v>
      </c>
      <c r="C616" s="376" t="s">
        <v>628</v>
      </c>
      <c r="D616" s="376">
        <v>2020</v>
      </c>
      <c r="E616" s="376">
        <v>2030</v>
      </c>
      <c r="F616" s="376">
        <v>1</v>
      </c>
      <c r="G616" s="376">
        <v>7474.6352659957975</v>
      </c>
      <c r="H616" s="376">
        <v>0</v>
      </c>
      <c r="I616" s="376">
        <v>1</v>
      </c>
    </row>
    <row r="617" spans="1:9" x14ac:dyDescent="0.35">
      <c r="A617" s="376" t="s">
        <v>1636</v>
      </c>
      <c r="B617" s="376" t="s">
        <v>1609</v>
      </c>
      <c r="C617" s="376" t="s">
        <v>628</v>
      </c>
      <c r="D617" s="376">
        <v>2020</v>
      </c>
      <c r="E617" s="376">
        <v>2031</v>
      </c>
      <c r="F617" s="376">
        <v>1</v>
      </c>
      <c r="G617" s="376">
        <v>7175.649855355965</v>
      </c>
      <c r="H617" s="376">
        <v>0</v>
      </c>
      <c r="I617" s="376">
        <v>1</v>
      </c>
    </row>
    <row r="618" spans="1:9" x14ac:dyDescent="0.35">
      <c r="A618" s="376" t="s">
        <v>1606</v>
      </c>
      <c r="B618" s="376" t="s">
        <v>1609</v>
      </c>
      <c r="C618" s="376" t="s">
        <v>628</v>
      </c>
      <c r="D618" s="376">
        <v>2020</v>
      </c>
      <c r="E618" s="376">
        <v>2021</v>
      </c>
      <c r="F618" s="376">
        <v>1</v>
      </c>
      <c r="G618" s="376">
        <v>7346.1988674099939</v>
      </c>
      <c r="H618" s="376">
        <v>0</v>
      </c>
      <c r="I618" s="376">
        <v>1</v>
      </c>
    </row>
    <row r="619" spans="1:9" x14ac:dyDescent="0.35">
      <c r="A619" s="376" t="s">
        <v>1606</v>
      </c>
      <c r="B619" s="376" t="s">
        <v>1609</v>
      </c>
      <c r="C619" s="376" t="s">
        <v>628</v>
      </c>
      <c r="D619" s="376">
        <v>2020</v>
      </c>
      <c r="E619" s="376">
        <v>2022</v>
      </c>
      <c r="F619" s="376">
        <v>1</v>
      </c>
      <c r="G619" s="376">
        <v>7052.350912713594</v>
      </c>
      <c r="H619" s="376">
        <v>0</v>
      </c>
      <c r="I619" s="376">
        <v>1</v>
      </c>
    </row>
    <row r="620" spans="1:9" x14ac:dyDescent="0.35">
      <c r="A620" s="376" t="s">
        <v>1606</v>
      </c>
      <c r="B620" s="376" t="s">
        <v>1609</v>
      </c>
      <c r="C620" s="376" t="s">
        <v>628</v>
      </c>
      <c r="D620" s="376">
        <v>2020</v>
      </c>
      <c r="E620" s="376">
        <v>2023</v>
      </c>
      <c r="F620" s="376">
        <v>1</v>
      </c>
      <c r="G620" s="376">
        <v>6770.2568762050496</v>
      </c>
      <c r="H620" s="376">
        <v>0</v>
      </c>
      <c r="I620" s="376">
        <v>1</v>
      </c>
    </row>
    <row r="621" spans="1:9" x14ac:dyDescent="0.35">
      <c r="A621" s="376" t="s">
        <v>1606</v>
      </c>
      <c r="B621" s="376" t="s">
        <v>1609</v>
      </c>
      <c r="C621" s="376" t="s">
        <v>628</v>
      </c>
      <c r="D621" s="376">
        <v>2020</v>
      </c>
      <c r="E621" s="376">
        <v>2024</v>
      </c>
      <c r="F621" s="376">
        <v>1</v>
      </c>
      <c r="G621" s="376">
        <v>6499.4466011568475</v>
      </c>
      <c r="H621" s="376">
        <v>0</v>
      </c>
      <c r="I621" s="376">
        <v>1</v>
      </c>
    </row>
    <row r="622" spans="1:9" x14ac:dyDescent="0.35">
      <c r="A622" s="376" t="s">
        <v>1606</v>
      </c>
      <c r="B622" s="376" t="s">
        <v>1609</v>
      </c>
      <c r="C622" s="376" t="s">
        <v>628</v>
      </c>
      <c r="D622" s="376">
        <v>2020</v>
      </c>
      <c r="E622" s="376">
        <v>2025</v>
      </c>
      <c r="F622" s="376">
        <v>1</v>
      </c>
      <c r="G622" s="376">
        <v>6239.4687371105738</v>
      </c>
      <c r="H622" s="376">
        <v>0</v>
      </c>
      <c r="I622" s="376">
        <v>1</v>
      </c>
    </row>
    <row r="623" spans="1:9" x14ac:dyDescent="0.35">
      <c r="A623" s="376" t="s">
        <v>1606</v>
      </c>
      <c r="B623" s="376" t="s">
        <v>1609</v>
      </c>
      <c r="C623" s="376" t="s">
        <v>628</v>
      </c>
      <c r="D623" s="376">
        <v>2020</v>
      </c>
      <c r="E623" s="376">
        <v>2026</v>
      </c>
      <c r="F623" s="376">
        <v>1</v>
      </c>
      <c r="G623" s="376">
        <v>5989.8899876261503</v>
      </c>
      <c r="H623" s="376">
        <v>0</v>
      </c>
      <c r="I623" s="376">
        <v>1</v>
      </c>
    </row>
    <row r="624" spans="1:9" x14ac:dyDescent="0.35">
      <c r="A624" s="376" t="s">
        <v>1606</v>
      </c>
      <c r="B624" s="376" t="s">
        <v>1609</v>
      </c>
      <c r="C624" s="376" t="s">
        <v>628</v>
      </c>
      <c r="D624" s="376">
        <v>2020</v>
      </c>
      <c r="E624" s="376">
        <v>2027</v>
      </c>
      <c r="F624" s="376">
        <v>1</v>
      </c>
      <c r="G624" s="376">
        <v>5750.294388121104</v>
      </c>
      <c r="H624" s="376">
        <v>0</v>
      </c>
      <c r="I624" s="376">
        <v>1</v>
      </c>
    </row>
    <row r="625" spans="1:9" x14ac:dyDescent="0.35">
      <c r="A625" s="376" t="s">
        <v>1606</v>
      </c>
      <c r="B625" s="376" t="s">
        <v>1609</v>
      </c>
      <c r="C625" s="376" t="s">
        <v>628</v>
      </c>
      <c r="D625" s="376">
        <v>2020</v>
      </c>
      <c r="E625" s="376">
        <v>2028</v>
      </c>
      <c r="F625" s="376">
        <v>1</v>
      </c>
      <c r="G625" s="376">
        <v>5520.2826125962592</v>
      </c>
      <c r="H625" s="376">
        <v>0</v>
      </c>
      <c r="I625" s="376">
        <v>1</v>
      </c>
    </row>
    <row r="626" spans="1:9" x14ac:dyDescent="0.35">
      <c r="A626" s="376" t="s">
        <v>1606</v>
      </c>
      <c r="B626" s="376" t="s">
        <v>1609</v>
      </c>
      <c r="C626" s="376" t="s">
        <v>628</v>
      </c>
      <c r="D626" s="376">
        <v>2020</v>
      </c>
      <c r="E626" s="376">
        <v>2029</v>
      </c>
      <c r="F626" s="376">
        <v>1</v>
      </c>
      <c r="G626" s="376">
        <v>5299.4713080924084</v>
      </c>
      <c r="H626" s="376">
        <v>0</v>
      </c>
      <c r="I626" s="376">
        <v>1</v>
      </c>
    </row>
    <row r="627" spans="1:9" x14ac:dyDescent="0.35">
      <c r="A627" s="376" t="s">
        <v>1606</v>
      </c>
      <c r="B627" s="376" t="s">
        <v>1609</v>
      </c>
      <c r="C627" s="376" t="s">
        <v>628</v>
      </c>
      <c r="D627" s="376">
        <v>2020</v>
      </c>
      <c r="E627" s="376">
        <v>2030</v>
      </c>
      <c r="F627" s="376">
        <v>1</v>
      </c>
      <c r="G627" s="376">
        <v>5087.4924557687118</v>
      </c>
      <c r="H627" s="376">
        <v>0</v>
      </c>
      <c r="I627" s="376">
        <v>1</v>
      </c>
    </row>
    <row r="628" spans="1:9" x14ac:dyDescent="0.35">
      <c r="A628" s="376" t="s">
        <v>1606</v>
      </c>
      <c r="B628" s="376" t="s">
        <v>1609</v>
      </c>
      <c r="C628" s="376" t="s">
        <v>628</v>
      </c>
      <c r="D628" s="376">
        <v>2020</v>
      </c>
      <c r="E628" s="376">
        <v>2031</v>
      </c>
      <c r="F628" s="376">
        <v>1</v>
      </c>
      <c r="G628" s="376">
        <v>4883.9927575379634</v>
      </c>
      <c r="H628" s="376">
        <v>0</v>
      </c>
      <c r="I628" s="376">
        <v>1</v>
      </c>
    </row>
    <row r="629" spans="1:9" x14ac:dyDescent="0.35">
      <c r="A629" s="376" t="s">
        <v>1612</v>
      </c>
      <c r="B629" s="376" t="s">
        <v>1609</v>
      </c>
      <c r="C629" s="376" t="s">
        <v>1051</v>
      </c>
      <c r="D629" s="376">
        <v>2020</v>
      </c>
      <c r="E629" s="376">
        <v>2021</v>
      </c>
      <c r="F629" s="376">
        <v>0.35737526128209052</v>
      </c>
      <c r="G629" s="376">
        <v>8862.3373298605529</v>
      </c>
      <c r="H629" s="376">
        <v>0.25</v>
      </c>
      <c r="I629" s="376">
        <v>0.85</v>
      </c>
    </row>
    <row r="630" spans="1:9" x14ac:dyDescent="0.35">
      <c r="A630" s="376" t="s">
        <v>1612</v>
      </c>
      <c r="B630" s="376" t="s">
        <v>1609</v>
      </c>
      <c r="C630" s="376" t="s">
        <v>1051</v>
      </c>
      <c r="D630" s="376">
        <v>2020</v>
      </c>
      <c r="E630" s="376">
        <v>2022</v>
      </c>
      <c r="F630" s="376">
        <v>0.35737526128209052</v>
      </c>
      <c r="G630" s="376">
        <v>8877.6122841641991</v>
      </c>
      <c r="H630" s="376">
        <v>0.25</v>
      </c>
      <c r="I630" s="376">
        <v>0.85</v>
      </c>
    </row>
    <row r="631" spans="1:9" x14ac:dyDescent="0.35">
      <c r="A631" s="376" t="s">
        <v>1612</v>
      </c>
      <c r="B631" s="376" t="s">
        <v>1609</v>
      </c>
      <c r="C631" s="376" t="s">
        <v>1051</v>
      </c>
      <c r="D631" s="376">
        <v>2020</v>
      </c>
      <c r="E631" s="376">
        <v>2023</v>
      </c>
      <c r="F631" s="376">
        <v>0.35737526128209052</v>
      </c>
      <c r="G631" s="376">
        <v>8892.9135660855263</v>
      </c>
      <c r="H631" s="376">
        <v>0.25</v>
      </c>
      <c r="I631" s="376">
        <v>0.85</v>
      </c>
    </row>
    <row r="632" spans="1:9" x14ac:dyDescent="0.35">
      <c r="A632" s="376" t="s">
        <v>1612</v>
      </c>
      <c r="B632" s="376" t="s">
        <v>1609</v>
      </c>
      <c r="C632" s="376" t="s">
        <v>1051</v>
      </c>
      <c r="D632" s="376">
        <v>2020</v>
      </c>
      <c r="E632" s="376">
        <v>2024</v>
      </c>
      <c r="F632" s="376">
        <v>0.35737526128209052</v>
      </c>
      <c r="G632" s="376">
        <v>8908.2412210023103</v>
      </c>
      <c r="H632" s="376">
        <v>0.25</v>
      </c>
      <c r="I632" s="376">
        <v>0.85</v>
      </c>
    </row>
    <row r="633" spans="1:9" x14ac:dyDescent="0.35">
      <c r="A633" s="376" t="s">
        <v>1612</v>
      </c>
      <c r="B633" s="376" t="s">
        <v>1609</v>
      </c>
      <c r="C633" s="376" t="s">
        <v>1051</v>
      </c>
      <c r="D633" s="376">
        <v>2020</v>
      </c>
      <c r="E633" s="376">
        <v>2025</v>
      </c>
      <c r="F633" s="376">
        <v>0.35737526128209052</v>
      </c>
      <c r="G633" s="376">
        <v>8923.5952943705397</v>
      </c>
      <c r="H633" s="376">
        <v>0.25</v>
      </c>
      <c r="I633" s="376">
        <v>0.85</v>
      </c>
    </row>
    <row r="634" spans="1:9" x14ac:dyDescent="0.35">
      <c r="A634" s="376" t="s">
        <v>1612</v>
      </c>
      <c r="B634" s="376" t="s">
        <v>1609</v>
      </c>
      <c r="C634" s="376" t="s">
        <v>1051</v>
      </c>
      <c r="D634" s="376">
        <v>2020</v>
      </c>
      <c r="E634" s="376">
        <v>2026</v>
      </c>
      <c r="F634" s="376">
        <v>0.35737526128209052</v>
      </c>
      <c r="G634" s="376">
        <v>8938.9758317245487</v>
      </c>
      <c r="H634" s="376">
        <v>0.25</v>
      </c>
      <c r="I634" s="376">
        <v>0.85</v>
      </c>
    </row>
    <row r="635" spans="1:9" x14ac:dyDescent="0.35">
      <c r="A635" s="376" t="s">
        <v>1612</v>
      </c>
      <c r="B635" s="376" t="s">
        <v>1609</v>
      </c>
      <c r="C635" s="376" t="s">
        <v>1051</v>
      </c>
      <c r="D635" s="376">
        <v>2020</v>
      </c>
      <c r="E635" s="376">
        <v>2027</v>
      </c>
      <c r="F635" s="376">
        <v>0.35737526128209052</v>
      </c>
      <c r="G635" s="376">
        <v>8954.3828786771537</v>
      </c>
      <c r="H635" s="376">
        <v>0.25</v>
      </c>
      <c r="I635" s="376">
        <v>0.85</v>
      </c>
    </row>
    <row r="636" spans="1:9" x14ac:dyDescent="0.35">
      <c r="A636" s="376" t="s">
        <v>1612</v>
      </c>
      <c r="B636" s="376" t="s">
        <v>1609</v>
      </c>
      <c r="C636" s="376" t="s">
        <v>1051</v>
      </c>
      <c r="D636" s="376">
        <v>2020</v>
      </c>
      <c r="E636" s="376">
        <v>2028</v>
      </c>
      <c r="F636" s="376">
        <v>0.35737526128209052</v>
      </c>
      <c r="G636" s="376">
        <v>8969.8164809197915</v>
      </c>
      <c r="H636" s="376">
        <v>0.25</v>
      </c>
      <c r="I636" s="376">
        <v>0.85</v>
      </c>
    </row>
    <row r="637" spans="1:9" x14ac:dyDescent="0.35">
      <c r="A637" s="376" t="s">
        <v>1612</v>
      </c>
      <c r="B637" s="376" t="s">
        <v>1609</v>
      </c>
      <c r="C637" s="376" t="s">
        <v>1051</v>
      </c>
      <c r="D637" s="376">
        <v>2020</v>
      </c>
      <c r="E637" s="376">
        <v>2029</v>
      </c>
      <c r="F637" s="376">
        <v>0.35737526128209052</v>
      </c>
      <c r="G637" s="376">
        <v>8985.2766842226483</v>
      </c>
      <c r="H637" s="376">
        <v>0.25</v>
      </c>
      <c r="I637" s="376">
        <v>0.85</v>
      </c>
    </row>
    <row r="638" spans="1:9" x14ac:dyDescent="0.35">
      <c r="A638" s="376" t="s">
        <v>1612</v>
      </c>
      <c r="B638" s="376" t="s">
        <v>1609</v>
      </c>
      <c r="C638" s="376" t="s">
        <v>1051</v>
      </c>
      <c r="D638" s="376">
        <v>2020</v>
      </c>
      <c r="E638" s="376">
        <v>2030</v>
      </c>
      <c r="F638" s="376">
        <v>0.35737526128209052</v>
      </c>
      <c r="G638" s="376">
        <v>9000.7635344348018</v>
      </c>
      <c r="H638" s="376">
        <v>0.25</v>
      </c>
      <c r="I638" s="376">
        <v>0.85</v>
      </c>
    </row>
    <row r="639" spans="1:9" x14ac:dyDescent="0.35">
      <c r="A639" s="376" t="s">
        <v>1612</v>
      </c>
      <c r="B639" s="376" t="s">
        <v>1609</v>
      </c>
      <c r="C639" s="376" t="s">
        <v>1051</v>
      </c>
      <c r="D639" s="376">
        <v>2020</v>
      </c>
      <c r="E639" s="376">
        <v>2031</v>
      </c>
      <c r="F639" s="376">
        <v>0.35737526128209052</v>
      </c>
      <c r="G639" s="376">
        <v>9016.2770774843502</v>
      </c>
      <c r="H639" s="376">
        <v>0.25</v>
      </c>
      <c r="I639" s="376">
        <v>0.85</v>
      </c>
    </row>
    <row r="640" spans="1:9" x14ac:dyDescent="0.35">
      <c r="A640" s="376" t="s">
        <v>1613</v>
      </c>
      <c r="B640" s="376" t="s">
        <v>1609</v>
      </c>
      <c r="C640" s="376" t="s">
        <v>1051</v>
      </c>
      <c r="D640" s="376">
        <v>2020</v>
      </c>
      <c r="E640" s="376">
        <v>2021</v>
      </c>
      <c r="F640" s="376">
        <v>0.40444272241720852</v>
      </c>
      <c r="G640" s="376">
        <v>4210.7317541352131</v>
      </c>
      <c r="H640" s="376">
        <v>0.25</v>
      </c>
      <c r="I640" s="376">
        <v>0.85</v>
      </c>
    </row>
    <row r="641" spans="1:9" x14ac:dyDescent="0.35">
      <c r="A641" s="376" t="s">
        <v>1613</v>
      </c>
      <c r="B641" s="376" t="s">
        <v>1609</v>
      </c>
      <c r="C641" s="376" t="s">
        <v>1051</v>
      </c>
      <c r="D641" s="376">
        <v>2020</v>
      </c>
      <c r="E641" s="376">
        <v>2022</v>
      </c>
      <c r="F641" s="376">
        <v>0.40444272241720852</v>
      </c>
      <c r="G641" s="376">
        <v>4217.9892904639892</v>
      </c>
      <c r="H641" s="376">
        <v>0.25</v>
      </c>
      <c r="I641" s="376">
        <v>0.85</v>
      </c>
    </row>
    <row r="642" spans="1:9" x14ac:dyDescent="0.35">
      <c r="A642" s="376" t="s">
        <v>1613</v>
      </c>
      <c r="B642" s="376" t="s">
        <v>1609</v>
      </c>
      <c r="C642" s="376" t="s">
        <v>1051</v>
      </c>
      <c r="D642" s="376">
        <v>2020</v>
      </c>
      <c r="E642" s="376">
        <v>2023</v>
      </c>
      <c r="F642" s="376">
        <v>0.40444272241720852</v>
      </c>
      <c r="G642" s="376">
        <v>4225.2593357429041</v>
      </c>
      <c r="H642" s="376">
        <v>0.25</v>
      </c>
      <c r="I642" s="376">
        <v>0.85</v>
      </c>
    </row>
    <row r="643" spans="1:9" x14ac:dyDescent="0.35">
      <c r="A643" s="376" t="s">
        <v>1613</v>
      </c>
      <c r="B643" s="376" t="s">
        <v>1609</v>
      </c>
      <c r="C643" s="376" t="s">
        <v>1051</v>
      </c>
      <c r="D643" s="376">
        <v>2020</v>
      </c>
      <c r="E643" s="376">
        <v>2024</v>
      </c>
      <c r="F643" s="376">
        <v>0.40444272241720852</v>
      </c>
      <c r="G643" s="376">
        <v>4232.5419115321447</v>
      </c>
      <c r="H643" s="376">
        <v>0.25</v>
      </c>
      <c r="I643" s="376">
        <v>0.85</v>
      </c>
    </row>
    <row r="644" spans="1:9" x14ac:dyDescent="0.35">
      <c r="A644" s="376" t="s">
        <v>1613</v>
      </c>
      <c r="B644" s="376" t="s">
        <v>1609</v>
      </c>
      <c r="C644" s="376" t="s">
        <v>1051</v>
      </c>
      <c r="D644" s="376">
        <v>2020</v>
      </c>
      <c r="E644" s="376">
        <v>2025</v>
      </c>
      <c r="F644" s="376">
        <v>0.40444272241720852</v>
      </c>
      <c r="G644" s="376">
        <v>4239.8370394290578</v>
      </c>
      <c r="H644" s="376">
        <v>0.25</v>
      </c>
      <c r="I644" s="376">
        <v>0.85</v>
      </c>
    </row>
    <row r="645" spans="1:9" x14ac:dyDescent="0.35">
      <c r="A645" s="376" t="s">
        <v>1613</v>
      </c>
      <c r="B645" s="376" t="s">
        <v>1609</v>
      </c>
      <c r="C645" s="376" t="s">
        <v>1051</v>
      </c>
      <c r="D645" s="376">
        <v>2020</v>
      </c>
      <c r="E645" s="376">
        <v>2026</v>
      </c>
      <c r="F645" s="376">
        <v>0.40444272241720852</v>
      </c>
      <c r="G645" s="376">
        <v>4247.1447410682149</v>
      </c>
      <c r="H645" s="376">
        <v>0.25</v>
      </c>
      <c r="I645" s="376">
        <v>0.85</v>
      </c>
    </row>
    <row r="646" spans="1:9" x14ac:dyDescent="0.35">
      <c r="A646" s="376" t="s">
        <v>1613</v>
      </c>
      <c r="B646" s="376" t="s">
        <v>1609</v>
      </c>
      <c r="C646" s="376" t="s">
        <v>1051</v>
      </c>
      <c r="D646" s="376">
        <v>2020</v>
      </c>
      <c r="E646" s="376">
        <v>2027</v>
      </c>
      <c r="F646" s="376">
        <v>0.40444272241720852</v>
      </c>
      <c r="G646" s="376">
        <v>4254.4650381214769</v>
      </c>
      <c r="H646" s="376">
        <v>0.25</v>
      </c>
      <c r="I646" s="376">
        <v>0.85</v>
      </c>
    </row>
    <row r="647" spans="1:9" x14ac:dyDescent="0.35">
      <c r="A647" s="376" t="s">
        <v>1613</v>
      </c>
      <c r="B647" s="376" t="s">
        <v>1609</v>
      </c>
      <c r="C647" s="376" t="s">
        <v>1051</v>
      </c>
      <c r="D647" s="376">
        <v>2020</v>
      </c>
      <c r="E647" s="376">
        <v>2028</v>
      </c>
      <c r="F647" s="376">
        <v>0.40444272241720852</v>
      </c>
      <c r="G647" s="376">
        <v>4261.7979522980568</v>
      </c>
      <c r="H647" s="376">
        <v>0.25</v>
      </c>
      <c r="I647" s="376">
        <v>0.85</v>
      </c>
    </row>
    <row r="648" spans="1:9" x14ac:dyDescent="0.35">
      <c r="A648" s="376" t="s">
        <v>1613</v>
      </c>
      <c r="B648" s="376" t="s">
        <v>1609</v>
      </c>
      <c r="C648" s="376" t="s">
        <v>1051</v>
      </c>
      <c r="D648" s="376">
        <v>2020</v>
      </c>
      <c r="E648" s="376">
        <v>2029</v>
      </c>
      <c r="F648" s="376">
        <v>0.40444272241720852</v>
      </c>
      <c r="G648" s="376">
        <v>4269.1435053445857</v>
      </c>
      <c r="H648" s="376">
        <v>0.25</v>
      </c>
      <c r="I648" s="376">
        <v>0.85</v>
      </c>
    </row>
    <row r="649" spans="1:9" x14ac:dyDescent="0.35">
      <c r="A649" s="376" t="s">
        <v>1613</v>
      </c>
      <c r="B649" s="376" t="s">
        <v>1609</v>
      </c>
      <c r="C649" s="376" t="s">
        <v>1051</v>
      </c>
      <c r="D649" s="376">
        <v>2020</v>
      </c>
      <c r="E649" s="376">
        <v>2030</v>
      </c>
      <c r="F649" s="376">
        <v>0.40444272241720852</v>
      </c>
      <c r="G649" s="376">
        <v>4276.5017190451781</v>
      </c>
      <c r="H649" s="376">
        <v>0.25</v>
      </c>
      <c r="I649" s="376">
        <v>0.85</v>
      </c>
    </row>
    <row r="650" spans="1:9" x14ac:dyDescent="0.35">
      <c r="A650" s="376" t="s">
        <v>1613</v>
      </c>
      <c r="B650" s="376" t="s">
        <v>1609</v>
      </c>
      <c r="C650" s="376" t="s">
        <v>1051</v>
      </c>
      <c r="D650" s="376">
        <v>2020</v>
      </c>
      <c r="E650" s="376">
        <v>2031</v>
      </c>
      <c r="F650" s="376">
        <v>0.40444272241720852</v>
      </c>
      <c r="G650" s="376">
        <v>4283.8726152214931</v>
      </c>
      <c r="H650" s="376">
        <v>0.25</v>
      </c>
      <c r="I650" s="376">
        <v>0.85</v>
      </c>
    </row>
    <row r="651" spans="1:9" x14ac:dyDescent="0.35">
      <c r="A651" s="376" t="s">
        <v>1604</v>
      </c>
      <c r="B651" s="376" t="s">
        <v>1609</v>
      </c>
      <c r="C651" s="376" t="s">
        <v>1051</v>
      </c>
      <c r="D651" s="376">
        <v>2020</v>
      </c>
      <c r="E651" s="376">
        <v>2021</v>
      </c>
      <c r="F651" s="376">
        <v>1</v>
      </c>
      <c r="G651" s="376">
        <v>4080.9585671288087</v>
      </c>
      <c r="H651" s="376">
        <v>0</v>
      </c>
      <c r="I651" s="376">
        <v>1</v>
      </c>
    </row>
    <row r="652" spans="1:9" x14ac:dyDescent="0.35">
      <c r="A652" s="376" t="s">
        <v>1604</v>
      </c>
      <c r="B652" s="376" t="s">
        <v>1609</v>
      </c>
      <c r="C652" s="376" t="s">
        <v>1051</v>
      </c>
      <c r="D652" s="376">
        <v>2020</v>
      </c>
      <c r="E652" s="376">
        <v>2022</v>
      </c>
      <c r="F652" s="376">
        <v>1</v>
      </c>
      <c r="G652" s="376">
        <v>4080.9585671288087</v>
      </c>
      <c r="H652" s="376">
        <v>0</v>
      </c>
      <c r="I652" s="376">
        <v>1</v>
      </c>
    </row>
    <row r="653" spans="1:9" x14ac:dyDescent="0.35">
      <c r="A653" s="376" t="s">
        <v>1604</v>
      </c>
      <c r="B653" s="376" t="s">
        <v>1609</v>
      </c>
      <c r="C653" s="376" t="s">
        <v>1051</v>
      </c>
      <c r="D653" s="376">
        <v>2020</v>
      </c>
      <c r="E653" s="376">
        <v>2023</v>
      </c>
      <c r="F653" s="376">
        <v>1</v>
      </c>
      <c r="G653" s="376">
        <v>4080.9585671288087</v>
      </c>
      <c r="H653" s="376">
        <v>0</v>
      </c>
      <c r="I653" s="376">
        <v>1</v>
      </c>
    </row>
    <row r="654" spans="1:9" x14ac:dyDescent="0.35">
      <c r="A654" s="376" t="s">
        <v>1604</v>
      </c>
      <c r="B654" s="376" t="s">
        <v>1609</v>
      </c>
      <c r="C654" s="376" t="s">
        <v>1051</v>
      </c>
      <c r="D654" s="376">
        <v>2020</v>
      </c>
      <c r="E654" s="376">
        <v>2024</v>
      </c>
      <c r="F654" s="376">
        <v>1</v>
      </c>
      <c r="G654" s="376">
        <v>4080.9585671288087</v>
      </c>
      <c r="H654" s="376">
        <v>0</v>
      </c>
      <c r="I654" s="376">
        <v>1</v>
      </c>
    </row>
    <row r="655" spans="1:9" x14ac:dyDescent="0.35">
      <c r="A655" s="376" t="s">
        <v>1604</v>
      </c>
      <c r="B655" s="376" t="s">
        <v>1609</v>
      </c>
      <c r="C655" s="376" t="s">
        <v>1051</v>
      </c>
      <c r="D655" s="376">
        <v>2020</v>
      </c>
      <c r="E655" s="376">
        <v>2025</v>
      </c>
      <c r="F655" s="376">
        <v>1</v>
      </c>
      <c r="G655" s="376">
        <v>4080.9585671288087</v>
      </c>
      <c r="H655" s="376">
        <v>0</v>
      </c>
      <c r="I655" s="376">
        <v>1</v>
      </c>
    </row>
    <row r="656" spans="1:9" x14ac:dyDescent="0.35">
      <c r="A656" s="376" t="s">
        <v>1604</v>
      </c>
      <c r="B656" s="376" t="s">
        <v>1609</v>
      </c>
      <c r="C656" s="376" t="s">
        <v>1051</v>
      </c>
      <c r="D656" s="376">
        <v>2020</v>
      </c>
      <c r="E656" s="376">
        <v>2026</v>
      </c>
      <c r="F656" s="376">
        <v>1</v>
      </c>
      <c r="G656" s="376">
        <v>4080.9585671288087</v>
      </c>
      <c r="H656" s="376">
        <v>0</v>
      </c>
      <c r="I656" s="376">
        <v>1</v>
      </c>
    </row>
    <row r="657" spans="1:9" x14ac:dyDescent="0.35">
      <c r="A657" s="376" t="s">
        <v>1604</v>
      </c>
      <c r="B657" s="376" t="s">
        <v>1609</v>
      </c>
      <c r="C657" s="376" t="s">
        <v>1051</v>
      </c>
      <c r="D657" s="376">
        <v>2020</v>
      </c>
      <c r="E657" s="376">
        <v>2027</v>
      </c>
      <c r="F657" s="376">
        <v>1</v>
      </c>
      <c r="G657" s="376">
        <v>4080.9585671288087</v>
      </c>
      <c r="H657" s="376">
        <v>0</v>
      </c>
      <c r="I657" s="376">
        <v>1</v>
      </c>
    </row>
    <row r="658" spans="1:9" x14ac:dyDescent="0.35">
      <c r="A658" s="376" t="s">
        <v>1604</v>
      </c>
      <c r="B658" s="376" t="s">
        <v>1609</v>
      </c>
      <c r="C658" s="376" t="s">
        <v>1051</v>
      </c>
      <c r="D658" s="376">
        <v>2020</v>
      </c>
      <c r="E658" s="376">
        <v>2028</v>
      </c>
      <c r="F658" s="376">
        <v>1</v>
      </c>
      <c r="G658" s="376">
        <v>4080.9585671288087</v>
      </c>
      <c r="H658" s="376">
        <v>0</v>
      </c>
      <c r="I658" s="376">
        <v>1</v>
      </c>
    </row>
    <row r="659" spans="1:9" x14ac:dyDescent="0.35">
      <c r="A659" s="376" t="s">
        <v>1604</v>
      </c>
      <c r="B659" s="376" t="s">
        <v>1609</v>
      </c>
      <c r="C659" s="376" t="s">
        <v>1051</v>
      </c>
      <c r="D659" s="376">
        <v>2020</v>
      </c>
      <c r="E659" s="376">
        <v>2029</v>
      </c>
      <c r="F659" s="376">
        <v>1</v>
      </c>
      <c r="G659" s="376">
        <v>4080.9585671288087</v>
      </c>
      <c r="H659" s="376">
        <v>0</v>
      </c>
      <c r="I659" s="376">
        <v>1</v>
      </c>
    </row>
    <row r="660" spans="1:9" x14ac:dyDescent="0.35">
      <c r="A660" s="376" t="s">
        <v>1604</v>
      </c>
      <c r="B660" s="376" t="s">
        <v>1609</v>
      </c>
      <c r="C660" s="376" t="s">
        <v>1051</v>
      </c>
      <c r="D660" s="376">
        <v>2020</v>
      </c>
      <c r="E660" s="376">
        <v>2030</v>
      </c>
      <c r="F660" s="376">
        <v>1</v>
      </c>
      <c r="G660" s="376">
        <v>4080.9585671288087</v>
      </c>
      <c r="H660" s="376">
        <v>0</v>
      </c>
      <c r="I660" s="376">
        <v>1</v>
      </c>
    </row>
    <row r="661" spans="1:9" x14ac:dyDescent="0.35">
      <c r="A661" s="376" t="s">
        <v>1604</v>
      </c>
      <c r="B661" s="376" t="s">
        <v>1609</v>
      </c>
      <c r="C661" s="376" t="s">
        <v>1051</v>
      </c>
      <c r="D661" s="376">
        <v>2020</v>
      </c>
      <c r="E661" s="376">
        <v>2031</v>
      </c>
      <c r="F661" s="376">
        <v>1</v>
      </c>
      <c r="G661" s="376">
        <v>4080.9585671288087</v>
      </c>
      <c r="H661" s="376">
        <v>0</v>
      </c>
      <c r="I661" s="376">
        <v>1</v>
      </c>
    </row>
    <row r="662" spans="1:9" x14ac:dyDescent="0.35">
      <c r="A662" s="376" t="s">
        <v>1615</v>
      </c>
      <c r="B662" s="376" t="s">
        <v>1609</v>
      </c>
      <c r="C662" s="376" t="s">
        <v>1051</v>
      </c>
      <c r="D662" s="376">
        <v>2020</v>
      </c>
      <c r="E662" s="376">
        <v>2021</v>
      </c>
      <c r="F662" s="376">
        <v>1</v>
      </c>
      <c r="G662" s="376">
        <v>19116.166827077381</v>
      </c>
      <c r="H662" s="376">
        <v>0</v>
      </c>
      <c r="I662" s="376">
        <v>0.65716939790195539</v>
      </c>
    </row>
    <row r="663" spans="1:9" x14ac:dyDescent="0.35">
      <c r="A663" s="376" t="s">
        <v>1615</v>
      </c>
      <c r="B663" s="376" t="s">
        <v>1609</v>
      </c>
      <c r="C663" s="376" t="s">
        <v>1051</v>
      </c>
      <c r="D663" s="376">
        <v>2020</v>
      </c>
      <c r="E663" s="376">
        <v>2022</v>
      </c>
      <c r="F663" s="376">
        <v>1</v>
      </c>
      <c r="G663" s="376">
        <v>19116.166827077381</v>
      </c>
      <c r="H663" s="376">
        <v>0</v>
      </c>
      <c r="I663" s="376">
        <v>0.65716939790195539</v>
      </c>
    </row>
    <row r="664" spans="1:9" x14ac:dyDescent="0.35">
      <c r="A664" s="376" t="s">
        <v>1615</v>
      </c>
      <c r="B664" s="376" t="s">
        <v>1609</v>
      </c>
      <c r="C664" s="376" t="s">
        <v>1051</v>
      </c>
      <c r="D664" s="376">
        <v>2020</v>
      </c>
      <c r="E664" s="376">
        <v>2023</v>
      </c>
      <c r="F664" s="376">
        <v>1</v>
      </c>
      <c r="G664" s="376">
        <v>19116.166827077381</v>
      </c>
      <c r="H664" s="376">
        <v>0</v>
      </c>
      <c r="I664" s="376">
        <v>0.65716939790195539</v>
      </c>
    </row>
    <row r="665" spans="1:9" x14ac:dyDescent="0.35">
      <c r="A665" s="376" t="s">
        <v>1615</v>
      </c>
      <c r="B665" s="376" t="s">
        <v>1609</v>
      </c>
      <c r="C665" s="376" t="s">
        <v>1051</v>
      </c>
      <c r="D665" s="376">
        <v>2020</v>
      </c>
      <c r="E665" s="376">
        <v>2024</v>
      </c>
      <c r="F665" s="376">
        <v>1</v>
      </c>
      <c r="G665" s="376">
        <v>19116.166827077381</v>
      </c>
      <c r="H665" s="376">
        <v>0</v>
      </c>
      <c r="I665" s="376">
        <v>0.65716939790195539</v>
      </c>
    </row>
    <row r="666" spans="1:9" x14ac:dyDescent="0.35">
      <c r="A666" s="376" t="s">
        <v>1615</v>
      </c>
      <c r="B666" s="376" t="s">
        <v>1609</v>
      </c>
      <c r="C666" s="376" t="s">
        <v>1051</v>
      </c>
      <c r="D666" s="376">
        <v>2020</v>
      </c>
      <c r="E666" s="376">
        <v>2025</v>
      </c>
      <c r="F666" s="376">
        <v>1</v>
      </c>
      <c r="G666" s="376">
        <v>19116.166827077381</v>
      </c>
      <c r="H666" s="376">
        <v>0</v>
      </c>
      <c r="I666" s="376">
        <v>0.65716939790195539</v>
      </c>
    </row>
    <row r="667" spans="1:9" x14ac:dyDescent="0.35">
      <c r="A667" s="376" t="s">
        <v>1615</v>
      </c>
      <c r="B667" s="376" t="s">
        <v>1609</v>
      </c>
      <c r="C667" s="376" t="s">
        <v>1051</v>
      </c>
      <c r="D667" s="376">
        <v>2020</v>
      </c>
      <c r="E667" s="376">
        <v>2026</v>
      </c>
      <c r="F667" s="376">
        <v>1</v>
      </c>
      <c r="G667" s="376">
        <v>19116.166827077381</v>
      </c>
      <c r="H667" s="376">
        <v>0</v>
      </c>
      <c r="I667" s="376">
        <v>0.65716939790195539</v>
      </c>
    </row>
    <row r="668" spans="1:9" x14ac:dyDescent="0.35">
      <c r="A668" s="376" t="s">
        <v>1615</v>
      </c>
      <c r="B668" s="376" t="s">
        <v>1609</v>
      </c>
      <c r="C668" s="376" t="s">
        <v>1051</v>
      </c>
      <c r="D668" s="376">
        <v>2020</v>
      </c>
      <c r="E668" s="376">
        <v>2027</v>
      </c>
      <c r="F668" s="376">
        <v>1</v>
      </c>
      <c r="G668" s="376">
        <v>19116.166827077381</v>
      </c>
      <c r="H668" s="376">
        <v>0</v>
      </c>
      <c r="I668" s="376">
        <v>0.65716939790195539</v>
      </c>
    </row>
    <row r="669" spans="1:9" x14ac:dyDescent="0.35">
      <c r="A669" s="376" t="s">
        <v>1615</v>
      </c>
      <c r="B669" s="376" t="s">
        <v>1609</v>
      </c>
      <c r="C669" s="376" t="s">
        <v>1051</v>
      </c>
      <c r="D669" s="376">
        <v>2020</v>
      </c>
      <c r="E669" s="376">
        <v>2028</v>
      </c>
      <c r="F669" s="376">
        <v>1</v>
      </c>
      <c r="G669" s="376">
        <v>19116.166827077381</v>
      </c>
      <c r="H669" s="376">
        <v>0</v>
      </c>
      <c r="I669" s="376">
        <v>0.65716939790195539</v>
      </c>
    </row>
    <row r="670" spans="1:9" x14ac:dyDescent="0.35">
      <c r="A670" s="376" t="s">
        <v>1615</v>
      </c>
      <c r="B670" s="376" t="s">
        <v>1609</v>
      </c>
      <c r="C670" s="376" t="s">
        <v>1051</v>
      </c>
      <c r="D670" s="376">
        <v>2020</v>
      </c>
      <c r="E670" s="376">
        <v>2029</v>
      </c>
      <c r="F670" s="376">
        <v>1</v>
      </c>
      <c r="G670" s="376">
        <v>19116.166827077381</v>
      </c>
      <c r="H670" s="376">
        <v>0</v>
      </c>
      <c r="I670" s="376">
        <v>0.65716939790195539</v>
      </c>
    </row>
    <row r="671" spans="1:9" x14ac:dyDescent="0.35">
      <c r="A671" s="376" t="s">
        <v>1615</v>
      </c>
      <c r="B671" s="376" t="s">
        <v>1609</v>
      </c>
      <c r="C671" s="376" t="s">
        <v>1051</v>
      </c>
      <c r="D671" s="376">
        <v>2020</v>
      </c>
      <c r="E671" s="376">
        <v>2030</v>
      </c>
      <c r="F671" s="376">
        <v>1</v>
      </c>
      <c r="G671" s="376">
        <v>19116.166827077381</v>
      </c>
      <c r="H671" s="376">
        <v>0</v>
      </c>
      <c r="I671" s="376">
        <v>0.65716939790195539</v>
      </c>
    </row>
    <row r="672" spans="1:9" x14ac:dyDescent="0.35">
      <c r="A672" s="376" t="s">
        <v>1615</v>
      </c>
      <c r="B672" s="376" t="s">
        <v>1609</v>
      </c>
      <c r="C672" s="376" t="s">
        <v>1051</v>
      </c>
      <c r="D672" s="376">
        <v>2020</v>
      </c>
      <c r="E672" s="376">
        <v>2031</v>
      </c>
      <c r="F672" s="376">
        <v>1</v>
      </c>
      <c r="G672" s="376">
        <v>19116.166827077381</v>
      </c>
      <c r="H672" s="376">
        <v>0</v>
      </c>
      <c r="I672" s="376">
        <v>0.65716939790195539</v>
      </c>
    </row>
    <row r="673" spans="1:9" x14ac:dyDescent="0.35">
      <c r="A673" s="376" t="s">
        <v>1603</v>
      </c>
      <c r="B673" s="376" t="s">
        <v>1609</v>
      </c>
      <c r="C673" s="376" t="s">
        <v>1051</v>
      </c>
      <c r="D673" s="376">
        <v>2020</v>
      </c>
      <c r="E673" s="376">
        <v>2021</v>
      </c>
      <c r="F673" s="376">
        <v>1</v>
      </c>
      <c r="G673" s="376">
        <v>2977.1068963922471</v>
      </c>
      <c r="H673" s="376">
        <v>0</v>
      </c>
      <c r="I673" s="376">
        <v>1</v>
      </c>
    </row>
    <row r="674" spans="1:9" x14ac:dyDescent="0.35">
      <c r="A674" s="376" t="s">
        <v>1603</v>
      </c>
      <c r="B674" s="376" t="s">
        <v>1609</v>
      </c>
      <c r="C674" s="376" t="s">
        <v>1051</v>
      </c>
      <c r="D674" s="376">
        <v>2020</v>
      </c>
      <c r="E674" s="376">
        <v>2022</v>
      </c>
      <c r="F674" s="376">
        <v>1</v>
      </c>
      <c r="G674" s="376">
        <v>2977.1068963922471</v>
      </c>
      <c r="H674" s="376">
        <v>0</v>
      </c>
      <c r="I674" s="376">
        <v>1</v>
      </c>
    </row>
    <row r="675" spans="1:9" x14ac:dyDescent="0.35">
      <c r="A675" s="376" t="s">
        <v>1603</v>
      </c>
      <c r="B675" s="376" t="s">
        <v>1609</v>
      </c>
      <c r="C675" s="376" t="s">
        <v>1051</v>
      </c>
      <c r="D675" s="376">
        <v>2020</v>
      </c>
      <c r="E675" s="376">
        <v>2023</v>
      </c>
      <c r="F675" s="376">
        <v>1</v>
      </c>
      <c r="G675" s="376">
        <v>2977.1068963922471</v>
      </c>
      <c r="H675" s="376">
        <v>0</v>
      </c>
      <c r="I675" s="376">
        <v>1</v>
      </c>
    </row>
    <row r="676" spans="1:9" x14ac:dyDescent="0.35">
      <c r="A676" s="376" t="s">
        <v>1603</v>
      </c>
      <c r="B676" s="376" t="s">
        <v>1609</v>
      </c>
      <c r="C676" s="376" t="s">
        <v>1051</v>
      </c>
      <c r="D676" s="376">
        <v>2020</v>
      </c>
      <c r="E676" s="376">
        <v>2024</v>
      </c>
      <c r="F676" s="376">
        <v>1</v>
      </c>
      <c r="G676" s="376">
        <v>2977.1068963922471</v>
      </c>
      <c r="H676" s="376">
        <v>0</v>
      </c>
      <c r="I676" s="376">
        <v>1</v>
      </c>
    </row>
    <row r="677" spans="1:9" x14ac:dyDescent="0.35">
      <c r="A677" s="376" t="s">
        <v>1603</v>
      </c>
      <c r="B677" s="376" t="s">
        <v>1609</v>
      </c>
      <c r="C677" s="376" t="s">
        <v>1051</v>
      </c>
      <c r="D677" s="376">
        <v>2020</v>
      </c>
      <c r="E677" s="376">
        <v>2025</v>
      </c>
      <c r="F677" s="376">
        <v>1</v>
      </c>
      <c r="G677" s="376">
        <v>2977.1068963922471</v>
      </c>
      <c r="H677" s="376">
        <v>0</v>
      </c>
      <c r="I677" s="376">
        <v>1</v>
      </c>
    </row>
    <row r="678" spans="1:9" x14ac:dyDescent="0.35">
      <c r="A678" s="376" t="s">
        <v>1603</v>
      </c>
      <c r="B678" s="376" t="s">
        <v>1609</v>
      </c>
      <c r="C678" s="376" t="s">
        <v>1051</v>
      </c>
      <c r="D678" s="376">
        <v>2020</v>
      </c>
      <c r="E678" s="376">
        <v>2026</v>
      </c>
      <c r="F678" s="376">
        <v>1</v>
      </c>
      <c r="G678" s="376">
        <v>2977.1068963922471</v>
      </c>
      <c r="H678" s="376">
        <v>0</v>
      </c>
      <c r="I678" s="376">
        <v>1</v>
      </c>
    </row>
    <row r="679" spans="1:9" x14ac:dyDescent="0.35">
      <c r="A679" s="376" t="s">
        <v>1603</v>
      </c>
      <c r="B679" s="376" t="s">
        <v>1609</v>
      </c>
      <c r="C679" s="376" t="s">
        <v>1051</v>
      </c>
      <c r="D679" s="376">
        <v>2020</v>
      </c>
      <c r="E679" s="376">
        <v>2027</v>
      </c>
      <c r="F679" s="376">
        <v>1</v>
      </c>
      <c r="G679" s="376">
        <v>2977.1068963922471</v>
      </c>
      <c r="H679" s="376">
        <v>0</v>
      </c>
      <c r="I679" s="376">
        <v>1</v>
      </c>
    </row>
    <row r="680" spans="1:9" x14ac:dyDescent="0.35">
      <c r="A680" s="376" t="s">
        <v>1603</v>
      </c>
      <c r="B680" s="376" t="s">
        <v>1609</v>
      </c>
      <c r="C680" s="376" t="s">
        <v>1051</v>
      </c>
      <c r="D680" s="376">
        <v>2020</v>
      </c>
      <c r="E680" s="376">
        <v>2028</v>
      </c>
      <c r="F680" s="376">
        <v>1</v>
      </c>
      <c r="G680" s="376">
        <v>2977.1068963922471</v>
      </c>
      <c r="H680" s="376">
        <v>0</v>
      </c>
      <c r="I680" s="376">
        <v>1</v>
      </c>
    </row>
    <row r="681" spans="1:9" x14ac:dyDescent="0.35">
      <c r="A681" s="376" t="s">
        <v>1603</v>
      </c>
      <c r="B681" s="376" t="s">
        <v>1609</v>
      </c>
      <c r="C681" s="376" t="s">
        <v>1051</v>
      </c>
      <c r="D681" s="376">
        <v>2020</v>
      </c>
      <c r="E681" s="376">
        <v>2029</v>
      </c>
      <c r="F681" s="376">
        <v>1</v>
      </c>
      <c r="G681" s="376">
        <v>2977.1068963922471</v>
      </c>
      <c r="H681" s="376">
        <v>0</v>
      </c>
      <c r="I681" s="376">
        <v>1</v>
      </c>
    </row>
    <row r="682" spans="1:9" x14ac:dyDescent="0.35">
      <c r="A682" s="376" t="s">
        <v>1603</v>
      </c>
      <c r="B682" s="376" t="s">
        <v>1609</v>
      </c>
      <c r="C682" s="376" t="s">
        <v>1051</v>
      </c>
      <c r="D682" s="376">
        <v>2020</v>
      </c>
      <c r="E682" s="376">
        <v>2030</v>
      </c>
      <c r="F682" s="376">
        <v>1</v>
      </c>
      <c r="G682" s="376">
        <v>2977.1068963922471</v>
      </c>
      <c r="H682" s="376">
        <v>0</v>
      </c>
      <c r="I682" s="376">
        <v>1</v>
      </c>
    </row>
    <row r="683" spans="1:9" x14ac:dyDescent="0.35">
      <c r="A683" s="376" t="s">
        <v>1603</v>
      </c>
      <c r="B683" s="376" t="s">
        <v>1609</v>
      </c>
      <c r="C683" s="376" t="s">
        <v>1051</v>
      </c>
      <c r="D683" s="376">
        <v>2020</v>
      </c>
      <c r="E683" s="376">
        <v>2031</v>
      </c>
      <c r="F683" s="376">
        <v>1</v>
      </c>
      <c r="G683" s="376">
        <v>2977.1068963922471</v>
      </c>
      <c r="H683" s="376">
        <v>0</v>
      </c>
      <c r="I683" s="376">
        <v>1</v>
      </c>
    </row>
    <row r="684" spans="1:9" x14ac:dyDescent="0.35">
      <c r="A684" s="376" t="s">
        <v>1605</v>
      </c>
      <c r="B684" s="376" t="s">
        <v>1609</v>
      </c>
      <c r="C684" s="376" t="s">
        <v>1051</v>
      </c>
      <c r="D684" s="376">
        <v>2020</v>
      </c>
      <c r="E684" s="376">
        <v>2021</v>
      </c>
      <c r="F684" s="376">
        <v>0.23884589662749595</v>
      </c>
      <c r="G684" s="376">
        <v>9522.7857316091431</v>
      </c>
      <c r="H684" s="376">
        <v>0</v>
      </c>
      <c r="I684" s="376">
        <v>1</v>
      </c>
    </row>
    <row r="685" spans="1:9" x14ac:dyDescent="0.35">
      <c r="A685" s="376" t="s">
        <v>1605</v>
      </c>
      <c r="B685" s="376" t="s">
        <v>1609</v>
      </c>
      <c r="C685" s="376" t="s">
        <v>1051</v>
      </c>
      <c r="D685" s="376">
        <v>2020</v>
      </c>
      <c r="E685" s="376">
        <v>2022</v>
      </c>
      <c r="F685" s="376">
        <v>0.23884589662749595</v>
      </c>
      <c r="G685" s="376">
        <v>9522.7857316091431</v>
      </c>
      <c r="H685" s="376">
        <v>0</v>
      </c>
      <c r="I685" s="376">
        <v>1</v>
      </c>
    </row>
    <row r="686" spans="1:9" x14ac:dyDescent="0.35">
      <c r="A686" s="376" t="s">
        <v>1605</v>
      </c>
      <c r="B686" s="376" t="s">
        <v>1609</v>
      </c>
      <c r="C686" s="376" t="s">
        <v>1051</v>
      </c>
      <c r="D686" s="376">
        <v>2020</v>
      </c>
      <c r="E686" s="376">
        <v>2023</v>
      </c>
      <c r="F686" s="376">
        <v>0.23884589662749595</v>
      </c>
      <c r="G686" s="376">
        <v>9522.7857316091431</v>
      </c>
      <c r="H686" s="376">
        <v>0</v>
      </c>
      <c r="I686" s="376">
        <v>1</v>
      </c>
    </row>
    <row r="687" spans="1:9" x14ac:dyDescent="0.35">
      <c r="A687" s="376" t="s">
        <v>1605</v>
      </c>
      <c r="B687" s="376" t="s">
        <v>1609</v>
      </c>
      <c r="C687" s="376" t="s">
        <v>1051</v>
      </c>
      <c r="D687" s="376">
        <v>2020</v>
      </c>
      <c r="E687" s="376">
        <v>2024</v>
      </c>
      <c r="F687" s="376">
        <v>0.23884589662749595</v>
      </c>
      <c r="G687" s="376">
        <v>9522.7857316091431</v>
      </c>
      <c r="H687" s="376">
        <v>0</v>
      </c>
      <c r="I687" s="376">
        <v>1</v>
      </c>
    </row>
    <row r="688" spans="1:9" x14ac:dyDescent="0.35">
      <c r="A688" s="376" t="s">
        <v>1605</v>
      </c>
      <c r="B688" s="376" t="s">
        <v>1609</v>
      </c>
      <c r="C688" s="376" t="s">
        <v>1051</v>
      </c>
      <c r="D688" s="376">
        <v>2020</v>
      </c>
      <c r="E688" s="376">
        <v>2025</v>
      </c>
      <c r="F688" s="376">
        <v>0.23884589662749595</v>
      </c>
      <c r="G688" s="376">
        <v>9522.7857316091431</v>
      </c>
      <c r="H688" s="376">
        <v>0</v>
      </c>
      <c r="I688" s="376">
        <v>1</v>
      </c>
    </row>
    <row r="689" spans="1:9" x14ac:dyDescent="0.35">
      <c r="A689" s="376" t="s">
        <v>1605</v>
      </c>
      <c r="B689" s="376" t="s">
        <v>1609</v>
      </c>
      <c r="C689" s="376" t="s">
        <v>1051</v>
      </c>
      <c r="D689" s="376">
        <v>2020</v>
      </c>
      <c r="E689" s="376">
        <v>2026</v>
      </c>
      <c r="F689" s="376">
        <v>0.23884589662749595</v>
      </c>
      <c r="G689" s="376">
        <v>9522.7857316091431</v>
      </c>
      <c r="H689" s="376">
        <v>0</v>
      </c>
      <c r="I689" s="376">
        <v>1</v>
      </c>
    </row>
    <row r="690" spans="1:9" x14ac:dyDescent="0.35">
      <c r="A690" s="376" t="s">
        <v>1605</v>
      </c>
      <c r="B690" s="376" t="s">
        <v>1609</v>
      </c>
      <c r="C690" s="376" t="s">
        <v>1051</v>
      </c>
      <c r="D690" s="376">
        <v>2020</v>
      </c>
      <c r="E690" s="376">
        <v>2027</v>
      </c>
      <c r="F690" s="376">
        <v>0.23884589662749595</v>
      </c>
      <c r="G690" s="376">
        <v>9522.7857316091431</v>
      </c>
      <c r="H690" s="376">
        <v>0</v>
      </c>
      <c r="I690" s="376">
        <v>1</v>
      </c>
    </row>
    <row r="691" spans="1:9" x14ac:dyDescent="0.35">
      <c r="A691" s="376" t="s">
        <v>1605</v>
      </c>
      <c r="B691" s="376" t="s">
        <v>1609</v>
      </c>
      <c r="C691" s="376" t="s">
        <v>1051</v>
      </c>
      <c r="D691" s="376">
        <v>2020</v>
      </c>
      <c r="E691" s="376">
        <v>2028</v>
      </c>
      <c r="F691" s="376">
        <v>0.23884589662749595</v>
      </c>
      <c r="G691" s="376">
        <v>9522.7857316091431</v>
      </c>
      <c r="H691" s="376">
        <v>0</v>
      </c>
      <c r="I691" s="376">
        <v>1</v>
      </c>
    </row>
    <row r="692" spans="1:9" x14ac:dyDescent="0.35">
      <c r="A692" s="376" t="s">
        <v>1605</v>
      </c>
      <c r="B692" s="376" t="s">
        <v>1609</v>
      </c>
      <c r="C692" s="376" t="s">
        <v>1051</v>
      </c>
      <c r="D692" s="376">
        <v>2020</v>
      </c>
      <c r="E692" s="376">
        <v>2029</v>
      </c>
      <c r="F692" s="376">
        <v>0.23884589662749595</v>
      </c>
      <c r="G692" s="376">
        <v>9522.7857316091431</v>
      </c>
      <c r="H692" s="376">
        <v>0</v>
      </c>
      <c r="I692" s="376">
        <v>1</v>
      </c>
    </row>
    <row r="693" spans="1:9" x14ac:dyDescent="0.35">
      <c r="A693" s="376" t="s">
        <v>1605</v>
      </c>
      <c r="B693" s="376" t="s">
        <v>1609</v>
      </c>
      <c r="C693" s="376" t="s">
        <v>1051</v>
      </c>
      <c r="D693" s="376">
        <v>2020</v>
      </c>
      <c r="E693" s="376">
        <v>2030</v>
      </c>
      <c r="F693" s="376">
        <v>0.23884589662749595</v>
      </c>
      <c r="G693" s="376">
        <v>9522.7857316091431</v>
      </c>
      <c r="H693" s="376">
        <v>0</v>
      </c>
      <c r="I693" s="376">
        <v>1</v>
      </c>
    </row>
    <row r="694" spans="1:9" x14ac:dyDescent="0.35">
      <c r="A694" s="376" t="s">
        <v>1605</v>
      </c>
      <c r="B694" s="376" t="s">
        <v>1609</v>
      </c>
      <c r="C694" s="376" t="s">
        <v>1051</v>
      </c>
      <c r="D694" s="376">
        <v>2020</v>
      </c>
      <c r="E694" s="376">
        <v>2031</v>
      </c>
      <c r="F694" s="376">
        <v>0.23884589662749595</v>
      </c>
      <c r="G694" s="376">
        <v>9522.7857316091431</v>
      </c>
      <c r="H694" s="376">
        <v>0</v>
      </c>
      <c r="I694" s="376">
        <v>1</v>
      </c>
    </row>
    <row r="695" spans="1:9" x14ac:dyDescent="0.35">
      <c r="A695" s="376" t="s">
        <v>1636</v>
      </c>
      <c r="B695" s="376" t="s">
        <v>1609</v>
      </c>
      <c r="C695" s="376" t="s">
        <v>1051</v>
      </c>
      <c r="D695" s="376">
        <v>2020</v>
      </c>
      <c r="E695" s="376">
        <v>2021</v>
      </c>
      <c r="F695" s="376">
        <v>1</v>
      </c>
      <c r="G695" s="376">
        <v>8691.5050276236143</v>
      </c>
      <c r="H695" s="376">
        <v>0</v>
      </c>
      <c r="I695" s="376">
        <v>1</v>
      </c>
    </row>
    <row r="696" spans="1:9" x14ac:dyDescent="0.35">
      <c r="A696" s="376" t="s">
        <v>1636</v>
      </c>
      <c r="B696" s="376" t="s">
        <v>1609</v>
      </c>
      <c r="C696" s="376" t="s">
        <v>1051</v>
      </c>
      <c r="D696" s="376">
        <v>2020</v>
      </c>
      <c r="E696" s="376">
        <v>2022</v>
      </c>
      <c r="F696" s="376">
        <v>1</v>
      </c>
      <c r="G696" s="376">
        <v>8343.8448265186689</v>
      </c>
      <c r="H696" s="376">
        <v>0</v>
      </c>
      <c r="I696" s="376">
        <v>1</v>
      </c>
    </row>
    <row r="697" spans="1:9" x14ac:dyDescent="0.35">
      <c r="A697" s="376" t="s">
        <v>1636</v>
      </c>
      <c r="B697" s="376" t="s">
        <v>1609</v>
      </c>
      <c r="C697" s="376" t="s">
        <v>1051</v>
      </c>
      <c r="D697" s="376">
        <v>2020</v>
      </c>
      <c r="E697" s="376">
        <v>2023</v>
      </c>
      <c r="F697" s="376">
        <v>1</v>
      </c>
      <c r="G697" s="376">
        <v>8010.0910334579221</v>
      </c>
      <c r="H697" s="376">
        <v>0</v>
      </c>
      <c r="I697" s="376">
        <v>1</v>
      </c>
    </row>
    <row r="698" spans="1:9" x14ac:dyDescent="0.35">
      <c r="A698" s="376" t="s">
        <v>1636</v>
      </c>
      <c r="B698" s="376" t="s">
        <v>1609</v>
      </c>
      <c r="C698" s="376" t="s">
        <v>1051</v>
      </c>
      <c r="D698" s="376">
        <v>2020</v>
      </c>
      <c r="E698" s="376">
        <v>2024</v>
      </c>
      <c r="F698" s="376">
        <v>1</v>
      </c>
      <c r="G698" s="376">
        <v>7689.6873921196047</v>
      </c>
      <c r="H698" s="376">
        <v>0</v>
      </c>
      <c r="I698" s="376">
        <v>1</v>
      </c>
    </row>
    <row r="699" spans="1:9" x14ac:dyDescent="0.35">
      <c r="A699" s="376" t="s">
        <v>1636</v>
      </c>
      <c r="B699" s="376" t="s">
        <v>1609</v>
      </c>
      <c r="C699" s="376" t="s">
        <v>1051</v>
      </c>
      <c r="D699" s="376">
        <v>2020</v>
      </c>
      <c r="E699" s="376">
        <v>2025</v>
      </c>
      <c r="F699" s="376">
        <v>1</v>
      </c>
      <c r="G699" s="376">
        <v>7382.09989643482</v>
      </c>
      <c r="H699" s="376">
        <v>0</v>
      </c>
      <c r="I699" s="376">
        <v>1</v>
      </c>
    </row>
    <row r="700" spans="1:9" x14ac:dyDescent="0.35">
      <c r="A700" s="376" t="s">
        <v>1636</v>
      </c>
      <c r="B700" s="376" t="s">
        <v>1609</v>
      </c>
      <c r="C700" s="376" t="s">
        <v>1051</v>
      </c>
      <c r="D700" s="376">
        <v>2020</v>
      </c>
      <c r="E700" s="376">
        <v>2026</v>
      </c>
      <c r="F700" s="376">
        <v>1</v>
      </c>
      <c r="G700" s="376">
        <v>7086.8159005774269</v>
      </c>
      <c r="H700" s="376">
        <v>0</v>
      </c>
      <c r="I700" s="376">
        <v>1</v>
      </c>
    </row>
    <row r="701" spans="1:9" x14ac:dyDescent="0.35">
      <c r="A701" s="376" t="s">
        <v>1636</v>
      </c>
      <c r="B701" s="376" t="s">
        <v>1609</v>
      </c>
      <c r="C701" s="376" t="s">
        <v>1051</v>
      </c>
      <c r="D701" s="376">
        <v>2020</v>
      </c>
      <c r="E701" s="376">
        <v>2027</v>
      </c>
      <c r="F701" s="376">
        <v>1</v>
      </c>
      <c r="G701" s="376">
        <v>6803.3432645543298</v>
      </c>
      <c r="H701" s="376">
        <v>0</v>
      </c>
      <c r="I701" s="376">
        <v>1</v>
      </c>
    </row>
    <row r="702" spans="1:9" x14ac:dyDescent="0.35">
      <c r="A702" s="376" t="s">
        <v>1636</v>
      </c>
      <c r="B702" s="376" t="s">
        <v>1609</v>
      </c>
      <c r="C702" s="376" t="s">
        <v>1051</v>
      </c>
      <c r="D702" s="376">
        <v>2020</v>
      </c>
      <c r="E702" s="376">
        <v>2028</v>
      </c>
      <c r="F702" s="376">
        <v>1</v>
      </c>
      <c r="G702" s="376">
        <v>6531.2095339721564</v>
      </c>
      <c r="H702" s="376">
        <v>0</v>
      </c>
      <c r="I702" s="376">
        <v>1</v>
      </c>
    </row>
    <row r="703" spans="1:9" x14ac:dyDescent="0.35">
      <c r="A703" s="376" t="s">
        <v>1636</v>
      </c>
      <c r="B703" s="376" t="s">
        <v>1609</v>
      </c>
      <c r="C703" s="376" t="s">
        <v>1051</v>
      </c>
      <c r="D703" s="376">
        <v>2020</v>
      </c>
      <c r="E703" s="376">
        <v>2029</v>
      </c>
      <c r="F703" s="376">
        <v>1</v>
      </c>
      <c r="G703" s="376">
        <v>6269.9611526132703</v>
      </c>
      <c r="H703" s="376">
        <v>0</v>
      </c>
      <c r="I703" s="376">
        <v>1</v>
      </c>
    </row>
    <row r="704" spans="1:9" x14ac:dyDescent="0.35">
      <c r="A704" s="376" t="s">
        <v>1636</v>
      </c>
      <c r="B704" s="376" t="s">
        <v>1609</v>
      </c>
      <c r="C704" s="376" t="s">
        <v>1051</v>
      </c>
      <c r="D704" s="376">
        <v>2020</v>
      </c>
      <c r="E704" s="376">
        <v>2030</v>
      </c>
      <c r="F704" s="376">
        <v>1</v>
      </c>
      <c r="G704" s="376">
        <v>6019.1627065087396</v>
      </c>
      <c r="H704" s="376">
        <v>0</v>
      </c>
      <c r="I704" s="376">
        <v>1</v>
      </c>
    </row>
    <row r="705" spans="1:9" x14ac:dyDescent="0.35">
      <c r="A705" s="376" t="s">
        <v>1636</v>
      </c>
      <c r="B705" s="376" t="s">
        <v>1609</v>
      </c>
      <c r="C705" s="376" t="s">
        <v>1051</v>
      </c>
      <c r="D705" s="376">
        <v>2020</v>
      </c>
      <c r="E705" s="376">
        <v>2031</v>
      </c>
      <c r="F705" s="376">
        <v>1</v>
      </c>
      <c r="G705" s="376">
        <v>5778.3961982483897</v>
      </c>
      <c r="H705" s="376">
        <v>0</v>
      </c>
      <c r="I705" s="376">
        <v>1</v>
      </c>
    </row>
    <row r="706" spans="1:9" x14ac:dyDescent="0.35">
      <c r="A706" s="376" t="s">
        <v>1606</v>
      </c>
      <c r="B706" s="376" t="s">
        <v>1609</v>
      </c>
      <c r="C706" s="376" t="s">
        <v>1051</v>
      </c>
      <c r="D706" s="376">
        <v>2020</v>
      </c>
      <c r="E706" s="376">
        <v>2021</v>
      </c>
      <c r="F706" s="376">
        <v>1</v>
      </c>
      <c r="G706" s="376">
        <v>5886.0846098324755</v>
      </c>
      <c r="H706" s="376">
        <v>0</v>
      </c>
      <c r="I706" s="376">
        <v>1</v>
      </c>
    </row>
    <row r="707" spans="1:9" x14ac:dyDescent="0.35">
      <c r="A707" s="376" t="s">
        <v>1606</v>
      </c>
      <c r="B707" s="376" t="s">
        <v>1609</v>
      </c>
      <c r="C707" s="376" t="s">
        <v>1051</v>
      </c>
      <c r="D707" s="376">
        <v>2020</v>
      </c>
      <c r="E707" s="376">
        <v>2022</v>
      </c>
      <c r="F707" s="376">
        <v>1</v>
      </c>
      <c r="G707" s="376">
        <v>5650.6412254391762</v>
      </c>
      <c r="H707" s="376">
        <v>0</v>
      </c>
      <c r="I707" s="376">
        <v>1</v>
      </c>
    </row>
    <row r="708" spans="1:9" x14ac:dyDescent="0.35">
      <c r="A708" s="376" t="s">
        <v>1606</v>
      </c>
      <c r="B708" s="376" t="s">
        <v>1609</v>
      </c>
      <c r="C708" s="376" t="s">
        <v>1051</v>
      </c>
      <c r="D708" s="376">
        <v>2020</v>
      </c>
      <c r="E708" s="376">
        <v>2023</v>
      </c>
      <c r="F708" s="376">
        <v>1</v>
      </c>
      <c r="G708" s="376">
        <v>5424.6155764216091</v>
      </c>
      <c r="H708" s="376">
        <v>0</v>
      </c>
      <c r="I708" s="376">
        <v>1</v>
      </c>
    </row>
    <row r="709" spans="1:9" x14ac:dyDescent="0.35">
      <c r="A709" s="376" t="s">
        <v>1606</v>
      </c>
      <c r="B709" s="376" t="s">
        <v>1609</v>
      </c>
      <c r="C709" s="376" t="s">
        <v>1051</v>
      </c>
      <c r="D709" s="376">
        <v>2020</v>
      </c>
      <c r="E709" s="376">
        <v>2024</v>
      </c>
      <c r="F709" s="376">
        <v>1</v>
      </c>
      <c r="G709" s="376">
        <v>5207.6309533647445</v>
      </c>
      <c r="H709" s="376">
        <v>0</v>
      </c>
      <c r="I709" s="376">
        <v>1</v>
      </c>
    </row>
    <row r="710" spans="1:9" x14ac:dyDescent="0.35">
      <c r="A710" s="376" t="s">
        <v>1606</v>
      </c>
      <c r="B710" s="376" t="s">
        <v>1609</v>
      </c>
      <c r="C710" s="376" t="s">
        <v>1051</v>
      </c>
      <c r="D710" s="376">
        <v>2020</v>
      </c>
      <c r="E710" s="376">
        <v>2025</v>
      </c>
      <c r="F710" s="376">
        <v>1</v>
      </c>
      <c r="G710" s="376">
        <v>4999.3257152301549</v>
      </c>
      <c r="H710" s="376">
        <v>0</v>
      </c>
      <c r="I710" s="376">
        <v>1</v>
      </c>
    </row>
    <row r="711" spans="1:9" x14ac:dyDescent="0.35">
      <c r="A711" s="376" t="s">
        <v>1606</v>
      </c>
      <c r="B711" s="376" t="s">
        <v>1609</v>
      </c>
      <c r="C711" s="376" t="s">
        <v>1051</v>
      </c>
      <c r="D711" s="376">
        <v>2020</v>
      </c>
      <c r="E711" s="376">
        <v>2026</v>
      </c>
      <c r="F711" s="376">
        <v>1</v>
      </c>
      <c r="G711" s="376">
        <v>4799.3526866209486</v>
      </c>
      <c r="H711" s="376">
        <v>0</v>
      </c>
      <c r="I711" s="376">
        <v>1</v>
      </c>
    </row>
    <row r="712" spans="1:9" x14ac:dyDescent="0.35">
      <c r="A712" s="376" t="s">
        <v>1606</v>
      </c>
      <c r="B712" s="376" t="s">
        <v>1609</v>
      </c>
      <c r="C712" s="376" t="s">
        <v>1051</v>
      </c>
      <c r="D712" s="376">
        <v>2020</v>
      </c>
      <c r="E712" s="376">
        <v>2027</v>
      </c>
      <c r="F712" s="376">
        <v>1</v>
      </c>
      <c r="G712" s="376">
        <v>4607.3785791561104</v>
      </c>
      <c r="H712" s="376">
        <v>0</v>
      </c>
      <c r="I712" s="376">
        <v>1</v>
      </c>
    </row>
    <row r="713" spans="1:9" x14ac:dyDescent="0.35">
      <c r="A713" s="376" t="s">
        <v>1606</v>
      </c>
      <c r="B713" s="376" t="s">
        <v>1609</v>
      </c>
      <c r="C713" s="376" t="s">
        <v>1051</v>
      </c>
      <c r="D713" s="376">
        <v>2020</v>
      </c>
      <c r="E713" s="376">
        <v>2028</v>
      </c>
      <c r="F713" s="376">
        <v>1</v>
      </c>
      <c r="G713" s="376">
        <v>4423.0834359898654</v>
      </c>
      <c r="H713" s="376">
        <v>0</v>
      </c>
      <c r="I713" s="376">
        <v>1</v>
      </c>
    </row>
    <row r="714" spans="1:9" x14ac:dyDescent="0.35">
      <c r="A714" s="376" t="s">
        <v>1606</v>
      </c>
      <c r="B714" s="376" t="s">
        <v>1609</v>
      </c>
      <c r="C714" s="376" t="s">
        <v>1051</v>
      </c>
      <c r="D714" s="376">
        <v>2020</v>
      </c>
      <c r="E714" s="376">
        <v>2029</v>
      </c>
      <c r="F714" s="376">
        <v>1</v>
      </c>
      <c r="G714" s="376">
        <v>4246.160098550271</v>
      </c>
      <c r="H714" s="376">
        <v>0</v>
      </c>
      <c r="I714" s="376">
        <v>1</v>
      </c>
    </row>
    <row r="715" spans="1:9" x14ac:dyDescent="0.35">
      <c r="A715" s="376" t="s">
        <v>1606</v>
      </c>
      <c r="B715" s="376" t="s">
        <v>1609</v>
      </c>
      <c r="C715" s="376" t="s">
        <v>1051</v>
      </c>
      <c r="D715" s="376">
        <v>2020</v>
      </c>
      <c r="E715" s="376">
        <v>2030</v>
      </c>
      <c r="F715" s="376">
        <v>1</v>
      </c>
      <c r="G715" s="376">
        <v>4076.31369460826</v>
      </c>
      <c r="H715" s="376">
        <v>0</v>
      </c>
      <c r="I715" s="376">
        <v>1</v>
      </c>
    </row>
    <row r="716" spans="1:9" x14ac:dyDescent="0.35">
      <c r="A716" s="376" t="s">
        <v>1606</v>
      </c>
      <c r="B716" s="376" t="s">
        <v>1609</v>
      </c>
      <c r="C716" s="376" t="s">
        <v>1051</v>
      </c>
      <c r="D716" s="376">
        <v>2020</v>
      </c>
      <c r="E716" s="376">
        <v>2031</v>
      </c>
      <c r="F716" s="376">
        <v>1</v>
      </c>
      <c r="G716" s="376">
        <v>3913.2611468239293</v>
      </c>
      <c r="H716" s="376">
        <v>0</v>
      </c>
      <c r="I716" s="376">
        <v>1</v>
      </c>
    </row>
    <row r="717" spans="1:9" x14ac:dyDescent="0.35">
      <c r="A717" s="376" t="s">
        <v>1612</v>
      </c>
      <c r="B717" s="376" t="s">
        <v>1609</v>
      </c>
      <c r="C717" s="376" t="s">
        <v>1054</v>
      </c>
      <c r="D717" s="376">
        <v>2020</v>
      </c>
      <c r="E717" s="376">
        <v>2021</v>
      </c>
      <c r="F717" s="376">
        <v>0.35737526128209052</v>
      </c>
      <c r="G717" s="376">
        <v>6867.8239192724877</v>
      </c>
      <c r="H717" s="376">
        <v>0.25</v>
      </c>
      <c r="I717" s="376">
        <v>0.85</v>
      </c>
    </row>
    <row r="718" spans="1:9" x14ac:dyDescent="0.35">
      <c r="A718" s="376" t="s">
        <v>1612</v>
      </c>
      <c r="B718" s="376" t="s">
        <v>1609</v>
      </c>
      <c r="C718" s="376" t="s">
        <v>1054</v>
      </c>
      <c r="D718" s="376">
        <v>2020</v>
      </c>
      <c r="E718" s="376">
        <v>2022</v>
      </c>
      <c r="F718" s="376">
        <v>0.35737526128209052</v>
      </c>
      <c r="G718" s="376">
        <v>6879.6611685925864</v>
      </c>
      <c r="H718" s="376">
        <v>0.25</v>
      </c>
      <c r="I718" s="376">
        <v>0.85</v>
      </c>
    </row>
    <row r="719" spans="1:9" x14ac:dyDescent="0.35">
      <c r="A719" s="376" t="s">
        <v>1612</v>
      </c>
      <c r="B719" s="376" t="s">
        <v>1609</v>
      </c>
      <c r="C719" s="376" t="s">
        <v>1054</v>
      </c>
      <c r="D719" s="376">
        <v>2020</v>
      </c>
      <c r="E719" s="376">
        <v>2023</v>
      </c>
      <c r="F719" s="376">
        <v>0.35737526128209052</v>
      </c>
      <c r="G719" s="376">
        <v>6891.5188203681228</v>
      </c>
      <c r="H719" s="376">
        <v>0.25</v>
      </c>
      <c r="I719" s="376">
        <v>0.85</v>
      </c>
    </row>
    <row r="720" spans="1:9" x14ac:dyDescent="0.35">
      <c r="A720" s="376" t="s">
        <v>1612</v>
      </c>
      <c r="B720" s="376" t="s">
        <v>1609</v>
      </c>
      <c r="C720" s="376" t="s">
        <v>1054</v>
      </c>
      <c r="D720" s="376">
        <v>2020</v>
      </c>
      <c r="E720" s="376">
        <v>2024</v>
      </c>
      <c r="F720" s="376">
        <v>0.35737526128209052</v>
      </c>
      <c r="G720" s="376">
        <v>6903.3969097643767</v>
      </c>
      <c r="H720" s="376">
        <v>0.25</v>
      </c>
      <c r="I720" s="376">
        <v>0.85</v>
      </c>
    </row>
    <row r="721" spans="1:9" x14ac:dyDescent="0.35">
      <c r="A721" s="376" t="s">
        <v>1612</v>
      </c>
      <c r="B721" s="376" t="s">
        <v>1609</v>
      </c>
      <c r="C721" s="376" t="s">
        <v>1054</v>
      </c>
      <c r="D721" s="376">
        <v>2020</v>
      </c>
      <c r="E721" s="376">
        <v>2025</v>
      </c>
      <c r="F721" s="376">
        <v>0.35737526128209052</v>
      </c>
      <c r="G721" s="376">
        <v>6915.2954720072385</v>
      </c>
      <c r="H721" s="376">
        <v>0.25</v>
      </c>
      <c r="I721" s="376">
        <v>0.85</v>
      </c>
    </row>
    <row r="722" spans="1:9" x14ac:dyDescent="0.35">
      <c r="A722" s="376" t="s">
        <v>1612</v>
      </c>
      <c r="B722" s="376" t="s">
        <v>1609</v>
      </c>
      <c r="C722" s="376" t="s">
        <v>1054</v>
      </c>
      <c r="D722" s="376">
        <v>2020</v>
      </c>
      <c r="E722" s="376">
        <v>2026</v>
      </c>
      <c r="F722" s="376">
        <v>0.35737526128209052</v>
      </c>
      <c r="G722" s="376">
        <v>6927.2145423833135</v>
      </c>
      <c r="H722" s="376">
        <v>0.25</v>
      </c>
      <c r="I722" s="376">
        <v>0.85</v>
      </c>
    </row>
    <row r="723" spans="1:9" x14ac:dyDescent="0.35">
      <c r="A723" s="376" t="s">
        <v>1612</v>
      </c>
      <c r="B723" s="376" t="s">
        <v>1609</v>
      </c>
      <c r="C723" s="376" t="s">
        <v>1054</v>
      </c>
      <c r="D723" s="376">
        <v>2020</v>
      </c>
      <c r="E723" s="376">
        <v>2027</v>
      </c>
      <c r="F723" s="376">
        <v>0.35737526128209052</v>
      </c>
      <c r="G723" s="376">
        <v>6939.1541562400253</v>
      </c>
      <c r="H723" s="376">
        <v>0.25</v>
      </c>
      <c r="I723" s="376">
        <v>0.85</v>
      </c>
    </row>
    <row r="724" spans="1:9" x14ac:dyDescent="0.35">
      <c r="A724" s="376" t="s">
        <v>1612</v>
      </c>
      <c r="B724" s="376" t="s">
        <v>1609</v>
      </c>
      <c r="C724" s="376" t="s">
        <v>1054</v>
      </c>
      <c r="D724" s="376">
        <v>2020</v>
      </c>
      <c r="E724" s="376">
        <v>2028</v>
      </c>
      <c r="F724" s="376">
        <v>0.35737526128209052</v>
      </c>
      <c r="G724" s="376">
        <v>6951.1143489857232</v>
      </c>
      <c r="H724" s="376">
        <v>0.25</v>
      </c>
      <c r="I724" s="376">
        <v>0.85</v>
      </c>
    </row>
    <row r="725" spans="1:9" x14ac:dyDescent="0.35">
      <c r="A725" s="376" t="s">
        <v>1612</v>
      </c>
      <c r="B725" s="376" t="s">
        <v>1609</v>
      </c>
      <c r="C725" s="376" t="s">
        <v>1054</v>
      </c>
      <c r="D725" s="376">
        <v>2020</v>
      </c>
      <c r="E725" s="376">
        <v>2029</v>
      </c>
      <c r="F725" s="376">
        <v>0.35737526128209052</v>
      </c>
      <c r="G725" s="376">
        <v>6963.0951560897838</v>
      </c>
      <c r="H725" s="376">
        <v>0.25</v>
      </c>
      <c r="I725" s="376">
        <v>0.85</v>
      </c>
    </row>
    <row r="726" spans="1:9" x14ac:dyDescent="0.35">
      <c r="A726" s="376" t="s">
        <v>1612</v>
      </c>
      <c r="B726" s="376" t="s">
        <v>1609</v>
      </c>
      <c r="C726" s="376" t="s">
        <v>1054</v>
      </c>
      <c r="D726" s="376">
        <v>2020</v>
      </c>
      <c r="E726" s="376">
        <v>2030</v>
      </c>
      <c r="F726" s="376">
        <v>0.35737526128209052</v>
      </c>
      <c r="G726" s="376">
        <v>6975.0966130827201</v>
      </c>
      <c r="H726" s="376">
        <v>0.25</v>
      </c>
      <c r="I726" s="376">
        <v>0.85</v>
      </c>
    </row>
    <row r="727" spans="1:9" x14ac:dyDescent="0.35">
      <c r="A727" s="376" t="s">
        <v>1612</v>
      </c>
      <c r="B727" s="376" t="s">
        <v>1609</v>
      </c>
      <c r="C727" s="376" t="s">
        <v>1054</v>
      </c>
      <c r="D727" s="376">
        <v>2020</v>
      </c>
      <c r="E727" s="376">
        <v>2031</v>
      </c>
      <c r="F727" s="376">
        <v>0.35737526128209052</v>
      </c>
      <c r="G727" s="376">
        <v>6987.1187555562828</v>
      </c>
      <c r="H727" s="376">
        <v>0.25</v>
      </c>
      <c r="I727" s="376">
        <v>0.85</v>
      </c>
    </row>
    <row r="728" spans="1:9" x14ac:dyDescent="0.35">
      <c r="A728" s="376" t="s">
        <v>1613</v>
      </c>
      <c r="B728" s="376" t="s">
        <v>1609</v>
      </c>
      <c r="C728" s="376" t="s">
        <v>1054</v>
      </c>
      <c r="D728" s="376">
        <v>2020</v>
      </c>
      <c r="E728" s="376">
        <v>2021</v>
      </c>
      <c r="F728" s="376">
        <v>0.40444272241720852</v>
      </c>
      <c r="G728" s="376">
        <v>2377.9140900012894</v>
      </c>
      <c r="H728" s="376">
        <v>0.25</v>
      </c>
      <c r="I728" s="376">
        <v>0.85</v>
      </c>
    </row>
    <row r="729" spans="1:9" x14ac:dyDescent="0.35">
      <c r="A729" s="376" t="s">
        <v>1613</v>
      </c>
      <c r="B729" s="376" t="s">
        <v>1609</v>
      </c>
      <c r="C729" s="376" t="s">
        <v>1054</v>
      </c>
      <c r="D729" s="376">
        <v>2020</v>
      </c>
      <c r="E729" s="376">
        <v>2022</v>
      </c>
      <c r="F729" s="376">
        <v>0.40444272241720852</v>
      </c>
      <c r="G729" s="376">
        <v>2382.0126170276058</v>
      </c>
      <c r="H729" s="376">
        <v>0.25</v>
      </c>
      <c r="I729" s="376">
        <v>0.85</v>
      </c>
    </row>
    <row r="730" spans="1:9" x14ac:dyDescent="0.35">
      <c r="A730" s="376" t="s">
        <v>1613</v>
      </c>
      <c r="B730" s="376" t="s">
        <v>1609</v>
      </c>
      <c r="C730" s="376" t="s">
        <v>1054</v>
      </c>
      <c r="D730" s="376">
        <v>2020</v>
      </c>
      <c r="E730" s="376">
        <v>2023</v>
      </c>
      <c r="F730" s="376">
        <v>0.40444272241720852</v>
      </c>
      <c r="G730" s="376">
        <v>2386.1182081963384</v>
      </c>
      <c r="H730" s="376">
        <v>0.25</v>
      </c>
      <c r="I730" s="376">
        <v>0.85</v>
      </c>
    </row>
    <row r="731" spans="1:9" x14ac:dyDescent="0.35">
      <c r="A731" s="376" t="s">
        <v>1613</v>
      </c>
      <c r="B731" s="376" t="s">
        <v>1609</v>
      </c>
      <c r="C731" s="376" t="s">
        <v>1054</v>
      </c>
      <c r="D731" s="376">
        <v>2020</v>
      </c>
      <c r="E731" s="376">
        <v>2024</v>
      </c>
      <c r="F731" s="376">
        <v>0.40444272241720852</v>
      </c>
      <c r="G731" s="376">
        <v>2390.2308756831076</v>
      </c>
      <c r="H731" s="376">
        <v>0.25</v>
      </c>
      <c r="I731" s="376">
        <v>0.85</v>
      </c>
    </row>
    <row r="732" spans="1:9" x14ac:dyDescent="0.35">
      <c r="A732" s="376" t="s">
        <v>1613</v>
      </c>
      <c r="B732" s="376" t="s">
        <v>1609</v>
      </c>
      <c r="C732" s="376" t="s">
        <v>1054</v>
      </c>
      <c r="D732" s="376">
        <v>2020</v>
      </c>
      <c r="E732" s="376">
        <v>2025</v>
      </c>
      <c r="F732" s="376">
        <v>0.40444272241720852</v>
      </c>
      <c r="G732" s="376">
        <v>2394.3506316845187</v>
      </c>
      <c r="H732" s="376">
        <v>0.25</v>
      </c>
      <c r="I732" s="376">
        <v>0.85</v>
      </c>
    </row>
    <row r="733" spans="1:9" x14ac:dyDescent="0.35">
      <c r="A733" s="376" t="s">
        <v>1613</v>
      </c>
      <c r="B733" s="376" t="s">
        <v>1609</v>
      </c>
      <c r="C733" s="376" t="s">
        <v>1054</v>
      </c>
      <c r="D733" s="376">
        <v>2020</v>
      </c>
      <c r="E733" s="376">
        <v>2026</v>
      </c>
      <c r="F733" s="376">
        <v>0.40444272241720852</v>
      </c>
      <c r="G733" s="376">
        <v>2398.4774884181998</v>
      </c>
      <c r="H733" s="376">
        <v>0.25</v>
      </c>
      <c r="I733" s="376">
        <v>0.85</v>
      </c>
    </row>
    <row r="734" spans="1:9" x14ac:dyDescent="0.35">
      <c r="A734" s="376" t="s">
        <v>1613</v>
      </c>
      <c r="B734" s="376" t="s">
        <v>1609</v>
      </c>
      <c r="C734" s="376" t="s">
        <v>1054</v>
      </c>
      <c r="D734" s="376">
        <v>2020</v>
      </c>
      <c r="E734" s="376">
        <v>2027</v>
      </c>
      <c r="F734" s="376">
        <v>0.40444272241720852</v>
      </c>
      <c r="G734" s="376">
        <v>2402.6114581228362</v>
      </c>
      <c r="H734" s="376">
        <v>0.25</v>
      </c>
      <c r="I734" s="376">
        <v>0.85</v>
      </c>
    </row>
    <row r="735" spans="1:9" x14ac:dyDescent="0.35">
      <c r="A735" s="376" t="s">
        <v>1613</v>
      </c>
      <c r="B735" s="376" t="s">
        <v>1609</v>
      </c>
      <c r="C735" s="376" t="s">
        <v>1054</v>
      </c>
      <c r="D735" s="376">
        <v>2020</v>
      </c>
      <c r="E735" s="376">
        <v>2028</v>
      </c>
      <c r="F735" s="376">
        <v>0.40444272241720852</v>
      </c>
      <c r="G735" s="376">
        <v>2406.7525530582084</v>
      </c>
      <c r="H735" s="376">
        <v>0.25</v>
      </c>
      <c r="I735" s="376">
        <v>0.85</v>
      </c>
    </row>
    <row r="736" spans="1:9" x14ac:dyDescent="0.35">
      <c r="A736" s="376" t="s">
        <v>1613</v>
      </c>
      <c r="B736" s="376" t="s">
        <v>1609</v>
      </c>
      <c r="C736" s="376" t="s">
        <v>1054</v>
      </c>
      <c r="D736" s="376">
        <v>2020</v>
      </c>
      <c r="E736" s="376">
        <v>2029</v>
      </c>
      <c r="F736" s="376">
        <v>0.40444272241720852</v>
      </c>
      <c r="G736" s="376">
        <v>2410.9007855052264</v>
      </c>
      <c r="H736" s="376">
        <v>0.25</v>
      </c>
      <c r="I736" s="376">
        <v>0.85</v>
      </c>
    </row>
    <row r="737" spans="1:9" x14ac:dyDescent="0.35">
      <c r="A737" s="376" t="s">
        <v>1613</v>
      </c>
      <c r="B737" s="376" t="s">
        <v>1609</v>
      </c>
      <c r="C737" s="376" t="s">
        <v>1054</v>
      </c>
      <c r="D737" s="376">
        <v>2020</v>
      </c>
      <c r="E737" s="376">
        <v>2030</v>
      </c>
      <c r="F737" s="376">
        <v>0.40444272241720852</v>
      </c>
      <c r="G737" s="376">
        <v>2415.0561677659689</v>
      </c>
      <c r="H737" s="376">
        <v>0.25</v>
      </c>
      <c r="I737" s="376">
        <v>0.85</v>
      </c>
    </row>
    <row r="738" spans="1:9" x14ac:dyDescent="0.35">
      <c r="A738" s="376" t="s">
        <v>1613</v>
      </c>
      <c r="B738" s="376" t="s">
        <v>1609</v>
      </c>
      <c r="C738" s="376" t="s">
        <v>1054</v>
      </c>
      <c r="D738" s="376">
        <v>2020</v>
      </c>
      <c r="E738" s="376">
        <v>2031</v>
      </c>
      <c r="F738" s="376">
        <v>0.40444272241720852</v>
      </c>
      <c r="G738" s="376">
        <v>2419.2187121637171</v>
      </c>
      <c r="H738" s="376">
        <v>0.25</v>
      </c>
      <c r="I738" s="376">
        <v>0.85</v>
      </c>
    </row>
    <row r="739" spans="1:9" x14ac:dyDescent="0.35">
      <c r="A739" s="376" t="s">
        <v>1604</v>
      </c>
      <c r="B739" s="376" t="s">
        <v>1609</v>
      </c>
      <c r="C739" s="376" t="s">
        <v>1054</v>
      </c>
      <c r="D739" s="376">
        <v>2020</v>
      </c>
      <c r="E739" s="376">
        <v>2021</v>
      </c>
      <c r="F739" s="376">
        <v>1</v>
      </c>
      <c r="G739" s="376">
        <v>9489.1171240127242</v>
      </c>
      <c r="H739" s="376">
        <v>0</v>
      </c>
      <c r="I739" s="376">
        <v>1</v>
      </c>
    </row>
    <row r="740" spans="1:9" x14ac:dyDescent="0.35">
      <c r="A740" s="376" t="s">
        <v>1604</v>
      </c>
      <c r="B740" s="376" t="s">
        <v>1609</v>
      </c>
      <c r="C740" s="376" t="s">
        <v>1054</v>
      </c>
      <c r="D740" s="376">
        <v>2020</v>
      </c>
      <c r="E740" s="376">
        <v>2022</v>
      </c>
      <c r="F740" s="376">
        <v>1</v>
      </c>
      <c r="G740" s="376">
        <v>9489.1171240127242</v>
      </c>
      <c r="H740" s="376">
        <v>0</v>
      </c>
      <c r="I740" s="376">
        <v>1</v>
      </c>
    </row>
    <row r="741" spans="1:9" x14ac:dyDescent="0.35">
      <c r="A741" s="376" t="s">
        <v>1604</v>
      </c>
      <c r="B741" s="376" t="s">
        <v>1609</v>
      </c>
      <c r="C741" s="376" t="s">
        <v>1054</v>
      </c>
      <c r="D741" s="376">
        <v>2020</v>
      </c>
      <c r="E741" s="376">
        <v>2023</v>
      </c>
      <c r="F741" s="376">
        <v>1</v>
      </c>
      <c r="G741" s="376">
        <v>9489.1171240127242</v>
      </c>
      <c r="H741" s="376">
        <v>0</v>
      </c>
      <c r="I741" s="376">
        <v>1</v>
      </c>
    </row>
    <row r="742" spans="1:9" x14ac:dyDescent="0.35">
      <c r="A742" s="376" t="s">
        <v>1604</v>
      </c>
      <c r="B742" s="376" t="s">
        <v>1609</v>
      </c>
      <c r="C742" s="376" t="s">
        <v>1054</v>
      </c>
      <c r="D742" s="376">
        <v>2020</v>
      </c>
      <c r="E742" s="376">
        <v>2024</v>
      </c>
      <c r="F742" s="376">
        <v>1</v>
      </c>
      <c r="G742" s="376">
        <v>9489.1171240127242</v>
      </c>
      <c r="H742" s="376">
        <v>0</v>
      </c>
      <c r="I742" s="376">
        <v>1</v>
      </c>
    </row>
    <row r="743" spans="1:9" x14ac:dyDescent="0.35">
      <c r="A743" s="376" t="s">
        <v>1604</v>
      </c>
      <c r="B743" s="376" t="s">
        <v>1609</v>
      </c>
      <c r="C743" s="376" t="s">
        <v>1054</v>
      </c>
      <c r="D743" s="376">
        <v>2020</v>
      </c>
      <c r="E743" s="376">
        <v>2025</v>
      </c>
      <c r="F743" s="376">
        <v>1</v>
      </c>
      <c r="G743" s="376">
        <v>9489.1171240127242</v>
      </c>
      <c r="H743" s="376">
        <v>0</v>
      </c>
      <c r="I743" s="376">
        <v>1</v>
      </c>
    </row>
    <row r="744" spans="1:9" x14ac:dyDescent="0.35">
      <c r="A744" s="376" t="s">
        <v>1604</v>
      </c>
      <c r="B744" s="376" t="s">
        <v>1609</v>
      </c>
      <c r="C744" s="376" t="s">
        <v>1054</v>
      </c>
      <c r="D744" s="376">
        <v>2020</v>
      </c>
      <c r="E744" s="376">
        <v>2026</v>
      </c>
      <c r="F744" s="376">
        <v>1</v>
      </c>
      <c r="G744" s="376">
        <v>9489.1171240127242</v>
      </c>
      <c r="H744" s="376">
        <v>0</v>
      </c>
      <c r="I744" s="376">
        <v>1</v>
      </c>
    </row>
    <row r="745" spans="1:9" x14ac:dyDescent="0.35">
      <c r="A745" s="376" t="s">
        <v>1604</v>
      </c>
      <c r="B745" s="376" t="s">
        <v>1609</v>
      </c>
      <c r="C745" s="376" t="s">
        <v>1054</v>
      </c>
      <c r="D745" s="376">
        <v>2020</v>
      </c>
      <c r="E745" s="376">
        <v>2027</v>
      </c>
      <c r="F745" s="376">
        <v>1</v>
      </c>
      <c r="G745" s="376">
        <v>9489.1171240127242</v>
      </c>
      <c r="H745" s="376">
        <v>0</v>
      </c>
      <c r="I745" s="376">
        <v>1</v>
      </c>
    </row>
    <row r="746" spans="1:9" x14ac:dyDescent="0.35">
      <c r="A746" s="376" t="s">
        <v>1604</v>
      </c>
      <c r="B746" s="376" t="s">
        <v>1609</v>
      </c>
      <c r="C746" s="376" t="s">
        <v>1054</v>
      </c>
      <c r="D746" s="376">
        <v>2020</v>
      </c>
      <c r="E746" s="376">
        <v>2028</v>
      </c>
      <c r="F746" s="376">
        <v>1</v>
      </c>
      <c r="G746" s="376">
        <v>9489.1171240127242</v>
      </c>
      <c r="H746" s="376">
        <v>0</v>
      </c>
      <c r="I746" s="376">
        <v>1</v>
      </c>
    </row>
    <row r="747" spans="1:9" x14ac:dyDescent="0.35">
      <c r="A747" s="376" t="s">
        <v>1604</v>
      </c>
      <c r="B747" s="376" t="s">
        <v>1609</v>
      </c>
      <c r="C747" s="376" t="s">
        <v>1054</v>
      </c>
      <c r="D747" s="376">
        <v>2020</v>
      </c>
      <c r="E747" s="376">
        <v>2029</v>
      </c>
      <c r="F747" s="376">
        <v>1</v>
      </c>
      <c r="G747" s="376">
        <v>9489.1171240127242</v>
      </c>
      <c r="H747" s="376">
        <v>0</v>
      </c>
      <c r="I747" s="376">
        <v>1</v>
      </c>
    </row>
    <row r="748" spans="1:9" x14ac:dyDescent="0.35">
      <c r="A748" s="376" t="s">
        <v>1604</v>
      </c>
      <c r="B748" s="376" t="s">
        <v>1609</v>
      </c>
      <c r="C748" s="376" t="s">
        <v>1054</v>
      </c>
      <c r="D748" s="376">
        <v>2020</v>
      </c>
      <c r="E748" s="376">
        <v>2030</v>
      </c>
      <c r="F748" s="376">
        <v>1</v>
      </c>
      <c r="G748" s="376">
        <v>9489.1171240127242</v>
      </c>
      <c r="H748" s="376">
        <v>0</v>
      </c>
      <c r="I748" s="376">
        <v>1</v>
      </c>
    </row>
    <row r="749" spans="1:9" x14ac:dyDescent="0.35">
      <c r="A749" s="376" t="s">
        <v>1604</v>
      </c>
      <c r="B749" s="376" t="s">
        <v>1609</v>
      </c>
      <c r="C749" s="376" t="s">
        <v>1054</v>
      </c>
      <c r="D749" s="376">
        <v>2020</v>
      </c>
      <c r="E749" s="376">
        <v>2031</v>
      </c>
      <c r="F749" s="376">
        <v>1</v>
      </c>
      <c r="G749" s="376">
        <v>9489.1171240127242</v>
      </c>
      <c r="H749" s="376">
        <v>0</v>
      </c>
      <c r="I749" s="376">
        <v>1</v>
      </c>
    </row>
    <row r="750" spans="1:9" x14ac:dyDescent="0.35">
      <c r="A750" s="376" t="s">
        <v>1603</v>
      </c>
      <c r="B750" s="376" t="s">
        <v>1609</v>
      </c>
      <c r="C750" s="376" t="s">
        <v>1054</v>
      </c>
      <c r="D750" s="376">
        <v>2020</v>
      </c>
      <c r="E750" s="376">
        <v>2021</v>
      </c>
      <c r="F750" s="376">
        <v>1</v>
      </c>
      <c r="G750" s="376">
        <v>7111.1111111111113</v>
      </c>
      <c r="H750" s="376">
        <v>0</v>
      </c>
      <c r="I750" s="376">
        <v>1</v>
      </c>
    </row>
    <row r="751" spans="1:9" x14ac:dyDescent="0.35">
      <c r="A751" s="376" t="s">
        <v>1603</v>
      </c>
      <c r="B751" s="376" t="s">
        <v>1609</v>
      </c>
      <c r="C751" s="376" t="s">
        <v>1054</v>
      </c>
      <c r="D751" s="376">
        <v>2020</v>
      </c>
      <c r="E751" s="376">
        <v>2022</v>
      </c>
      <c r="F751" s="376">
        <v>1</v>
      </c>
      <c r="G751" s="376">
        <v>7111.1111111111113</v>
      </c>
      <c r="H751" s="376">
        <v>0</v>
      </c>
      <c r="I751" s="376">
        <v>1</v>
      </c>
    </row>
    <row r="752" spans="1:9" x14ac:dyDescent="0.35">
      <c r="A752" s="376" t="s">
        <v>1603</v>
      </c>
      <c r="B752" s="376" t="s">
        <v>1609</v>
      </c>
      <c r="C752" s="376" t="s">
        <v>1054</v>
      </c>
      <c r="D752" s="376">
        <v>2020</v>
      </c>
      <c r="E752" s="376">
        <v>2023</v>
      </c>
      <c r="F752" s="376">
        <v>1</v>
      </c>
      <c r="G752" s="376">
        <v>7111.1111111111113</v>
      </c>
      <c r="H752" s="376">
        <v>0</v>
      </c>
      <c r="I752" s="376">
        <v>1</v>
      </c>
    </row>
    <row r="753" spans="1:9" x14ac:dyDescent="0.35">
      <c r="A753" s="376" t="s">
        <v>1603</v>
      </c>
      <c r="B753" s="376" t="s">
        <v>1609</v>
      </c>
      <c r="C753" s="376" t="s">
        <v>1054</v>
      </c>
      <c r="D753" s="376">
        <v>2020</v>
      </c>
      <c r="E753" s="376">
        <v>2024</v>
      </c>
      <c r="F753" s="376">
        <v>1</v>
      </c>
      <c r="G753" s="376">
        <v>7111.1111111111113</v>
      </c>
      <c r="H753" s="376">
        <v>0</v>
      </c>
      <c r="I753" s="376">
        <v>1</v>
      </c>
    </row>
    <row r="754" spans="1:9" x14ac:dyDescent="0.35">
      <c r="A754" s="376" t="s">
        <v>1603</v>
      </c>
      <c r="B754" s="376" t="s">
        <v>1609</v>
      </c>
      <c r="C754" s="376" t="s">
        <v>1054</v>
      </c>
      <c r="D754" s="376">
        <v>2020</v>
      </c>
      <c r="E754" s="376">
        <v>2025</v>
      </c>
      <c r="F754" s="376">
        <v>1</v>
      </c>
      <c r="G754" s="376">
        <v>7111.1111111111113</v>
      </c>
      <c r="H754" s="376">
        <v>0</v>
      </c>
      <c r="I754" s="376">
        <v>1</v>
      </c>
    </row>
    <row r="755" spans="1:9" x14ac:dyDescent="0.35">
      <c r="A755" s="376" t="s">
        <v>1603</v>
      </c>
      <c r="B755" s="376" t="s">
        <v>1609</v>
      </c>
      <c r="C755" s="376" t="s">
        <v>1054</v>
      </c>
      <c r="D755" s="376">
        <v>2020</v>
      </c>
      <c r="E755" s="376">
        <v>2026</v>
      </c>
      <c r="F755" s="376">
        <v>1</v>
      </c>
      <c r="G755" s="376">
        <v>7111.1111111111113</v>
      </c>
      <c r="H755" s="376">
        <v>0</v>
      </c>
      <c r="I755" s="376">
        <v>1</v>
      </c>
    </row>
    <row r="756" spans="1:9" x14ac:dyDescent="0.35">
      <c r="A756" s="376" t="s">
        <v>1603</v>
      </c>
      <c r="B756" s="376" t="s">
        <v>1609</v>
      </c>
      <c r="C756" s="376" t="s">
        <v>1054</v>
      </c>
      <c r="D756" s="376">
        <v>2020</v>
      </c>
      <c r="E756" s="376">
        <v>2027</v>
      </c>
      <c r="F756" s="376">
        <v>1</v>
      </c>
      <c r="G756" s="376">
        <v>7111.1111111111113</v>
      </c>
      <c r="H756" s="376">
        <v>0</v>
      </c>
      <c r="I756" s="376">
        <v>1</v>
      </c>
    </row>
    <row r="757" spans="1:9" x14ac:dyDescent="0.35">
      <c r="A757" s="376" t="s">
        <v>1603</v>
      </c>
      <c r="B757" s="376" t="s">
        <v>1609</v>
      </c>
      <c r="C757" s="376" t="s">
        <v>1054</v>
      </c>
      <c r="D757" s="376">
        <v>2020</v>
      </c>
      <c r="E757" s="376">
        <v>2028</v>
      </c>
      <c r="F757" s="376">
        <v>1</v>
      </c>
      <c r="G757" s="376">
        <v>7111.1111111111113</v>
      </c>
      <c r="H757" s="376">
        <v>0</v>
      </c>
      <c r="I757" s="376">
        <v>1</v>
      </c>
    </row>
    <row r="758" spans="1:9" x14ac:dyDescent="0.35">
      <c r="A758" s="376" t="s">
        <v>1603</v>
      </c>
      <c r="B758" s="376" t="s">
        <v>1609</v>
      </c>
      <c r="C758" s="376" t="s">
        <v>1054</v>
      </c>
      <c r="D758" s="376">
        <v>2020</v>
      </c>
      <c r="E758" s="376">
        <v>2029</v>
      </c>
      <c r="F758" s="376">
        <v>1</v>
      </c>
      <c r="G758" s="376">
        <v>7111.1111111111113</v>
      </c>
      <c r="H758" s="376">
        <v>0</v>
      </c>
      <c r="I758" s="376">
        <v>1</v>
      </c>
    </row>
    <row r="759" spans="1:9" x14ac:dyDescent="0.35">
      <c r="A759" s="376" t="s">
        <v>1603</v>
      </c>
      <c r="B759" s="376" t="s">
        <v>1609</v>
      </c>
      <c r="C759" s="376" t="s">
        <v>1054</v>
      </c>
      <c r="D759" s="376">
        <v>2020</v>
      </c>
      <c r="E759" s="376">
        <v>2030</v>
      </c>
      <c r="F759" s="376">
        <v>1</v>
      </c>
      <c r="G759" s="376">
        <v>7111.1111111111113</v>
      </c>
      <c r="H759" s="376">
        <v>0</v>
      </c>
      <c r="I759" s="376">
        <v>1</v>
      </c>
    </row>
    <row r="760" spans="1:9" x14ac:dyDescent="0.35">
      <c r="A760" s="376" t="s">
        <v>1603</v>
      </c>
      <c r="B760" s="376" t="s">
        <v>1609</v>
      </c>
      <c r="C760" s="376" t="s">
        <v>1054</v>
      </c>
      <c r="D760" s="376">
        <v>2020</v>
      </c>
      <c r="E760" s="376">
        <v>2031</v>
      </c>
      <c r="F760" s="376">
        <v>1</v>
      </c>
      <c r="G760" s="376">
        <v>7111.1111111111113</v>
      </c>
      <c r="H760" s="376">
        <v>0</v>
      </c>
      <c r="I760" s="376">
        <v>1</v>
      </c>
    </row>
    <row r="761" spans="1:9" x14ac:dyDescent="0.35">
      <c r="A761" s="376" t="s">
        <v>1605</v>
      </c>
      <c r="B761" s="376" t="s">
        <v>1609</v>
      </c>
      <c r="C761" s="376" t="s">
        <v>1054</v>
      </c>
      <c r="D761" s="376">
        <v>2020</v>
      </c>
      <c r="E761" s="376">
        <v>2021</v>
      </c>
      <c r="F761" s="376">
        <v>0.23884589662749595</v>
      </c>
      <c r="G761" s="376">
        <v>13398.066756076199</v>
      </c>
      <c r="H761" s="376">
        <v>0</v>
      </c>
      <c r="I761" s="376">
        <v>1</v>
      </c>
    </row>
    <row r="762" spans="1:9" x14ac:dyDescent="0.35">
      <c r="A762" s="376" t="s">
        <v>1605</v>
      </c>
      <c r="B762" s="376" t="s">
        <v>1609</v>
      </c>
      <c r="C762" s="376" t="s">
        <v>1054</v>
      </c>
      <c r="D762" s="376">
        <v>2020</v>
      </c>
      <c r="E762" s="376">
        <v>2022</v>
      </c>
      <c r="F762" s="376">
        <v>0.23884589662749595</v>
      </c>
      <c r="G762" s="376">
        <v>13398.066756076199</v>
      </c>
      <c r="H762" s="376">
        <v>0</v>
      </c>
      <c r="I762" s="376">
        <v>1</v>
      </c>
    </row>
    <row r="763" spans="1:9" x14ac:dyDescent="0.35">
      <c r="A763" s="376" t="s">
        <v>1605</v>
      </c>
      <c r="B763" s="376" t="s">
        <v>1609</v>
      </c>
      <c r="C763" s="376" t="s">
        <v>1054</v>
      </c>
      <c r="D763" s="376">
        <v>2020</v>
      </c>
      <c r="E763" s="376">
        <v>2023</v>
      </c>
      <c r="F763" s="376">
        <v>0.23884589662749595</v>
      </c>
      <c r="G763" s="376">
        <v>13398.066756076199</v>
      </c>
      <c r="H763" s="376">
        <v>0</v>
      </c>
      <c r="I763" s="376">
        <v>1</v>
      </c>
    </row>
    <row r="764" spans="1:9" x14ac:dyDescent="0.35">
      <c r="A764" s="376" t="s">
        <v>1605</v>
      </c>
      <c r="B764" s="376" t="s">
        <v>1609</v>
      </c>
      <c r="C764" s="376" t="s">
        <v>1054</v>
      </c>
      <c r="D764" s="376">
        <v>2020</v>
      </c>
      <c r="E764" s="376">
        <v>2024</v>
      </c>
      <c r="F764" s="376">
        <v>0.23884589662749595</v>
      </c>
      <c r="G764" s="376">
        <v>13398.066756076199</v>
      </c>
      <c r="H764" s="376">
        <v>0</v>
      </c>
      <c r="I764" s="376">
        <v>1</v>
      </c>
    </row>
    <row r="765" spans="1:9" x14ac:dyDescent="0.35">
      <c r="A765" s="376" t="s">
        <v>1605</v>
      </c>
      <c r="B765" s="376" t="s">
        <v>1609</v>
      </c>
      <c r="C765" s="376" t="s">
        <v>1054</v>
      </c>
      <c r="D765" s="376">
        <v>2020</v>
      </c>
      <c r="E765" s="376">
        <v>2025</v>
      </c>
      <c r="F765" s="376">
        <v>0.23884589662749595</v>
      </c>
      <c r="G765" s="376">
        <v>13398.066756076199</v>
      </c>
      <c r="H765" s="376">
        <v>0</v>
      </c>
      <c r="I765" s="376">
        <v>1</v>
      </c>
    </row>
    <row r="766" spans="1:9" x14ac:dyDescent="0.35">
      <c r="A766" s="376" t="s">
        <v>1605</v>
      </c>
      <c r="B766" s="376" t="s">
        <v>1609</v>
      </c>
      <c r="C766" s="376" t="s">
        <v>1054</v>
      </c>
      <c r="D766" s="376">
        <v>2020</v>
      </c>
      <c r="E766" s="376">
        <v>2026</v>
      </c>
      <c r="F766" s="376">
        <v>0.23884589662749595</v>
      </c>
      <c r="G766" s="376">
        <v>13398.066756076199</v>
      </c>
      <c r="H766" s="376">
        <v>0</v>
      </c>
      <c r="I766" s="376">
        <v>1</v>
      </c>
    </row>
    <row r="767" spans="1:9" x14ac:dyDescent="0.35">
      <c r="A767" s="376" t="s">
        <v>1605</v>
      </c>
      <c r="B767" s="376" t="s">
        <v>1609</v>
      </c>
      <c r="C767" s="376" t="s">
        <v>1054</v>
      </c>
      <c r="D767" s="376">
        <v>2020</v>
      </c>
      <c r="E767" s="376">
        <v>2027</v>
      </c>
      <c r="F767" s="376">
        <v>0.23884589662749595</v>
      </c>
      <c r="G767" s="376">
        <v>13398.066756076199</v>
      </c>
      <c r="H767" s="376">
        <v>0</v>
      </c>
      <c r="I767" s="376">
        <v>1</v>
      </c>
    </row>
    <row r="768" spans="1:9" x14ac:dyDescent="0.35">
      <c r="A768" s="376" t="s">
        <v>1605</v>
      </c>
      <c r="B768" s="376" t="s">
        <v>1609</v>
      </c>
      <c r="C768" s="376" t="s">
        <v>1054</v>
      </c>
      <c r="D768" s="376">
        <v>2020</v>
      </c>
      <c r="E768" s="376">
        <v>2028</v>
      </c>
      <c r="F768" s="376">
        <v>0.23884589662749595</v>
      </c>
      <c r="G768" s="376">
        <v>13398.066756076199</v>
      </c>
      <c r="H768" s="376">
        <v>0</v>
      </c>
      <c r="I768" s="376">
        <v>1</v>
      </c>
    </row>
    <row r="769" spans="1:9" x14ac:dyDescent="0.35">
      <c r="A769" s="376" t="s">
        <v>1605</v>
      </c>
      <c r="B769" s="376" t="s">
        <v>1609</v>
      </c>
      <c r="C769" s="376" t="s">
        <v>1054</v>
      </c>
      <c r="D769" s="376">
        <v>2020</v>
      </c>
      <c r="E769" s="376">
        <v>2029</v>
      </c>
      <c r="F769" s="376">
        <v>0.23884589662749595</v>
      </c>
      <c r="G769" s="376">
        <v>13398.066756076199</v>
      </c>
      <c r="H769" s="376">
        <v>0</v>
      </c>
      <c r="I769" s="376">
        <v>1</v>
      </c>
    </row>
    <row r="770" spans="1:9" x14ac:dyDescent="0.35">
      <c r="A770" s="376" t="s">
        <v>1605</v>
      </c>
      <c r="B770" s="376" t="s">
        <v>1609</v>
      </c>
      <c r="C770" s="376" t="s">
        <v>1054</v>
      </c>
      <c r="D770" s="376">
        <v>2020</v>
      </c>
      <c r="E770" s="376">
        <v>2030</v>
      </c>
      <c r="F770" s="376">
        <v>0.23884589662749595</v>
      </c>
      <c r="G770" s="376">
        <v>13398.066756076199</v>
      </c>
      <c r="H770" s="376">
        <v>0</v>
      </c>
      <c r="I770" s="376">
        <v>1</v>
      </c>
    </row>
    <row r="771" spans="1:9" x14ac:dyDescent="0.35">
      <c r="A771" s="376" t="s">
        <v>1605</v>
      </c>
      <c r="B771" s="376" t="s">
        <v>1609</v>
      </c>
      <c r="C771" s="376" t="s">
        <v>1054</v>
      </c>
      <c r="D771" s="376">
        <v>2020</v>
      </c>
      <c r="E771" s="376">
        <v>2031</v>
      </c>
      <c r="F771" s="376">
        <v>0.23884589662749595</v>
      </c>
      <c r="G771" s="376">
        <v>13398.066756076199</v>
      </c>
      <c r="H771" s="376">
        <v>0</v>
      </c>
      <c r="I771" s="376">
        <v>1</v>
      </c>
    </row>
    <row r="772" spans="1:9" x14ac:dyDescent="0.35">
      <c r="A772" s="376" t="s">
        <v>1636</v>
      </c>
      <c r="B772" s="376" t="s">
        <v>1609</v>
      </c>
      <c r="C772" s="376" t="s">
        <v>1054</v>
      </c>
      <c r="D772" s="376">
        <v>2020</v>
      </c>
      <c r="E772" s="376">
        <v>2021</v>
      </c>
      <c r="F772" s="376">
        <v>1</v>
      </c>
      <c r="G772" s="376">
        <v>12207.727097566041</v>
      </c>
      <c r="H772" s="376">
        <v>0</v>
      </c>
      <c r="I772" s="376">
        <v>1</v>
      </c>
    </row>
    <row r="773" spans="1:9" x14ac:dyDescent="0.35">
      <c r="A773" s="376" t="s">
        <v>1636</v>
      </c>
      <c r="B773" s="376" t="s">
        <v>1609</v>
      </c>
      <c r="C773" s="376" t="s">
        <v>1054</v>
      </c>
      <c r="D773" s="376">
        <v>2020</v>
      </c>
      <c r="E773" s="376">
        <v>2022</v>
      </c>
      <c r="F773" s="376">
        <v>1</v>
      </c>
      <c r="G773" s="376">
        <v>11719.418013663399</v>
      </c>
      <c r="H773" s="376">
        <v>0</v>
      </c>
      <c r="I773" s="376">
        <v>1</v>
      </c>
    </row>
    <row r="774" spans="1:9" x14ac:dyDescent="0.35">
      <c r="A774" s="376" t="s">
        <v>1636</v>
      </c>
      <c r="B774" s="376" t="s">
        <v>1609</v>
      </c>
      <c r="C774" s="376" t="s">
        <v>1054</v>
      </c>
      <c r="D774" s="376">
        <v>2020</v>
      </c>
      <c r="E774" s="376">
        <v>2023</v>
      </c>
      <c r="F774" s="376">
        <v>1</v>
      </c>
      <c r="G774" s="376">
        <v>11250.641293116862</v>
      </c>
      <c r="H774" s="376">
        <v>0</v>
      </c>
      <c r="I774" s="376">
        <v>1</v>
      </c>
    </row>
    <row r="775" spans="1:9" x14ac:dyDescent="0.35">
      <c r="A775" s="376" t="s">
        <v>1636</v>
      </c>
      <c r="B775" s="376" t="s">
        <v>1609</v>
      </c>
      <c r="C775" s="376" t="s">
        <v>1054</v>
      </c>
      <c r="D775" s="376">
        <v>2020</v>
      </c>
      <c r="E775" s="376">
        <v>2024</v>
      </c>
      <c r="F775" s="376">
        <v>1</v>
      </c>
      <c r="G775" s="376">
        <v>10800.615641392187</v>
      </c>
      <c r="H775" s="376">
        <v>0</v>
      </c>
      <c r="I775" s="376">
        <v>1</v>
      </c>
    </row>
    <row r="776" spans="1:9" x14ac:dyDescent="0.35">
      <c r="A776" s="376" t="s">
        <v>1636</v>
      </c>
      <c r="B776" s="376" t="s">
        <v>1609</v>
      </c>
      <c r="C776" s="376" t="s">
        <v>1054</v>
      </c>
      <c r="D776" s="376">
        <v>2020</v>
      </c>
      <c r="E776" s="376">
        <v>2025</v>
      </c>
      <c r="F776" s="376">
        <v>1</v>
      </c>
      <c r="G776" s="376">
        <v>10368.5910157365</v>
      </c>
      <c r="H776" s="376">
        <v>0</v>
      </c>
      <c r="I776" s="376">
        <v>1</v>
      </c>
    </row>
    <row r="777" spans="1:9" x14ac:dyDescent="0.35">
      <c r="A777" s="376" t="s">
        <v>1636</v>
      </c>
      <c r="B777" s="376" t="s">
        <v>1609</v>
      </c>
      <c r="C777" s="376" t="s">
        <v>1054</v>
      </c>
      <c r="D777" s="376">
        <v>2020</v>
      </c>
      <c r="E777" s="376">
        <v>2026</v>
      </c>
      <c r="F777" s="376">
        <v>1</v>
      </c>
      <c r="G777" s="376">
        <v>9953.8473751070396</v>
      </c>
      <c r="H777" s="376">
        <v>0</v>
      </c>
      <c r="I777" s="376">
        <v>1</v>
      </c>
    </row>
    <row r="778" spans="1:9" x14ac:dyDescent="0.35">
      <c r="A778" s="376" t="s">
        <v>1636</v>
      </c>
      <c r="B778" s="376" t="s">
        <v>1609</v>
      </c>
      <c r="C778" s="376" t="s">
        <v>1054</v>
      </c>
      <c r="D778" s="376">
        <v>2020</v>
      </c>
      <c r="E778" s="376">
        <v>2027</v>
      </c>
      <c r="F778" s="376">
        <v>1</v>
      </c>
      <c r="G778" s="376">
        <v>9555.6934801027583</v>
      </c>
      <c r="H778" s="376">
        <v>0</v>
      </c>
      <c r="I778" s="376">
        <v>1</v>
      </c>
    </row>
    <row r="779" spans="1:9" x14ac:dyDescent="0.35">
      <c r="A779" s="376" t="s">
        <v>1636</v>
      </c>
      <c r="B779" s="376" t="s">
        <v>1609</v>
      </c>
      <c r="C779" s="376" t="s">
        <v>1054</v>
      </c>
      <c r="D779" s="376">
        <v>2020</v>
      </c>
      <c r="E779" s="376">
        <v>2028</v>
      </c>
      <c r="F779" s="376">
        <v>1</v>
      </c>
      <c r="G779" s="376">
        <v>9173.4657408986477</v>
      </c>
      <c r="H779" s="376">
        <v>0</v>
      </c>
      <c r="I779" s="376">
        <v>1</v>
      </c>
    </row>
    <row r="780" spans="1:9" x14ac:dyDescent="0.35">
      <c r="A780" s="376" t="s">
        <v>1636</v>
      </c>
      <c r="B780" s="376" t="s">
        <v>1609</v>
      </c>
      <c r="C780" s="376" t="s">
        <v>1054</v>
      </c>
      <c r="D780" s="376">
        <v>2020</v>
      </c>
      <c r="E780" s="376">
        <v>2029</v>
      </c>
      <c r="F780" s="376">
        <v>1</v>
      </c>
      <c r="G780" s="376">
        <v>8806.5271112627015</v>
      </c>
      <c r="H780" s="376">
        <v>0</v>
      </c>
      <c r="I780" s="376">
        <v>1</v>
      </c>
    </row>
    <row r="781" spans="1:9" x14ac:dyDescent="0.35">
      <c r="A781" s="376" t="s">
        <v>1636</v>
      </c>
      <c r="B781" s="376" t="s">
        <v>1609</v>
      </c>
      <c r="C781" s="376" t="s">
        <v>1054</v>
      </c>
      <c r="D781" s="376">
        <v>2020</v>
      </c>
      <c r="E781" s="376">
        <v>2030</v>
      </c>
      <c r="F781" s="376">
        <v>1</v>
      </c>
      <c r="G781" s="376">
        <v>8454.2660268121926</v>
      </c>
      <c r="H781" s="376">
        <v>0</v>
      </c>
      <c r="I781" s="376">
        <v>1</v>
      </c>
    </row>
    <row r="782" spans="1:9" x14ac:dyDescent="0.35">
      <c r="A782" s="376" t="s">
        <v>1636</v>
      </c>
      <c r="B782" s="376" t="s">
        <v>1609</v>
      </c>
      <c r="C782" s="376" t="s">
        <v>1054</v>
      </c>
      <c r="D782" s="376">
        <v>2020</v>
      </c>
      <c r="E782" s="376">
        <v>2031</v>
      </c>
      <c r="F782" s="376">
        <v>1</v>
      </c>
      <c r="G782" s="376">
        <v>8116.0953857397044</v>
      </c>
      <c r="H782" s="376">
        <v>0</v>
      </c>
      <c r="I782" s="376">
        <v>1</v>
      </c>
    </row>
    <row r="783" spans="1:9" x14ac:dyDescent="0.35">
      <c r="A783" s="376" t="s">
        <v>1612</v>
      </c>
      <c r="B783" s="376" t="s">
        <v>1609</v>
      </c>
      <c r="C783" s="376" t="s">
        <v>1046</v>
      </c>
      <c r="D783" s="376">
        <v>2021</v>
      </c>
      <c r="E783" s="376">
        <v>2021</v>
      </c>
      <c r="F783" s="376">
        <v>0.37384575124303709</v>
      </c>
      <c r="G783" s="376">
        <v>9928.6887826901675</v>
      </c>
      <c r="H783" s="376">
        <v>0.25416153763803245</v>
      </c>
      <c r="I783" s="376">
        <v>0.85</v>
      </c>
    </row>
    <row r="784" spans="1:9" x14ac:dyDescent="0.35">
      <c r="A784" s="376" t="s">
        <v>1612</v>
      </c>
      <c r="B784" s="376" t="s">
        <v>1609</v>
      </c>
      <c r="C784" s="376" t="s">
        <v>644</v>
      </c>
      <c r="D784" s="376">
        <v>2021</v>
      </c>
      <c r="E784" s="376">
        <v>2021</v>
      </c>
      <c r="F784" s="376">
        <v>0.37384575124303709</v>
      </c>
      <c r="G784" s="376">
        <v>9928.6887826901675</v>
      </c>
      <c r="H784" s="376">
        <v>0.25416153763803245</v>
      </c>
      <c r="I784" s="376">
        <v>0.85</v>
      </c>
    </row>
    <row r="785" spans="1:9" x14ac:dyDescent="0.35">
      <c r="A785" s="376" t="s">
        <v>1612</v>
      </c>
      <c r="B785" s="376" t="s">
        <v>1609</v>
      </c>
      <c r="C785" s="376" t="s">
        <v>628</v>
      </c>
      <c r="D785" s="376">
        <v>2021</v>
      </c>
      <c r="E785" s="376">
        <v>2021</v>
      </c>
      <c r="F785" s="376">
        <v>0.37384575124303709</v>
      </c>
      <c r="G785" s="376">
        <v>9928.6887826901675</v>
      </c>
      <c r="H785" s="376">
        <v>0.25416153763803245</v>
      </c>
      <c r="I785" s="376">
        <v>0.85</v>
      </c>
    </row>
    <row r="786" spans="1:9" x14ac:dyDescent="0.35">
      <c r="A786" s="376" t="s">
        <v>1612</v>
      </c>
      <c r="B786" s="376" t="s">
        <v>1609</v>
      </c>
      <c r="C786" s="376" t="s">
        <v>1051</v>
      </c>
      <c r="D786" s="376">
        <v>2021</v>
      </c>
      <c r="E786" s="376">
        <v>2021</v>
      </c>
      <c r="F786" s="376">
        <v>0.37384575124303709</v>
      </c>
      <c r="G786" s="376">
        <v>9928.6887826901675</v>
      </c>
      <c r="H786" s="376">
        <v>0.25416153763803245</v>
      </c>
      <c r="I786" s="376">
        <v>0.85</v>
      </c>
    </row>
    <row r="787" spans="1:9" x14ac:dyDescent="0.35">
      <c r="A787" s="376" t="s">
        <v>1612</v>
      </c>
      <c r="B787" s="376" t="s">
        <v>1609</v>
      </c>
      <c r="C787" s="376" t="s">
        <v>1054</v>
      </c>
      <c r="D787" s="376">
        <v>2021</v>
      </c>
      <c r="E787" s="376">
        <v>2021</v>
      </c>
      <c r="F787" s="376">
        <v>0.37384575124303709</v>
      </c>
      <c r="G787" s="376">
        <v>9928.6887826901675</v>
      </c>
      <c r="H787" s="376">
        <v>0.25416153763803245</v>
      </c>
      <c r="I787" s="376">
        <v>0.85</v>
      </c>
    </row>
    <row r="788" spans="1:9" x14ac:dyDescent="0.35">
      <c r="A788" s="376" t="s">
        <v>1612</v>
      </c>
      <c r="B788" s="376" t="s">
        <v>1609</v>
      </c>
      <c r="C788" s="376" t="s">
        <v>1046</v>
      </c>
      <c r="D788" s="376">
        <v>2021</v>
      </c>
      <c r="E788" s="376">
        <v>2022</v>
      </c>
      <c r="F788" s="376">
        <v>0.37384575124303709</v>
      </c>
      <c r="G788" s="376">
        <v>9928.6887826901675</v>
      </c>
      <c r="H788" s="376">
        <v>0.25416153763803245</v>
      </c>
      <c r="I788" s="376">
        <v>0.85</v>
      </c>
    </row>
    <row r="789" spans="1:9" x14ac:dyDescent="0.35">
      <c r="A789" s="376" t="s">
        <v>1612</v>
      </c>
      <c r="B789" s="376" t="s">
        <v>1609</v>
      </c>
      <c r="C789" s="376" t="s">
        <v>644</v>
      </c>
      <c r="D789" s="376">
        <v>2021</v>
      </c>
      <c r="E789" s="376">
        <v>2022</v>
      </c>
      <c r="F789" s="376">
        <v>0.37384575124303709</v>
      </c>
      <c r="G789" s="376">
        <v>9928.6887826901675</v>
      </c>
      <c r="H789" s="376">
        <v>0.25416153763803245</v>
      </c>
      <c r="I789" s="376">
        <v>0.85</v>
      </c>
    </row>
    <row r="790" spans="1:9" x14ac:dyDescent="0.35">
      <c r="A790" s="376" t="s">
        <v>1612</v>
      </c>
      <c r="B790" s="376" t="s">
        <v>1609</v>
      </c>
      <c r="C790" s="376" t="s">
        <v>628</v>
      </c>
      <c r="D790" s="376">
        <v>2021</v>
      </c>
      <c r="E790" s="376">
        <v>2022</v>
      </c>
      <c r="F790" s="376">
        <v>0.37384575124303709</v>
      </c>
      <c r="G790" s="376">
        <v>9928.6887826901675</v>
      </c>
      <c r="H790" s="376">
        <v>0.25416153763803245</v>
      </c>
      <c r="I790" s="376">
        <v>0.85</v>
      </c>
    </row>
    <row r="791" spans="1:9" x14ac:dyDescent="0.35">
      <c r="A791" s="376" t="s">
        <v>1612</v>
      </c>
      <c r="B791" s="376" t="s">
        <v>1609</v>
      </c>
      <c r="C791" s="376" t="s">
        <v>1051</v>
      </c>
      <c r="D791" s="376">
        <v>2021</v>
      </c>
      <c r="E791" s="376">
        <v>2022</v>
      </c>
      <c r="F791" s="376">
        <v>0.37384575124303709</v>
      </c>
      <c r="G791" s="376">
        <v>9928.6887826901675</v>
      </c>
      <c r="H791" s="376">
        <v>0.25416153763803245</v>
      </c>
      <c r="I791" s="376">
        <v>0.85</v>
      </c>
    </row>
    <row r="792" spans="1:9" x14ac:dyDescent="0.35">
      <c r="A792" s="376" t="s">
        <v>1612</v>
      </c>
      <c r="B792" s="376" t="s">
        <v>1609</v>
      </c>
      <c r="C792" s="376" t="s">
        <v>1054</v>
      </c>
      <c r="D792" s="376">
        <v>2021</v>
      </c>
      <c r="E792" s="376">
        <v>2022</v>
      </c>
      <c r="F792" s="376">
        <v>0.37384575124303709</v>
      </c>
      <c r="G792" s="376">
        <v>9928.6887826901675</v>
      </c>
      <c r="H792" s="376">
        <v>0.25416153763803245</v>
      </c>
      <c r="I792" s="376">
        <v>0.85</v>
      </c>
    </row>
    <row r="793" spans="1:9" x14ac:dyDescent="0.35">
      <c r="A793" s="376" t="s">
        <v>1612</v>
      </c>
      <c r="B793" s="376" t="s">
        <v>1609</v>
      </c>
      <c r="C793" s="376" t="s">
        <v>1046</v>
      </c>
      <c r="D793" s="376">
        <v>2021</v>
      </c>
      <c r="E793" s="376">
        <v>2023</v>
      </c>
      <c r="F793" s="376">
        <v>0.37384575124303709</v>
      </c>
      <c r="G793" s="376">
        <v>9928.6887826901675</v>
      </c>
      <c r="H793" s="376">
        <v>0.25416153763803245</v>
      </c>
      <c r="I793" s="376">
        <v>0.85</v>
      </c>
    </row>
    <row r="794" spans="1:9" x14ac:dyDescent="0.35">
      <c r="A794" s="376" t="s">
        <v>1612</v>
      </c>
      <c r="B794" s="376" t="s">
        <v>1609</v>
      </c>
      <c r="C794" s="376" t="s">
        <v>644</v>
      </c>
      <c r="D794" s="376">
        <v>2021</v>
      </c>
      <c r="E794" s="376">
        <v>2023</v>
      </c>
      <c r="F794" s="376">
        <v>0.37384575124303709</v>
      </c>
      <c r="G794" s="376">
        <v>9928.6887826901675</v>
      </c>
      <c r="H794" s="376">
        <v>0.25416153763803245</v>
      </c>
      <c r="I794" s="376">
        <v>0.85</v>
      </c>
    </row>
    <row r="795" spans="1:9" x14ac:dyDescent="0.35">
      <c r="A795" s="376" t="s">
        <v>1612</v>
      </c>
      <c r="B795" s="376" t="s">
        <v>1609</v>
      </c>
      <c r="C795" s="376" t="s">
        <v>628</v>
      </c>
      <c r="D795" s="376">
        <v>2021</v>
      </c>
      <c r="E795" s="376">
        <v>2023</v>
      </c>
      <c r="F795" s="376">
        <v>0.37384575124303709</v>
      </c>
      <c r="G795" s="376">
        <v>9928.6887826901675</v>
      </c>
      <c r="H795" s="376">
        <v>0.25416153763803245</v>
      </c>
      <c r="I795" s="376">
        <v>0.85</v>
      </c>
    </row>
    <row r="796" spans="1:9" x14ac:dyDescent="0.35">
      <c r="A796" s="376" t="s">
        <v>1612</v>
      </c>
      <c r="B796" s="376" t="s">
        <v>1609</v>
      </c>
      <c r="C796" s="376" t="s">
        <v>1051</v>
      </c>
      <c r="D796" s="376">
        <v>2021</v>
      </c>
      <c r="E796" s="376">
        <v>2023</v>
      </c>
      <c r="F796" s="376">
        <v>0.37384575124303709</v>
      </c>
      <c r="G796" s="376">
        <v>9928.6887826901675</v>
      </c>
      <c r="H796" s="376">
        <v>0.25416153763803245</v>
      </c>
      <c r="I796" s="376">
        <v>0.85</v>
      </c>
    </row>
    <row r="797" spans="1:9" x14ac:dyDescent="0.35">
      <c r="A797" s="376" t="s">
        <v>1612</v>
      </c>
      <c r="B797" s="376" t="s">
        <v>1609</v>
      </c>
      <c r="C797" s="376" t="s">
        <v>1054</v>
      </c>
      <c r="D797" s="376">
        <v>2021</v>
      </c>
      <c r="E797" s="376">
        <v>2023</v>
      </c>
      <c r="F797" s="376">
        <v>0.37384575124303709</v>
      </c>
      <c r="G797" s="376">
        <v>9928.6887826901675</v>
      </c>
      <c r="H797" s="376">
        <v>0.25416153763803245</v>
      </c>
      <c r="I797" s="376">
        <v>0.85</v>
      </c>
    </row>
    <row r="798" spans="1:9" x14ac:dyDescent="0.35">
      <c r="A798" s="376" t="s">
        <v>1612</v>
      </c>
      <c r="B798" s="376" t="s">
        <v>1609</v>
      </c>
      <c r="C798" s="376" t="s">
        <v>1046</v>
      </c>
      <c r="D798" s="376">
        <v>2021</v>
      </c>
      <c r="E798" s="376">
        <v>2024</v>
      </c>
      <c r="F798" s="376">
        <v>0.37384575124303709</v>
      </c>
      <c r="G798" s="376">
        <v>9928.6887826901675</v>
      </c>
      <c r="H798" s="376">
        <v>0.25416153763803245</v>
      </c>
      <c r="I798" s="376">
        <v>0.85</v>
      </c>
    </row>
    <row r="799" spans="1:9" x14ac:dyDescent="0.35">
      <c r="A799" s="376" t="s">
        <v>1612</v>
      </c>
      <c r="B799" s="376" t="s">
        <v>1609</v>
      </c>
      <c r="C799" s="376" t="s">
        <v>644</v>
      </c>
      <c r="D799" s="376">
        <v>2021</v>
      </c>
      <c r="E799" s="376">
        <v>2024</v>
      </c>
      <c r="F799" s="376">
        <v>0.37384575124303709</v>
      </c>
      <c r="G799" s="376">
        <v>9928.6887826901675</v>
      </c>
      <c r="H799" s="376">
        <v>0.25416153763803245</v>
      </c>
      <c r="I799" s="376">
        <v>0.85</v>
      </c>
    </row>
    <row r="800" spans="1:9" x14ac:dyDescent="0.35">
      <c r="A800" s="376" t="s">
        <v>1612</v>
      </c>
      <c r="B800" s="376" t="s">
        <v>1609</v>
      </c>
      <c r="C800" s="376" t="s">
        <v>628</v>
      </c>
      <c r="D800" s="376">
        <v>2021</v>
      </c>
      <c r="E800" s="376">
        <v>2024</v>
      </c>
      <c r="F800" s="376">
        <v>0.37384575124303709</v>
      </c>
      <c r="G800" s="376">
        <v>9928.6887826901675</v>
      </c>
      <c r="H800" s="376">
        <v>0.25416153763803245</v>
      </c>
      <c r="I800" s="376">
        <v>0.85</v>
      </c>
    </row>
    <row r="801" spans="1:9" x14ac:dyDescent="0.35">
      <c r="A801" s="376" t="s">
        <v>1612</v>
      </c>
      <c r="B801" s="376" t="s">
        <v>1609</v>
      </c>
      <c r="C801" s="376" t="s">
        <v>1051</v>
      </c>
      <c r="D801" s="376">
        <v>2021</v>
      </c>
      <c r="E801" s="376">
        <v>2024</v>
      </c>
      <c r="F801" s="376">
        <v>0.37384575124303709</v>
      </c>
      <c r="G801" s="376">
        <v>9928.6887826901675</v>
      </c>
      <c r="H801" s="376">
        <v>0.25416153763803245</v>
      </c>
      <c r="I801" s="376">
        <v>0.85</v>
      </c>
    </row>
    <row r="802" spans="1:9" x14ac:dyDescent="0.35">
      <c r="A802" s="376" t="s">
        <v>1612</v>
      </c>
      <c r="B802" s="376" t="s">
        <v>1609</v>
      </c>
      <c r="C802" s="376" t="s">
        <v>1054</v>
      </c>
      <c r="D802" s="376">
        <v>2021</v>
      </c>
      <c r="E802" s="376">
        <v>2024</v>
      </c>
      <c r="F802" s="376">
        <v>0.37384575124303709</v>
      </c>
      <c r="G802" s="376">
        <v>9928.6887826901675</v>
      </c>
      <c r="H802" s="376">
        <v>0.25416153763803245</v>
      </c>
      <c r="I802" s="376">
        <v>0.85</v>
      </c>
    </row>
    <row r="803" spans="1:9" x14ac:dyDescent="0.35">
      <c r="A803" s="376" t="s">
        <v>1612</v>
      </c>
      <c r="B803" s="376" t="s">
        <v>1609</v>
      </c>
      <c r="C803" s="376" t="s">
        <v>1046</v>
      </c>
      <c r="D803" s="376">
        <v>2021</v>
      </c>
      <c r="E803" s="376">
        <v>2025</v>
      </c>
      <c r="F803" s="376">
        <v>0.37384575124303709</v>
      </c>
      <c r="G803" s="376">
        <v>9928.6887826901675</v>
      </c>
      <c r="H803" s="376">
        <v>0.25416153763803245</v>
      </c>
      <c r="I803" s="376">
        <v>0.85</v>
      </c>
    </row>
    <row r="804" spans="1:9" x14ac:dyDescent="0.35">
      <c r="A804" s="376" t="s">
        <v>1612</v>
      </c>
      <c r="B804" s="376" t="s">
        <v>1609</v>
      </c>
      <c r="C804" s="376" t="s">
        <v>644</v>
      </c>
      <c r="D804" s="376">
        <v>2021</v>
      </c>
      <c r="E804" s="376">
        <v>2025</v>
      </c>
      <c r="F804" s="376">
        <v>0.37384575124303709</v>
      </c>
      <c r="G804" s="376">
        <v>9928.6887826901675</v>
      </c>
      <c r="H804" s="376">
        <v>0.25416153763803245</v>
      </c>
      <c r="I804" s="376">
        <v>0.85</v>
      </c>
    </row>
    <row r="805" spans="1:9" x14ac:dyDescent="0.35">
      <c r="A805" s="376" t="s">
        <v>1612</v>
      </c>
      <c r="B805" s="376" t="s">
        <v>1609</v>
      </c>
      <c r="C805" s="376" t="s">
        <v>628</v>
      </c>
      <c r="D805" s="376">
        <v>2021</v>
      </c>
      <c r="E805" s="376">
        <v>2025</v>
      </c>
      <c r="F805" s="376">
        <v>0.37384575124303709</v>
      </c>
      <c r="G805" s="376">
        <v>9928.6887826901675</v>
      </c>
      <c r="H805" s="376">
        <v>0.25416153763803245</v>
      </c>
      <c r="I805" s="376">
        <v>0.85</v>
      </c>
    </row>
    <row r="806" spans="1:9" x14ac:dyDescent="0.35">
      <c r="A806" s="376" t="s">
        <v>1612</v>
      </c>
      <c r="B806" s="376" t="s">
        <v>1609</v>
      </c>
      <c r="C806" s="376" t="s">
        <v>1051</v>
      </c>
      <c r="D806" s="376">
        <v>2021</v>
      </c>
      <c r="E806" s="376">
        <v>2025</v>
      </c>
      <c r="F806" s="376">
        <v>0.37384575124303709</v>
      </c>
      <c r="G806" s="376">
        <v>9928.6887826901675</v>
      </c>
      <c r="H806" s="376">
        <v>0.25416153763803245</v>
      </c>
      <c r="I806" s="376">
        <v>0.85</v>
      </c>
    </row>
    <row r="807" spans="1:9" x14ac:dyDescent="0.35">
      <c r="A807" s="376" t="s">
        <v>1612</v>
      </c>
      <c r="B807" s="376" t="s">
        <v>1609</v>
      </c>
      <c r="C807" s="376" t="s">
        <v>1054</v>
      </c>
      <c r="D807" s="376">
        <v>2021</v>
      </c>
      <c r="E807" s="376">
        <v>2025</v>
      </c>
      <c r="F807" s="376">
        <v>0.37384575124303709</v>
      </c>
      <c r="G807" s="376">
        <v>9928.6887826901675</v>
      </c>
      <c r="H807" s="376">
        <v>0.25416153763803245</v>
      </c>
      <c r="I807" s="376">
        <v>0.85</v>
      </c>
    </row>
    <row r="808" spans="1:9" x14ac:dyDescent="0.35">
      <c r="A808" s="376" t="s">
        <v>1612</v>
      </c>
      <c r="B808" s="376" t="s">
        <v>1609</v>
      </c>
      <c r="C808" s="376" t="s">
        <v>1046</v>
      </c>
      <c r="D808" s="376">
        <v>2021</v>
      </c>
      <c r="E808" s="376">
        <v>2026</v>
      </c>
      <c r="F808" s="376">
        <v>0.37384575124303709</v>
      </c>
      <c r="G808" s="376">
        <v>9928.6887826901675</v>
      </c>
      <c r="H808" s="376">
        <v>0.25416153763803245</v>
      </c>
      <c r="I808" s="376">
        <v>0.85</v>
      </c>
    </row>
    <row r="809" spans="1:9" x14ac:dyDescent="0.35">
      <c r="A809" s="376" t="s">
        <v>1612</v>
      </c>
      <c r="B809" s="376" t="s">
        <v>1609</v>
      </c>
      <c r="C809" s="376" t="s">
        <v>644</v>
      </c>
      <c r="D809" s="376">
        <v>2021</v>
      </c>
      <c r="E809" s="376">
        <v>2026</v>
      </c>
      <c r="F809" s="376">
        <v>0.37384575124303709</v>
      </c>
      <c r="G809" s="376">
        <v>9928.6887826901675</v>
      </c>
      <c r="H809" s="376">
        <v>0.25416153763803245</v>
      </c>
      <c r="I809" s="376">
        <v>0.85</v>
      </c>
    </row>
    <row r="810" spans="1:9" x14ac:dyDescent="0.35">
      <c r="A810" s="376" t="s">
        <v>1612</v>
      </c>
      <c r="B810" s="376" t="s">
        <v>1609</v>
      </c>
      <c r="C810" s="376" t="s">
        <v>628</v>
      </c>
      <c r="D810" s="376">
        <v>2021</v>
      </c>
      <c r="E810" s="376">
        <v>2026</v>
      </c>
      <c r="F810" s="376">
        <v>0.37384575124303709</v>
      </c>
      <c r="G810" s="376">
        <v>9928.6887826901675</v>
      </c>
      <c r="H810" s="376">
        <v>0.25416153763803245</v>
      </c>
      <c r="I810" s="376">
        <v>0.85</v>
      </c>
    </row>
    <row r="811" spans="1:9" x14ac:dyDescent="0.35">
      <c r="A811" s="376" t="s">
        <v>1612</v>
      </c>
      <c r="B811" s="376" t="s">
        <v>1609</v>
      </c>
      <c r="C811" s="376" t="s">
        <v>1051</v>
      </c>
      <c r="D811" s="376">
        <v>2021</v>
      </c>
      <c r="E811" s="376">
        <v>2026</v>
      </c>
      <c r="F811" s="376">
        <v>0.37384575124303709</v>
      </c>
      <c r="G811" s="376">
        <v>9928.6887826901675</v>
      </c>
      <c r="H811" s="376">
        <v>0.25416153763803245</v>
      </c>
      <c r="I811" s="376">
        <v>0.85</v>
      </c>
    </row>
    <row r="812" spans="1:9" x14ac:dyDescent="0.35">
      <c r="A812" s="376" t="s">
        <v>1612</v>
      </c>
      <c r="B812" s="376" t="s">
        <v>1609</v>
      </c>
      <c r="C812" s="376" t="s">
        <v>1054</v>
      </c>
      <c r="D812" s="376">
        <v>2021</v>
      </c>
      <c r="E812" s="376">
        <v>2026</v>
      </c>
      <c r="F812" s="376">
        <v>0.37384575124303709</v>
      </c>
      <c r="G812" s="376">
        <v>9928.6887826901675</v>
      </c>
      <c r="H812" s="376">
        <v>0.25416153763803245</v>
      </c>
      <c r="I812" s="376">
        <v>0.85</v>
      </c>
    </row>
    <row r="813" spans="1:9" x14ac:dyDescent="0.35">
      <c r="A813" s="376" t="s">
        <v>1612</v>
      </c>
      <c r="B813" s="376" t="s">
        <v>1609</v>
      </c>
      <c r="C813" s="376" t="s">
        <v>1046</v>
      </c>
      <c r="D813" s="376">
        <v>2021</v>
      </c>
      <c r="E813" s="376">
        <v>2027</v>
      </c>
      <c r="F813" s="376">
        <v>0.37384575124303709</v>
      </c>
      <c r="G813" s="376">
        <v>9928.6887826901675</v>
      </c>
      <c r="H813" s="376">
        <v>0.25416153763803245</v>
      </c>
      <c r="I813" s="376">
        <v>0.85</v>
      </c>
    </row>
    <row r="814" spans="1:9" x14ac:dyDescent="0.35">
      <c r="A814" s="376" t="s">
        <v>1612</v>
      </c>
      <c r="B814" s="376" t="s">
        <v>1609</v>
      </c>
      <c r="C814" s="376" t="s">
        <v>644</v>
      </c>
      <c r="D814" s="376">
        <v>2021</v>
      </c>
      <c r="E814" s="376">
        <v>2027</v>
      </c>
      <c r="F814" s="376">
        <v>0.37384575124303709</v>
      </c>
      <c r="G814" s="376">
        <v>9928.6887826901675</v>
      </c>
      <c r="H814" s="376">
        <v>0.25416153763803245</v>
      </c>
      <c r="I814" s="376">
        <v>0.85</v>
      </c>
    </row>
    <row r="815" spans="1:9" x14ac:dyDescent="0.35">
      <c r="A815" s="376" t="s">
        <v>1612</v>
      </c>
      <c r="B815" s="376" t="s">
        <v>1609</v>
      </c>
      <c r="C815" s="376" t="s">
        <v>628</v>
      </c>
      <c r="D815" s="376">
        <v>2021</v>
      </c>
      <c r="E815" s="376">
        <v>2027</v>
      </c>
      <c r="F815" s="376">
        <v>0.37384575124303709</v>
      </c>
      <c r="G815" s="376">
        <v>9928.6887826901675</v>
      </c>
      <c r="H815" s="376">
        <v>0.25416153763803245</v>
      </c>
      <c r="I815" s="376">
        <v>0.85</v>
      </c>
    </row>
    <row r="816" spans="1:9" x14ac:dyDescent="0.35">
      <c r="A816" s="376" t="s">
        <v>1612</v>
      </c>
      <c r="B816" s="376" t="s">
        <v>1609</v>
      </c>
      <c r="C816" s="376" t="s">
        <v>1051</v>
      </c>
      <c r="D816" s="376">
        <v>2021</v>
      </c>
      <c r="E816" s="376">
        <v>2027</v>
      </c>
      <c r="F816" s="376">
        <v>0.37384575124303709</v>
      </c>
      <c r="G816" s="376">
        <v>9928.6887826901675</v>
      </c>
      <c r="H816" s="376">
        <v>0.25416153763803245</v>
      </c>
      <c r="I816" s="376">
        <v>0.85</v>
      </c>
    </row>
    <row r="817" spans="1:9" x14ac:dyDescent="0.35">
      <c r="A817" s="376" t="s">
        <v>1612</v>
      </c>
      <c r="B817" s="376" t="s">
        <v>1609</v>
      </c>
      <c r="C817" s="376" t="s">
        <v>1054</v>
      </c>
      <c r="D817" s="376">
        <v>2021</v>
      </c>
      <c r="E817" s="376">
        <v>2027</v>
      </c>
      <c r="F817" s="376">
        <v>0.37384575124303709</v>
      </c>
      <c r="G817" s="376">
        <v>9928.6887826901675</v>
      </c>
      <c r="H817" s="376">
        <v>0.25416153763803245</v>
      </c>
      <c r="I817" s="376">
        <v>0.85</v>
      </c>
    </row>
    <row r="818" spans="1:9" x14ac:dyDescent="0.35">
      <c r="A818" s="376" t="s">
        <v>1612</v>
      </c>
      <c r="B818" s="376" t="s">
        <v>1609</v>
      </c>
      <c r="C818" s="376" t="s">
        <v>1046</v>
      </c>
      <c r="D818" s="376">
        <v>2021</v>
      </c>
      <c r="E818" s="376">
        <v>2028</v>
      </c>
      <c r="F818" s="376">
        <v>0.37384575124303709</v>
      </c>
      <c r="G818" s="376">
        <v>9928.6887826901675</v>
      </c>
      <c r="H818" s="376">
        <v>0.25416153763803245</v>
      </c>
      <c r="I818" s="376">
        <v>0.85</v>
      </c>
    </row>
    <row r="819" spans="1:9" x14ac:dyDescent="0.35">
      <c r="A819" s="376" t="s">
        <v>1612</v>
      </c>
      <c r="B819" s="376" t="s">
        <v>1609</v>
      </c>
      <c r="C819" s="376" t="s">
        <v>644</v>
      </c>
      <c r="D819" s="376">
        <v>2021</v>
      </c>
      <c r="E819" s="376">
        <v>2028</v>
      </c>
      <c r="F819" s="376">
        <v>0.37384575124303709</v>
      </c>
      <c r="G819" s="376">
        <v>9928.6887826901675</v>
      </c>
      <c r="H819" s="376">
        <v>0.25416153763803245</v>
      </c>
      <c r="I819" s="376">
        <v>0.85</v>
      </c>
    </row>
    <row r="820" spans="1:9" x14ac:dyDescent="0.35">
      <c r="A820" s="376" t="s">
        <v>1612</v>
      </c>
      <c r="B820" s="376" t="s">
        <v>1609</v>
      </c>
      <c r="C820" s="376" t="s">
        <v>628</v>
      </c>
      <c r="D820" s="376">
        <v>2021</v>
      </c>
      <c r="E820" s="376">
        <v>2028</v>
      </c>
      <c r="F820" s="376">
        <v>0.37384575124303709</v>
      </c>
      <c r="G820" s="376">
        <v>9928.6887826901675</v>
      </c>
      <c r="H820" s="376">
        <v>0.25416153763803245</v>
      </c>
      <c r="I820" s="376">
        <v>0.85</v>
      </c>
    </row>
    <row r="821" spans="1:9" x14ac:dyDescent="0.35">
      <c r="A821" s="376" t="s">
        <v>1612</v>
      </c>
      <c r="B821" s="376" t="s">
        <v>1609</v>
      </c>
      <c r="C821" s="376" t="s">
        <v>1051</v>
      </c>
      <c r="D821" s="376">
        <v>2021</v>
      </c>
      <c r="E821" s="376">
        <v>2028</v>
      </c>
      <c r="F821" s="376">
        <v>0.37384575124303709</v>
      </c>
      <c r="G821" s="376">
        <v>9928.6887826901675</v>
      </c>
      <c r="H821" s="376">
        <v>0.25416153763803245</v>
      </c>
      <c r="I821" s="376">
        <v>0.85</v>
      </c>
    </row>
    <row r="822" spans="1:9" x14ac:dyDescent="0.35">
      <c r="A822" s="376" t="s">
        <v>1612</v>
      </c>
      <c r="B822" s="376" t="s">
        <v>1609</v>
      </c>
      <c r="C822" s="376" t="s">
        <v>1054</v>
      </c>
      <c r="D822" s="376">
        <v>2021</v>
      </c>
      <c r="E822" s="376">
        <v>2028</v>
      </c>
      <c r="F822" s="376">
        <v>0.37384575124303709</v>
      </c>
      <c r="G822" s="376">
        <v>9928.6887826901675</v>
      </c>
      <c r="H822" s="376">
        <v>0.25416153763803245</v>
      </c>
      <c r="I822" s="376">
        <v>0.85</v>
      </c>
    </row>
    <row r="823" spans="1:9" x14ac:dyDescent="0.35">
      <c r="A823" s="376" t="s">
        <v>1612</v>
      </c>
      <c r="B823" s="376" t="s">
        <v>1609</v>
      </c>
      <c r="C823" s="376" t="s">
        <v>1046</v>
      </c>
      <c r="D823" s="376">
        <v>2021</v>
      </c>
      <c r="E823" s="376">
        <v>2029</v>
      </c>
      <c r="F823" s="376">
        <v>0.37384575124303709</v>
      </c>
      <c r="G823" s="376">
        <v>9928.6887826901675</v>
      </c>
      <c r="H823" s="376">
        <v>0.25416153763803245</v>
      </c>
      <c r="I823" s="376">
        <v>0.85</v>
      </c>
    </row>
    <row r="824" spans="1:9" x14ac:dyDescent="0.35">
      <c r="A824" s="376" t="s">
        <v>1612</v>
      </c>
      <c r="B824" s="376" t="s">
        <v>1609</v>
      </c>
      <c r="C824" s="376" t="s">
        <v>644</v>
      </c>
      <c r="D824" s="376">
        <v>2021</v>
      </c>
      <c r="E824" s="376">
        <v>2029</v>
      </c>
      <c r="F824" s="376">
        <v>0.37384575124303709</v>
      </c>
      <c r="G824" s="376">
        <v>9928.6887826901675</v>
      </c>
      <c r="H824" s="376">
        <v>0.25416153763803245</v>
      </c>
      <c r="I824" s="376">
        <v>0.85</v>
      </c>
    </row>
    <row r="825" spans="1:9" x14ac:dyDescent="0.35">
      <c r="A825" s="376" t="s">
        <v>1612</v>
      </c>
      <c r="B825" s="376" t="s">
        <v>1609</v>
      </c>
      <c r="C825" s="376" t="s">
        <v>628</v>
      </c>
      <c r="D825" s="376">
        <v>2021</v>
      </c>
      <c r="E825" s="376">
        <v>2029</v>
      </c>
      <c r="F825" s="376">
        <v>0.37384575124303709</v>
      </c>
      <c r="G825" s="376">
        <v>9928.6887826901675</v>
      </c>
      <c r="H825" s="376">
        <v>0.25416153763803245</v>
      </c>
      <c r="I825" s="376">
        <v>0.85</v>
      </c>
    </row>
    <row r="826" spans="1:9" x14ac:dyDescent="0.35">
      <c r="A826" s="376" t="s">
        <v>1612</v>
      </c>
      <c r="B826" s="376" t="s">
        <v>1609</v>
      </c>
      <c r="C826" s="376" t="s">
        <v>1051</v>
      </c>
      <c r="D826" s="376">
        <v>2021</v>
      </c>
      <c r="E826" s="376">
        <v>2029</v>
      </c>
      <c r="F826" s="376">
        <v>0.37384575124303709</v>
      </c>
      <c r="G826" s="376">
        <v>9928.6887826901675</v>
      </c>
      <c r="H826" s="376">
        <v>0.25416153763803245</v>
      </c>
      <c r="I826" s="376">
        <v>0.85</v>
      </c>
    </row>
    <row r="827" spans="1:9" x14ac:dyDescent="0.35">
      <c r="A827" s="376" t="s">
        <v>1612</v>
      </c>
      <c r="B827" s="376" t="s">
        <v>1609</v>
      </c>
      <c r="C827" s="376" t="s">
        <v>1054</v>
      </c>
      <c r="D827" s="376">
        <v>2021</v>
      </c>
      <c r="E827" s="376">
        <v>2029</v>
      </c>
      <c r="F827" s="376">
        <v>0.37384575124303709</v>
      </c>
      <c r="G827" s="376">
        <v>9928.6887826901675</v>
      </c>
      <c r="H827" s="376">
        <v>0.25416153763803245</v>
      </c>
      <c r="I827" s="376">
        <v>0.85</v>
      </c>
    </row>
    <row r="828" spans="1:9" x14ac:dyDescent="0.35">
      <c r="A828" s="376" t="s">
        <v>1612</v>
      </c>
      <c r="B828" s="376" t="s">
        <v>1609</v>
      </c>
      <c r="C828" s="376" t="s">
        <v>1046</v>
      </c>
      <c r="D828" s="376">
        <v>2021</v>
      </c>
      <c r="E828" s="376">
        <v>2030</v>
      </c>
      <c r="F828" s="376">
        <v>0.37384575124303709</v>
      </c>
      <c r="G828" s="376">
        <v>9928.6887826901675</v>
      </c>
      <c r="H828" s="376">
        <v>0.25416153763803245</v>
      </c>
      <c r="I828" s="376">
        <v>0.85</v>
      </c>
    </row>
    <row r="829" spans="1:9" x14ac:dyDescent="0.35">
      <c r="A829" s="376" t="s">
        <v>1612</v>
      </c>
      <c r="B829" s="376" t="s">
        <v>1609</v>
      </c>
      <c r="C829" s="376" t="s">
        <v>644</v>
      </c>
      <c r="D829" s="376">
        <v>2021</v>
      </c>
      <c r="E829" s="376">
        <v>2030</v>
      </c>
      <c r="F829" s="376">
        <v>0.37384575124303709</v>
      </c>
      <c r="G829" s="376">
        <v>9928.6887826901675</v>
      </c>
      <c r="H829" s="376">
        <v>0.25416153763803245</v>
      </c>
      <c r="I829" s="376">
        <v>0.85</v>
      </c>
    </row>
    <row r="830" spans="1:9" x14ac:dyDescent="0.35">
      <c r="A830" s="376" t="s">
        <v>1612</v>
      </c>
      <c r="B830" s="376" t="s">
        <v>1609</v>
      </c>
      <c r="C830" s="376" t="s">
        <v>628</v>
      </c>
      <c r="D830" s="376">
        <v>2021</v>
      </c>
      <c r="E830" s="376">
        <v>2030</v>
      </c>
      <c r="F830" s="376">
        <v>0.37384575124303709</v>
      </c>
      <c r="G830" s="376">
        <v>9928.6887826901675</v>
      </c>
      <c r="H830" s="376">
        <v>0.25416153763803245</v>
      </c>
      <c r="I830" s="376">
        <v>0.85</v>
      </c>
    </row>
    <row r="831" spans="1:9" x14ac:dyDescent="0.35">
      <c r="A831" s="376" t="s">
        <v>1612</v>
      </c>
      <c r="B831" s="376" t="s">
        <v>1609</v>
      </c>
      <c r="C831" s="376" t="s">
        <v>1051</v>
      </c>
      <c r="D831" s="376">
        <v>2021</v>
      </c>
      <c r="E831" s="376">
        <v>2030</v>
      </c>
      <c r="F831" s="376">
        <v>0.37384575124303709</v>
      </c>
      <c r="G831" s="376">
        <v>9928.6887826901675</v>
      </c>
      <c r="H831" s="376">
        <v>0.25416153763803245</v>
      </c>
      <c r="I831" s="376">
        <v>0.85</v>
      </c>
    </row>
    <row r="832" spans="1:9" x14ac:dyDescent="0.35">
      <c r="A832" s="376" t="s">
        <v>1612</v>
      </c>
      <c r="B832" s="376" t="s">
        <v>1609</v>
      </c>
      <c r="C832" s="376" t="s">
        <v>1054</v>
      </c>
      <c r="D832" s="376">
        <v>2021</v>
      </c>
      <c r="E832" s="376">
        <v>2030</v>
      </c>
      <c r="F832" s="376">
        <v>0.37384575124303709</v>
      </c>
      <c r="G832" s="376">
        <v>9928.6887826901675</v>
      </c>
      <c r="H832" s="376">
        <v>0.25416153763803245</v>
      </c>
      <c r="I832" s="376">
        <v>0.85</v>
      </c>
    </row>
    <row r="833" spans="1:9" x14ac:dyDescent="0.35">
      <c r="A833" s="376" t="s">
        <v>1612</v>
      </c>
      <c r="B833" s="376" t="s">
        <v>1609</v>
      </c>
      <c r="C833" s="376" t="s">
        <v>1046</v>
      </c>
      <c r="D833" s="376">
        <v>2021</v>
      </c>
      <c r="E833" s="376">
        <v>2031</v>
      </c>
      <c r="F833" s="376">
        <v>0.37384575124303709</v>
      </c>
      <c r="G833" s="376">
        <v>9928.6887826901675</v>
      </c>
      <c r="H833" s="376">
        <v>0.25416153763803245</v>
      </c>
      <c r="I833" s="376">
        <v>0.85</v>
      </c>
    </row>
    <row r="834" spans="1:9" x14ac:dyDescent="0.35">
      <c r="A834" s="376" t="s">
        <v>1612</v>
      </c>
      <c r="B834" s="376" t="s">
        <v>1609</v>
      </c>
      <c r="C834" s="376" t="s">
        <v>644</v>
      </c>
      <c r="D834" s="376">
        <v>2021</v>
      </c>
      <c r="E834" s="376">
        <v>2031</v>
      </c>
      <c r="F834" s="376">
        <v>0.37384575124303709</v>
      </c>
      <c r="G834" s="376">
        <v>9928.6887826901675</v>
      </c>
      <c r="H834" s="376">
        <v>0.25416153763803245</v>
      </c>
      <c r="I834" s="376">
        <v>0.85</v>
      </c>
    </row>
    <row r="835" spans="1:9" x14ac:dyDescent="0.35">
      <c r="A835" s="376" t="s">
        <v>1612</v>
      </c>
      <c r="B835" s="376" t="s">
        <v>1609</v>
      </c>
      <c r="C835" s="376" t="s">
        <v>628</v>
      </c>
      <c r="D835" s="376">
        <v>2021</v>
      </c>
      <c r="E835" s="376">
        <v>2031</v>
      </c>
      <c r="F835" s="376">
        <v>0.37384575124303709</v>
      </c>
      <c r="G835" s="376">
        <v>9928.6887826901675</v>
      </c>
      <c r="H835" s="376">
        <v>0.25416153763803245</v>
      </c>
      <c r="I835" s="376">
        <v>0.85</v>
      </c>
    </row>
    <row r="836" spans="1:9" x14ac:dyDescent="0.35">
      <c r="A836" s="376" t="s">
        <v>1612</v>
      </c>
      <c r="B836" s="376" t="s">
        <v>1609</v>
      </c>
      <c r="C836" s="376" t="s">
        <v>1051</v>
      </c>
      <c r="D836" s="376">
        <v>2021</v>
      </c>
      <c r="E836" s="376">
        <v>2031</v>
      </c>
      <c r="F836" s="376">
        <v>0.37384575124303709</v>
      </c>
      <c r="G836" s="376">
        <v>9928.6887826901675</v>
      </c>
      <c r="H836" s="376">
        <v>0.25416153763803245</v>
      </c>
      <c r="I836" s="376">
        <v>0.85</v>
      </c>
    </row>
    <row r="837" spans="1:9" x14ac:dyDescent="0.35">
      <c r="A837" s="376" t="s">
        <v>1612</v>
      </c>
      <c r="B837" s="376" t="s">
        <v>1609</v>
      </c>
      <c r="C837" s="376" t="s">
        <v>1054</v>
      </c>
      <c r="D837" s="376">
        <v>2021</v>
      </c>
      <c r="E837" s="376">
        <v>2031</v>
      </c>
      <c r="F837" s="376">
        <v>0.37384575124303709</v>
      </c>
      <c r="G837" s="376">
        <v>9928.6887826901675</v>
      </c>
      <c r="H837" s="376">
        <v>0.25416153763803245</v>
      </c>
      <c r="I837" s="376">
        <v>0.85</v>
      </c>
    </row>
    <row r="838" spans="1:9" x14ac:dyDescent="0.35">
      <c r="A838" s="376" t="s">
        <v>1613</v>
      </c>
      <c r="B838" s="376" t="s">
        <v>1609</v>
      </c>
      <c r="C838" s="376" t="s">
        <v>1046</v>
      </c>
      <c r="D838" s="376">
        <v>2021</v>
      </c>
      <c r="E838" s="376">
        <v>2021</v>
      </c>
      <c r="F838" s="376">
        <v>0.40444272241720852</v>
      </c>
      <c r="G838" s="376">
        <v>8848.5269568257354</v>
      </c>
      <c r="H838" s="376">
        <v>0.25299087477082649</v>
      </c>
      <c r="I838" s="376">
        <v>0.85</v>
      </c>
    </row>
    <row r="839" spans="1:9" x14ac:dyDescent="0.35">
      <c r="A839" s="376" t="s">
        <v>1613</v>
      </c>
      <c r="B839" s="376" t="s">
        <v>1609</v>
      </c>
      <c r="C839" s="376" t="s">
        <v>644</v>
      </c>
      <c r="D839" s="376">
        <v>2021</v>
      </c>
      <c r="E839" s="376">
        <v>2021</v>
      </c>
      <c r="F839" s="376">
        <v>0.40444272241720852</v>
      </c>
      <c r="G839" s="376">
        <v>8848.5269568257354</v>
      </c>
      <c r="H839" s="376">
        <v>0.25299087477082649</v>
      </c>
      <c r="I839" s="376">
        <v>0.85</v>
      </c>
    </row>
    <row r="840" spans="1:9" x14ac:dyDescent="0.35">
      <c r="A840" s="376" t="s">
        <v>1613</v>
      </c>
      <c r="B840" s="376" t="s">
        <v>1609</v>
      </c>
      <c r="C840" s="376" t="s">
        <v>628</v>
      </c>
      <c r="D840" s="376">
        <v>2021</v>
      </c>
      <c r="E840" s="376">
        <v>2021</v>
      </c>
      <c r="F840" s="376">
        <v>0.40444272241720852</v>
      </c>
      <c r="G840" s="376">
        <v>8848.5269568257354</v>
      </c>
      <c r="H840" s="376">
        <v>0.25299087477082649</v>
      </c>
      <c r="I840" s="376">
        <v>0.85</v>
      </c>
    </row>
    <row r="841" spans="1:9" x14ac:dyDescent="0.35">
      <c r="A841" s="376" t="s">
        <v>1613</v>
      </c>
      <c r="B841" s="376" t="s">
        <v>1609</v>
      </c>
      <c r="C841" s="376" t="s">
        <v>1051</v>
      </c>
      <c r="D841" s="376">
        <v>2021</v>
      </c>
      <c r="E841" s="376">
        <v>2021</v>
      </c>
      <c r="F841" s="376">
        <v>0.40444272241720852</v>
      </c>
      <c r="G841" s="376">
        <v>8848.5269568257354</v>
      </c>
      <c r="H841" s="376">
        <v>0.25299087477082649</v>
      </c>
      <c r="I841" s="376">
        <v>0.85</v>
      </c>
    </row>
    <row r="842" spans="1:9" x14ac:dyDescent="0.35">
      <c r="A842" s="376" t="s">
        <v>1613</v>
      </c>
      <c r="B842" s="376" t="s">
        <v>1609</v>
      </c>
      <c r="C842" s="376" t="s">
        <v>1054</v>
      </c>
      <c r="D842" s="376">
        <v>2021</v>
      </c>
      <c r="E842" s="376">
        <v>2021</v>
      </c>
      <c r="F842" s="376">
        <v>0.40444272241720852</v>
      </c>
      <c r="G842" s="376">
        <v>8848.5269568257354</v>
      </c>
      <c r="H842" s="376">
        <v>0.25299087477082649</v>
      </c>
      <c r="I842" s="376">
        <v>0.85</v>
      </c>
    </row>
    <row r="843" spans="1:9" x14ac:dyDescent="0.35">
      <c r="A843" s="376" t="s">
        <v>1613</v>
      </c>
      <c r="B843" s="376" t="s">
        <v>1609</v>
      </c>
      <c r="C843" s="376" t="s">
        <v>1046</v>
      </c>
      <c r="D843" s="376">
        <v>2021</v>
      </c>
      <c r="E843" s="376">
        <v>2022</v>
      </c>
      <c r="F843" s="376">
        <v>0.40444272241720852</v>
      </c>
      <c r="G843" s="376">
        <v>8848.5269568257354</v>
      </c>
      <c r="H843" s="376">
        <v>0.25299087477082649</v>
      </c>
      <c r="I843" s="376">
        <v>0.85</v>
      </c>
    </row>
    <row r="844" spans="1:9" x14ac:dyDescent="0.35">
      <c r="A844" s="376" t="s">
        <v>1613</v>
      </c>
      <c r="B844" s="376" t="s">
        <v>1609</v>
      </c>
      <c r="C844" s="376" t="s">
        <v>644</v>
      </c>
      <c r="D844" s="376">
        <v>2021</v>
      </c>
      <c r="E844" s="376">
        <v>2022</v>
      </c>
      <c r="F844" s="376">
        <v>0.40444272241720852</v>
      </c>
      <c r="G844" s="376">
        <v>8848.5269568257354</v>
      </c>
      <c r="H844" s="376">
        <v>0.25299087477082649</v>
      </c>
      <c r="I844" s="376">
        <v>0.85</v>
      </c>
    </row>
    <row r="845" spans="1:9" x14ac:dyDescent="0.35">
      <c r="A845" s="376" t="s">
        <v>1613</v>
      </c>
      <c r="B845" s="376" t="s">
        <v>1609</v>
      </c>
      <c r="C845" s="376" t="s">
        <v>628</v>
      </c>
      <c r="D845" s="376">
        <v>2021</v>
      </c>
      <c r="E845" s="376">
        <v>2022</v>
      </c>
      <c r="F845" s="376">
        <v>0.40444272241720852</v>
      </c>
      <c r="G845" s="376">
        <v>8848.5269568257354</v>
      </c>
      <c r="H845" s="376">
        <v>0.25299087477082649</v>
      </c>
      <c r="I845" s="376">
        <v>0.85</v>
      </c>
    </row>
    <row r="846" spans="1:9" x14ac:dyDescent="0.35">
      <c r="A846" s="376" t="s">
        <v>1613</v>
      </c>
      <c r="B846" s="376" t="s">
        <v>1609</v>
      </c>
      <c r="C846" s="376" t="s">
        <v>1051</v>
      </c>
      <c r="D846" s="376">
        <v>2021</v>
      </c>
      <c r="E846" s="376">
        <v>2022</v>
      </c>
      <c r="F846" s="376">
        <v>0.40444272241720852</v>
      </c>
      <c r="G846" s="376">
        <v>8848.5269568257354</v>
      </c>
      <c r="H846" s="376">
        <v>0.25299087477082649</v>
      </c>
      <c r="I846" s="376">
        <v>0.85</v>
      </c>
    </row>
    <row r="847" spans="1:9" x14ac:dyDescent="0.35">
      <c r="A847" s="376" t="s">
        <v>1613</v>
      </c>
      <c r="B847" s="376" t="s">
        <v>1609</v>
      </c>
      <c r="C847" s="376" t="s">
        <v>1054</v>
      </c>
      <c r="D847" s="376">
        <v>2021</v>
      </c>
      <c r="E847" s="376">
        <v>2022</v>
      </c>
      <c r="F847" s="376">
        <v>0.40444272241720852</v>
      </c>
      <c r="G847" s="376">
        <v>8848.5269568257354</v>
      </c>
      <c r="H847" s="376">
        <v>0.25299087477082649</v>
      </c>
      <c r="I847" s="376">
        <v>0.85</v>
      </c>
    </row>
    <row r="848" spans="1:9" x14ac:dyDescent="0.35">
      <c r="A848" s="376" t="s">
        <v>1613</v>
      </c>
      <c r="B848" s="376" t="s">
        <v>1609</v>
      </c>
      <c r="C848" s="376" t="s">
        <v>1046</v>
      </c>
      <c r="D848" s="376">
        <v>2021</v>
      </c>
      <c r="E848" s="376">
        <v>2023</v>
      </c>
      <c r="F848" s="376">
        <v>0.40444272241720852</v>
      </c>
      <c r="G848" s="376">
        <v>8848.5269568257354</v>
      </c>
      <c r="H848" s="376">
        <v>0.25299087477082649</v>
      </c>
      <c r="I848" s="376">
        <v>0.85</v>
      </c>
    </row>
    <row r="849" spans="1:9" x14ac:dyDescent="0.35">
      <c r="A849" s="376" t="s">
        <v>1613</v>
      </c>
      <c r="B849" s="376" t="s">
        <v>1609</v>
      </c>
      <c r="C849" s="376" t="s">
        <v>644</v>
      </c>
      <c r="D849" s="376">
        <v>2021</v>
      </c>
      <c r="E849" s="376">
        <v>2023</v>
      </c>
      <c r="F849" s="376">
        <v>0.40444272241720852</v>
      </c>
      <c r="G849" s="376">
        <v>8848.5269568257354</v>
      </c>
      <c r="H849" s="376">
        <v>0.25299087477082649</v>
      </c>
      <c r="I849" s="376">
        <v>0.85</v>
      </c>
    </row>
    <row r="850" spans="1:9" x14ac:dyDescent="0.35">
      <c r="A850" s="376" t="s">
        <v>1613</v>
      </c>
      <c r="B850" s="376" t="s">
        <v>1609</v>
      </c>
      <c r="C850" s="376" t="s">
        <v>628</v>
      </c>
      <c r="D850" s="376">
        <v>2021</v>
      </c>
      <c r="E850" s="376">
        <v>2023</v>
      </c>
      <c r="F850" s="376">
        <v>0.40444272241720852</v>
      </c>
      <c r="G850" s="376">
        <v>8848.5269568257354</v>
      </c>
      <c r="H850" s="376">
        <v>0.25299087477082649</v>
      </c>
      <c r="I850" s="376">
        <v>0.85</v>
      </c>
    </row>
    <row r="851" spans="1:9" x14ac:dyDescent="0.35">
      <c r="A851" s="376" t="s">
        <v>1613</v>
      </c>
      <c r="B851" s="376" t="s">
        <v>1609</v>
      </c>
      <c r="C851" s="376" t="s">
        <v>1051</v>
      </c>
      <c r="D851" s="376">
        <v>2021</v>
      </c>
      <c r="E851" s="376">
        <v>2023</v>
      </c>
      <c r="F851" s="376">
        <v>0.40444272241720852</v>
      </c>
      <c r="G851" s="376">
        <v>8848.5269568257354</v>
      </c>
      <c r="H851" s="376">
        <v>0.25299087477082649</v>
      </c>
      <c r="I851" s="376">
        <v>0.85</v>
      </c>
    </row>
    <row r="852" spans="1:9" x14ac:dyDescent="0.35">
      <c r="A852" s="376" t="s">
        <v>1613</v>
      </c>
      <c r="B852" s="376" t="s">
        <v>1609</v>
      </c>
      <c r="C852" s="376" t="s">
        <v>1054</v>
      </c>
      <c r="D852" s="376">
        <v>2021</v>
      </c>
      <c r="E852" s="376">
        <v>2023</v>
      </c>
      <c r="F852" s="376">
        <v>0.40444272241720852</v>
      </c>
      <c r="G852" s="376">
        <v>8848.5269568257354</v>
      </c>
      <c r="H852" s="376">
        <v>0.25299087477082649</v>
      </c>
      <c r="I852" s="376">
        <v>0.85</v>
      </c>
    </row>
    <row r="853" spans="1:9" x14ac:dyDescent="0.35">
      <c r="A853" s="376" t="s">
        <v>1613</v>
      </c>
      <c r="B853" s="376" t="s">
        <v>1609</v>
      </c>
      <c r="C853" s="376" t="s">
        <v>1046</v>
      </c>
      <c r="D853" s="376">
        <v>2021</v>
      </c>
      <c r="E853" s="376">
        <v>2024</v>
      </c>
      <c r="F853" s="376">
        <v>0.40444272241720852</v>
      </c>
      <c r="G853" s="376">
        <v>8848.5269568257354</v>
      </c>
      <c r="H853" s="376">
        <v>0.25299087477082649</v>
      </c>
      <c r="I853" s="376">
        <v>0.85</v>
      </c>
    </row>
    <row r="854" spans="1:9" x14ac:dyDescent="0.35">
      <c r="A854" s="376" t="s">
        <v>1613</v>
      </c>
      <c r="B854" s="376" t="s">
        <v>1609</v>
      </c>
      <c r="C854" s="376" t="s">
        <v>644</v>
      </c>
      <c r="D854" s="376">
        <v>2021</v>
      </c>
      <c r="E854" s="376">
        <v>2024</v>
      </c>
      <c r="F854" s="376">
        <v>0.40444272241720852</v>
      </c>
      <c r="G854" s="376">
        <v>8848.5269568257354</v>
      </c>
      <c r="H854" s="376">
        <v>0.25299087477082649</v>
      </c>
      <c r="I854" s="376">
        <v>0.85</v>
      </c>
    </row>
    <row r="855" spans="1:9" x14ac:dyDescent="0.35">
      <c r="A855" s="376" t="s">
        <v>1613</v>
      </c>
      <c r="B855" s="376" t="s">
        <v>1609</v>
      </c>
      <c r="C855" s="376" t="s">
        <v>628</v>
      </c>
      <c r="D855" s="376">
        <v>2021</v>
      </c>
      <c r="E855" s="376">
        <v>2024</v>
      </c>
      <c r="F855" s="376">
        <v>0.40444272241720852</v>
      </c>
      <c r="G855" s="376">
        <v>8848.5269568257354</v>
      </c>
      <c r="H855" s="376">
        <v>0.25299087477082649</v>
      </c>
      <c r="I855" s="376">
        <v>0.85</v>
      </c>
    </row>
    <row r="856" spans="1:9" x14ac:dyDescent="0.35">
      <c r="A856" s="376" t="s">
        <v>1613</v>
      </c>
      <c r="B856" s="376" t="s">
        <v>1609</v>
      </c>
      <c r="C856" s="376" t="s">
        <v>1051</v>
      </c>
      <c r="D856" s="376">
        <v>2021</v>
      </c>
      <c r="E856" s="376">
        <v>2024</v>
      </c>
      <c r="F856" s="376">
        <v>0.40444272241720852</v>
      </c>
      <c r="G856" s="376">
        <v>8848.5269568257354</v>
      </c>
      <c r="H856" s="376">
        <v>0.25299087477082649</v>
      </c>
      <c r="I856" s="376">
        <v>0.85</v>
      </c>
    </row>
    <row r="857" spans="1:9" x14ac:dyDescent="0.35">
      <c r="A857" s="376" t="s">
        <v>1613</v>
      </c>
      <c r="B857" s="376" t="s">
        <v>1609</v>
      </c>
      <c r="C857" s="376" t="s">
        <v>1054</v>
      </c>
      <c r="D857" s="376">
        <v>2021</v>
      </c>
      <c r="E857" s="376">
        <v>2024</v>
      </c>
      <c r="F857" s="376">
        <v>0.40444272241720852</v>
      </c>
      <c r="G857" s="376">
        <v>8848.5269568257354</v>
      </c>
      <c r="H857" s="376">
        <v>0.25299087477082649</v>
      </c>
      <c r="I857" s="376">
        <v>0.85</v>
      </c>
    </row>
    <row r="858" spans="1:9" x14ac:dyDescent="0.35">
      <c r="A858" s="376" t="s">
        <v>1613</v>
      </c>
      <c r="B858" s="376" t="s">
        <v>1609</v>
      </c>
      <c r="C858" s="376" t="s">
        <v>1046</v>
      </c>
      <c r="D858" s="376">
        <v>2021</v>
      </c>
      <c r="E858" s="376">
        <v>2025</v>
      </c>
      <c r="F858" s="376">
        <v>0.40444272241720852</v>
      </c>
      <c r="G858" s="376">
        <v>8848.5269568257354</v>
      </c>
      <c r="H858" s="376">
        <v>0.25299087477082649</v>
      </c>
      <c r="I858" s="376">
        <v>0.85</v>
      </c>
    </row>
    <row r="859" spans="1:9" x14ac:dyDescent="0.35">
      <c r="A859" s="376" t="s">
        <v>1613</v>
      </c>
      <c r="B859" s="376" t="s">
        <v>1609</v>
      </c>
      <c r="C859" s="376" t="s">
        <v>644</v>
      </c>
      <c r="D859" s="376">
        <v>2021</v>
      </c>
      <c r="E859" s="376">
        <v>2025</v>
      </c>
      <c r="F859" s="376">
        <v>0.40444272241720852</v>
      </c>
      <c r="G859" s="376">
        <v>8848.5269568257354</v>
      </c>
      <c r="H859" s="376">
        <v>0.25299087477082649</v>
      </c>
      <c r="I859" s="376">
        <v>0.85</v>
      </c>
    </row>
    <row r="860" spans="1:9" x14ac:dyDescent="0.35">
      <c r="A860" s="376" t="s">
        <v>1613</v>
      </c>
      <c r="B860" s="376" t="s">
        <v>1609</v>
      </c>
      <c r="C860" s="376" t="s">
        <v>628</v>
      </c>
      <c r="D860" s="376">
        <v>2021</v>
      </c>
      <c r="E860" s="376">
        <v>2025</v>
      </c>
      <c r="F860" s="376">
        <v>0.40444272241720852</v>
      </c>
      <c r="G860" s="376">
        <v>8848.5269568257354</v>
      </c>
      <c r="H860" s="376">
        <v>0.25299087477082649</v>
      </c>
      <c r="I860" s="376">
        <v>0.85</v>
      </c>
    </row>
    <row r="861" spans="1:9" x14ac:dyDescent="0.35">
      <c r="A861" s="376" t="s">
        <v>1613</v>
      </c>
      <c r="B861" s="376" t="s">
        <v>1609</v>
      </c>
      <c r="C861" s="376" t="s">
        <v>1051</v>
      </c>
      <c r="D861" s="376">
        <v>2021</v>
      </c>
      <c r="E861" s="376">
        <v>2025</v>
      </c>
      <c r="F861" s="376">
        <v>0.40444272241720852</v>
      </c>
      <c r="G861" s="376">
        <v>8848.5269568257354</v>
      </c>
      <c r="H861" s="376">
        <v>0.25299087477082649</v>
      </c>
      <c r="I861" s="376">
        <v>0.85</v>
      </c>
    </row>
    <row r="862" spans="1:9" x14ac:dyDescent="0.35">
      <c r="A862" s="376" t="s">
        <v>1613</v>
      </c>
      <c r="B862" s="376" t="s">
        <v>1609</v>
      </c>
      <c r="C862" s="376" t="s">
        <v>1054</v>
      </c>
      <c r="D862" s="376">
        <v>2021</v>
      </c>
      <c r="E862" s="376">
        <v>2025</v>
      </c>
      <c r="F862" s="376">
        <v>0.40444272241720852</v>
      </c>
      <c r="G862" s="376">
        <v>8848.5269568257354</v>
      </c>
      <c r="H862" s="376">
        <v>0.25299087477082649</v>
      </c>
      <c r="I862" s="376">
        <v>0.85</v>
      </c>
    </row>
    <row r="863" spans="1:9" x14ac:dyDescent="0.35">
      <c r="A863" s="376" t="s">
        <v>1613</v>
      </c>
      <c r="B863" s="376" t="s">
        <v>1609</v>
      </c>
      <c r="C863" s="376" t="s">
        <v>1046</v>
      </c>
      <c r="D863" s="376">
        <v>2021</v>
      </c>
      <c r="E863" s="376">
        <v>2026</v>
      </c>
      <c r="F863" s="376">
        <v>0.40444272241720852</v>
      </c>
      <c r="G863" s="376">
        <v>8848.5269568257354</v>
      </c>
      <c r="H863" s="376">
        <v>0.25299087477082649</v>
      </c>
      <c r="I863" s="376">
        <v>0.85</v>
      </c>
    </row>
    <row r="864" spans="1:9" x14ac:dyDescent="0.35">
      <c r="A864" s="376" t="s">
        <v>1613</v>
      </c>
      <c r="B864" s="376" t="s">
        <v>1609</v>
      </c>
      <c r="C864" s="376" t="s">
        <v>644</v>
      </c>
      <c r="D864" s="376">
        <v>2021</v>
      </c>
      <c r="E864" s="376">
        <v>2026</v>
      </c>
      <c r="F864" s="376">
        <v>0.40444272241720852</v>
      </c>
      <c r="G864" s="376">
        <v>8848.5269568257354</v>
      </c>
      <c r="H864" s="376">
        <v>0.25299087477082649</v>
      </c>
      <c r="I864" s="376">
        <v>0.85</v>
      </c>
    </row>
    <row r="865" spans="1:9" x14ac:dyDescent="0.35">
      <c r="A865" s="376" t="s">
        <v>1613</v>
      </c>
      <c r="B865" s="376" t="s">
        <v>1609</v>
      </c>
      <c r="C865" s="376" t="s">
        <v>628</v>
      </c>
      <c r="D865" s="376">
        <v>2021</v>
      </c>
      <c r="E865" s="376">
        <v>2026</v>
      </c>
      <c r="F865" s="376">
        <v>0.40444272241720852</v>
      </c>
      <c r="G865" s="376">
        <v>8848.5269568257354</v>
      </c>
      <c r="H865" s="376">
        <v>0.25299087477082649</v>
      </c>
      <c r="I865" s="376">
        <v>0.85</v>
      </c>
    </row>
    <row r="866" spans="1:9" x14ac:dyDescent="0.35">
      <c r="A866" s="376" t="s">
        <v>1613</v>
      </c>
      <c r="B866" s="376" t="s">
        <v>1609</v>
      </c>
      <c r="C866" s="376" t="s">
        <v>1051</v>
      </c>
      <c r="D866" s="376">
        <v>2021</v>
      </c>
      <c r="E866" s="376">
        <v>2026</v>
      </c>
      <c r="F866" s="376">
        <v>0.40444272241720852</v>
      </c>
      <c r="G866" s="376">
        <v>8848.5269568257354</v>
      </c>
      <c r="H866" s="376">
        <v>0.25299087477082649</v>
      </c>
      <c r="I866" s="376">
        <v>0.85</v>
      </c>
    </row>
    <row r="867" spans="1:9" x14ac:dyDescent="0.35">
      <c r="A867" s="376" t="s">
        <v>1613</v>
      </c>
      <c r="B867" s="376" t="s">
        <v>1609</v>
      </c>
      <c r="C867" s="376" t="s">
        <v>1054</v>
      </c>
      <c r="D867" s="376">
        <v>2021</v>
      </c>
      <c r="E867" s="376">
        <v>2026</v>
      </c>
      <c r="F867" s="376">
        <v>0.40444272241720852</v>
      </c>
      <c r="G867" s="376">
        <v>8848.5269568257354</v>
      </c>
      <c r="H867" s="376">
        <v>0.25299087477082649</v>
      </c>
      <c r="I867" s="376">
        <v>0.85</v>
      </c>
    </row>
    <row r="868" spans="1:9" x14ac:dyDescent="0.35">
      <c r="A868" s="376" t="s">
        <v>1613</v>
      </c>
      <c r="B868" s="376" t="s">
        <v>1609</v>
      </c>
      <c r="C868" s="376" t="s">
        <v>1046</v>
      </c>
      <c r="D868" s="376">
        <v>2021</v>
      </c>
      <c r="E868" s="376">
        <v>2027</v>
      </c>
      <c r="F868" s="376">
        <v>0.40444272241720852</v>
      </c>
      <c r="G868" s="376">
        <v>8848.5269568257354</v>
      </c>
      <c r="H868" s="376">
        <v>0.25299087477082649</v>
      </c>
      <c r="I868" s="376">
        <v>0.85</v>
      </c>
    </row>
    <row r="869" spans="1:9" x14ac:dyDescent="0.35">
      <c r="A869" s="376" t="s">
        <v>1613</v>
      </c>
      <c r="B869" s="376" t="s">
        <v>1609</v>
      </c>
      <c r="C869" s="376" t="s">
        <v>644</v>
      </c>
      <c r="D869" s="376">
        <v>2021</v>
      </c>
      <c r="E869" s="376">
        <v>2027</v>
      </c>
      <c r="F869" s="376">
        <v>0.40444272241720852</v>
      </c>
      <c r="G869" s="376">
        <v>8848.5269568257354</v>
      </c>
      <c r="H869" s="376">
        <v>0.25299087477082649</v>
      </c>
      <c r="I869" s="376">
        <v>0.85</v>
      </c>
    </row>
    <row r="870" spans="1:9" x14ac:dyDescent="0.35">
      <c r="A870" s="376" t="s">
        <v>1613</v>
      </c>
      <c r="B870" s="376" t="s">
        <v>1609</v>
      </c>
      <c r="C870" s="376" t="s">
        <v>628</v>
      </c>
      <c r="D870" s="376">
        <v>2021</v>
      </c>
      <c r="E870" s="376">
        <v>2027</v>
      </c>
      <c r="F870" s="376">
        <v>0.40444272241720852</v>
      </c>
      <c r="G870" s="376">
        <v>8848.5269568257354</v>
      </c>
      <c r="H870" s="376">
        <v>0.25299087477082649</v>
      </c>
      <c r="I870" s="376">
        <v>0.85</v>
      </c>
    </row>
    <row r="871" spans="1:9" x14ac:dyDescent="0.35">
      <c r="A871" s="376" t="s">
        <v>1613</v>
      </c>
      <c r="B871" s="376" t="s">
        <v>1609</v>
      </c>
      <c r="C871" s="376" t="s">
        <v>1051</v>
      </c>
      <c r="D871" s="376">
        <v>2021</v>
      </c>
      <c r="E871" s="376">
        <v>2027</v>
      </c>
      <c r="F871" s="376">
        <v>0.40444272241720852</v>
      </c>
      <c r="G871" s="376">
        <v>8848.5269568257354</v>
      </c>
      <c r="H871" s="376">
        <v>0.25299087477082649</v>
      </c>
      <c r="I871" s="376">
        <v>0.85</v>
      </c>
    </row>
    <row r="872" spans="1:9" x14ac:dyDescent="0.35">
      <c r="A872" s="376" t="s">
        <v>1613</v>
      </c>
      <c r="B872" s="376" t="s">
        <v>1609</v>
      </c>
      <c r="C872" s="376" t="s">
        <v>1054</v>
      </c>
      <c r="D872" s="376">
        <v>2021</v>
      </c>
      <c r="E872" s="376">
        <v>2027</v>
      </c>
      <c r="F872" s="376">
        <v>0.40444272241720852</v>
      </c>
      <c r="G872" s="376">
        <v>8848.5269568257354</v>
      </c>
      <c r="H872" s="376">
        <v>0.25299087477082649</v>
      </c>
      <c r="I872" s="376">
        <v>0.85</v>
      </c>
    </row>
    <row r="873" spans="1:9" x14ac:dyDescent="0.35">
      <c r="A873" s="376" t="s">
        <v>1613</v>
      </c>
      <c r="B873" s="376" t="s">
        <v>1609</v>
      </c>
      <c r="C873" s="376" t="s">
        <v>1046</v>
      </c>
      <c r="D873" s="376">
        <v>2021</v>
      </c>
      <c r="E873" s="376">
        <v>2028</v>
      </c>
      <c r="F873" s="376">
        <v>0.40444272241720852</v>
      </c>
      <c r="G873" s="376">
        <v>8848.5269568257354</v>
      </c>
      <c r="H873" s="376">
        <v>0.25299087477082649</v>
      </c>
      <c r="I873" s="376">
        <v>0.85</v>
      </c>
    </row>
    <row r="874" spans="1:9" x14ac:dyDescent="0.35">
      <c r="A874" s="376" t="s">
        <v>1613</v>
      </c>
      <c r="B874" s="376" t="s">
        <v>1609</v>
      </c>
      <c r="C874" s="376" t="s">
        <v>644</v>
      </c>
      <c r="D874" s="376">
        <v>2021</v>
      </c>
      <c r="E874" s="376">
        <v>2028</v>
      </c>
      <c r="F874" s="376">
        <v>0.40444272241720852</v>
      </c>
      <c r="G874" s="376">
        <v>8848.5269568257354</v>
      </c>
      <c r="H874" s="376">
        <v>0.25299087477082649</v>
      </c>
      <c r="I874" s="376">
        <v>0.85</v>
      </c>
    </row>
    <row r="875" spans="1:9" x14ac:dyDescent="0.35">
      <c r="A875" s="376" t="s">
        <v>1613</v>
      </c>
      <c r="B875" s="376" t="s">
        <v>1609</v>
      </c>
      <c r="C875" s="376" t="s">
        <v>628</v>
      </c>
      <c r="D875" s="376">
        <v>2021</v>
      </c>
      <c r="E875" s="376">
        <v>2028</v>
      </c>
      <c r="F875" s="376">
        <v>0.40444272241720852</v>
      </c>
      <c r="G875" s="376">
        <v>8848.5269568257354</v>
      </c>
      <c r="H875" s="376">
        <v>0.25299087477082649</v>
      </c>
      <c r="I875" s="376">
        <v>0.85</v>
      </c>
    </row>
    <row r="876" spans="1:9" x14ac:dyDescent="0.35">
      <c r="A876" s="376" t="s">
        <v>1613</v>
      </c>
      <c r="B876" s="376" t="s">
        <v>1609</v>
      </c>
      <c r="C876" s="376" t="s">
        <v>1051</v>
      </c>
      <c r="D876" s="376">
        <v>2021</v>
      </c>
      <c r="E876" s="376">
        <v>2028</v>
      </c>
      <c r="F876" s="376">
        <v>0.40444272241720852</v>
      </c>
      <c r="G876" s="376">
        <v>8848.5269568257354</v>
      </c>
      <c r="H876" s="376">
        <v>0.25299087477082649</v>
      </c>
      <c r="I876" s="376">
        <v>0.85</v>
      </c>
    </row>
    <row r="877" spans="1:9" x14ac:dyDescent="0.35">
      <c r="A877" s="376" t="s">
        <v>1613</v>
      </c>
      <c r="B877" s="376" t="s">
        <v>1609</v>
      </c>
      <c r="C877" s="376" t="s">
        <v>1054</v>
      </c>
      <c r="D877" s="376">
        <v>2021</v>
      </c>
      <c r="E877" s="376">
        <v>2028</v>
      </c>
      <c r="F877" s="376">
        <v>0.40444272241720852</v>
      </c>
      <c r="G877" s="376">
        <v>8848.5269568257354</v>
      </c>
      <c r="H877" s="376">
        <v>0.25299087477082649</v>
      </c>
      <c r="I877" s="376">
        <v>0.85</v>
      </c>
    </row>
    <row r="878" spans="1:9" x14ac:dyDescent="0.35">
      <c r="A878" s="376" t="s">
        <v>1613</v>
      </c>
      <c r="B878" s="376" t="s">
        <v>1609</v>
      </c>
      <c r="C878" s="376" t="s">
        <v>1046</v>
      </c>
      <c r="D878" s="376">
        <v>2021</v>
      </c>
      <c r="E878" s="376">
        <v>2029</v>
      </c>
      <c r="F878" s="376">
        <v>0.40444272241720852</v>
      </c>
      <c r="G878" s="376">
        <v>8848.5269568257354</v>
      </c>
      <c r="H878" s="376">
        <v>0.25299087477082649</v>
      </c>
      <c r="I878" s="376">
        <v>0.85</v>
      </c>
    </row>
    <row r="879" spans="1:9" x14ac:dyDescent="0.35">
      <c r="A879" s="376" t="s">
        <v>1613</v>
      </c>
      <c r="B879" s="376" t="s">
        <v>1609</v>
      </c>
      <c r="C879" s="376" t="s">
        <v>644</v>
      </c>
      <c r="D879" s="376">
        <v>2021</v>
      </c>
      <c r="E879" s="376">
        <v>2029</v>
      </c>
      <c r="F879" s="376">
        <v>0.40444272241720852</v>
      </c>
      <c r="G879" s="376">
        <v>8848.5269568257354</v>
      </c>
      <c r="H879" s="376">
        <v>0.25299087477082649</v>
      </c>
      <c r="I879" s="376">
        <v>0.85</v>
      </c>
    </row>
    <row r="880" spans="1:9" x14ac:dyDescent="0.35">
      <c r="A880" s="376" t="s">
        <v>1613</v>
      </c>
      <c r="B880" s="376" t="s">
        <v>1609</v>
      </c>
      <c r="C880" s="376" t="s">
        <v>628</v>
      </c>
      <c r="D880" s="376">
        <v>2021</v>
      </c>
      <c r="E880" s="376">
        <v>2029</v>
      </c>
      <c r="F880" s="376">
        <v>0.40444272241720852</v>
      </c>
      <c r="G880" s="376">
        <v>8848.5269568257354</v>
      </c>
      <c r="H880" s="376">
        <v>0.25299087477082649</v>
      </c>
      <c r="I880" s="376">
        <v>0.85</v>
      </c>
    </row>
    <row r="881" spans="1:9" x14ac:dyDescent="0.35">
      <c r="A881" s="376" t="s">
        <v>1613</v>
      </c>
      <c r="B881" s="376" t="s">
        <v>1609</v>
      </c>
      <c r="C881" s="376" t="s">
        <v>1051</v>
      </c>
      <c r="D881" s="376">
        <v>2021</v>
      </c>
      <c r="E881" s="376">
        <v>2029</v>
      </c>
      <c r="F881" s="376">
        <v>0.40444272241720852</v>
      </c>
      <c r="G881" s="376">
        <v>8848.5269568257354</v>
      </c>
      <c r="H881" s="376">
        <v>0.25299087477082649</v>
      </c>
      <c r="I881" s="376">
        <v>0.85</v>
      </c>
    </row>
    <row r="882" spans="1:9" x14ac:dyDescent="0.35">
      <c r="A882" s="376" t="s">
        <v>1613</v>
      </c>
      <c r="B882" s="376" t="s">
        <v>1609</v>
      </c>
      <c r="C882" s="376" t="s">
        <v>1054</v>
      </c>
      <c r="D882" s="376">
        <v>2021</v>
      </c>
      <c r="E882" s="376">
        <v>2029</v>
      </c>
      <c r="F882" s="376">
        <v>0.40444272241720852</v>
      </c>
      <c r="G882" s="376">
        <v>8848.5269568257354</v>
      </c>
      <c r="H882" s="376">
        <v>0.25299087477082649</v>
      </c>
      <c r="I882" s="376">
        <v>0.85</v>
      </c>
    </row>
    <row r="883" spans="1:9" x14ac:dyDescent="0.35">
      <c r="A883" s="376" t="s">
        <v>1613</v>
      </c>
      <c r="B883" s="376" t="s">
        <v>1609</v>
      </c>
      <c r="C883" s="376" t="s">
        <v>1046</v>
      </c>
      <c r="D883" s="376">
        <v>2021</v>
      </c>
      <c r="E883" s="376">
        <v>2030</v>
      </c>
      <c r="F883" s="376">
        <v>0.40444272241720852</v>
      </c>
      <c r="G883" s="376">
        <v>8848.5269568257354</v>
      </c>
      <c r="H883" s="376">
        <v>0.25299087477082649</v>
      </c>
      <c r="I883" s="376">
        <v>0.85</v>
      </c>
    </row>
    <row r="884" spans="1:9" x14ac:dyDescent="0.35">
      <c r="A884" s="376" t="s">
        <v>1613</v>
      </c>
      <c r="B884" s="376" t="s">
        <v>1609</v>
      </c>
      <c r="C884" s="376" t="s">
        <v>644</v>
      </c>
      <c r="D884" s="376">
        <v>2021</v>
      </c>
      <c r="E884" s="376">
        <v>2030</v>
      </c>
      <c r="F884" s="376">
        <v>0.40444272241720852</v>
      </c>
      <c r="G884" s="376">
        <v>8848.5269568257354</v>
      </c>
      <c r="H884" s="376">
        <v>0.25299087477082649</v>
      </c>
      <c r="I884" s="376">
        <v>0.85</v>
      </c>
    </row>
    <row r="885" spans="1:9" x14ac:dyDescent="0.35">
      <c r="A885" s="376" t="s">
        <v>1613</v>
      </c>
      <c r="B885" s="376" t="s">
        <v>1609</v>
      </c>
      <c r="C885" s="376" t="s">
        <v>628</v>
      </c>
      <c r="D885" s="376">
        <v>2021</v>
      </c>
      <c r="E885" s="376">
        <v>2030</v>
      </c>
      <c r="F885" s="376">
        <v>0.40444272241720852</v>
      </c>
      <c r="G885" s="376">
        <v>8848.5269568257354</v>
      </c>
      <c r="H885" s="376">
        <v>0.25299087477082649</v>
      </c>
      <c r="I885" s="376">
        <v>0.85</v>
      </c>
    </row>
    <row r="886" spans="1:9" x14ac:dyDescent="0.35">
      <c r="A886" s="376" t="s">
        <v>1613</v>
      </c>
      <c r="B886" s="376" t="s">
        <v>1609</v>
      </c>
      <c r="C886" s="376" t="s">
        <v>1051</v>
      </c>
      <c r="D886" s="376">
        <v>2021</v>
      </c>
      <c r="E886" s="376">
        <v>2030</v>
      </c>
      <c r="F886" s="376">
        <v>0.40444272241720852</v>
      </c>
      <c r="G886" s="376">
        <v>8848.5269568257354</v>
      </c>
      <c r="H886" s="376">
        <v>0.25299087477082649</v>
      </c>
      <c r="I886" s="376">
        <v>0.85</v>
      </c>
    </row>
    <row r="887" spans="1:9" x14ac:dyDescent="0.35">
      <c r="A887" s="376" t="s">
        <v>1613</v>
      </c>
      <c r="B887" s="376" t="s">
        <v>1609</v>
      </c>
      <c r="C887" s="376" t="s">
        <v>1054</v>
      </c>
      <c r="D887" s="376">
        <v>2021</v>
      </c>
      <c r="E887" s="376">
        <v>2030</v>
      </c>
      <c r="F887" s="376">
        <v>0.40444272241720852</v>
      </c>
      <c r="G887" s="376">
        <v>8848.5269568257354</v>
      </c>
      <c r="H887" s="376">
        <v>0.25299087477082649</v>
      </c>
      <c r="I887" s="376">
        <v>0.85</v>
      </c>
    </row>
    <row r="888" spans="1:9" x14ac:dyDescent="0.35">
      <c r="A888" s="376" t="s">
        <v>1613</v>
      </c>
      <c r="B888" s="376" t="s">
        <v>1609</v>
      </c>
      <c r="C888" s="376" t="s">
        <v>1046</v>
      </c>
      <c r="D888" s="376">
        <v>2021</v>
      </c>
      <c r="E888" s="376">
        <v>2031</v>
      </c>
      <c r="F888" s="376">
        <v>0.40444272241720852</v>
      </c>
      <c r="G888" s="376">
        <v>8848.5269568257354</v>
      </c>
      <c r="H888" s="376">
        <v>0.25299087477082649</v>
      </c>
      <c r="I888" s="376">
        <v>0.85</v>
      </c>
    </row>
    <row r="889" spans="1:9" x14ac:dyDescent="0.35">
      <c r="A889" s="376" t="s">
        <v>1613</v>
      </c>
      <c r="B889" s="376" t="s">
        <v>1609</v>
      </c>
      <c r="C889" s="376" t="s">
        <v>644</v>
      </c>
      <c r="D889" s="376">
        <v>2021</v>
      </c>
      <c r="E889" s="376">
        <v>2031</v>
      </c>
      <c r="F889" s="376">
        <v>0.40444272241720852</v>
      </c>
      <c r="G889" s="376">
        <v>8848.5269568257354</v>
      </c>
      <c r="H889" s="376">
        <v>0.25299087477082649</v>
      </c>
      <c r="I889" s="376">
        <v>0.85</v>
      </c>
    </row>
    <row r="890" spans="1:9" x14ac:dyDescent="0.35">
      <c r="A890" s="376" t="s">
        <v>1613</v>
      </c>
      <c r="B890" s="376" t="s">
        <v>1609</v>
      </c>
      <c r="C890" s="376" t="s">
        <v>628</v>
      </c>
      <c r="D890" s="376">
        <v>2021</v>
      </c>
      <c r="E890" s="376">
        <v>2031</v>
      </c>
      <c r="F890" s="376">
        <v>0.40444272241720852</v>
      </c>
      <c r="G890" s="376">
        <v>8848.5269568257354</v>
      </c>
      <c r="H890" s="376">
        <v>0.25299087477082649</v>
      </c>
      <c r="I890" s="376">
        <v>0.85</v>
      </c>
    </row>
    <row r="891" spans="1:9" x14ac:dyDescent="0.35">
      <c r="A891" s="376" t="s">
        <v>1613</v>
      </c>
      <c r="B891" s="376" t="s">
        <v>1609</v>
      </c>
      <c r="C891" s="376" t="s">
        <v>1051</v>
      </c>
      <c r="D891" s="376">
        <v>2021</v>
      </c>
      <c r="E891" s="376">
        <v>2031</v>
      </c>
      <c r="F891" s="376">
        <v>0.40444272241720852</v>
      </c>
      <c r="G891" s="376">
        <v>8848.5269568257354</v>
      </c>
      <c r="H891" s="376">
        <v>0.25299087477082649</v>
      </c>
      <c r="I891" s="376">
        <v>0.85</v>
      </c>
    </row>
    <row r="892" spans="1:9" x14ac:dyDescent="0.35">
      <c r="A892" s="376" t="s">
        <v>1613</v>
      </c>
      <c r="B892" s="376" t="s">
        <v>1609</v>
      </c>
      <c r="C892" s="376" t="s">
        <v>1054</v>
      </c>
      <c r="D892" s="376">
        <v>2021</v>
      </c>
      <c r="E892" s="376">
        <v>2031</v>
      </c>
      <c r="F892" s="376">
        <v>0.40444272241720852</v>
      </c>
      <c r="G892" s="376">
        <v>8848.5269568257354</v>
      </c>
      <c r="H892" s="376">
        <v>0.25299087477082649</v>
      </c>
      <c r="I892" s="376">
        <v>0.85</v>
      </c>
    </row>
    <row r="893" spans="1:9" x14ac:dyDescent="0.35">
      <c r="A893" s="376" t="s">
        <v>1614</v>
      </c>
      <c r="B893" s="376" t="s">
        <v>1609</v>
      </c>
      <c r="C893" s="376" t="s">
        <v>1046</v>
      </c>
      <c r="D893" s="376">
        <v>2021</v>
      </c>
      <c r="E893" s="376">
        <v>2021</v>
      </c>
      <c r="F893" s="376">
        <v>0.28070162831646173</v>
      </c>
      <c r="G893" s="376">
        <v>6454.3984013550207</v>
      </c>
      <c r="H893" s="376">
        <v>0.25299087477082649</v>
      </c>
      <c r="I893" s="376">
        <v>0.85</v>
      </c>
    </row>
    <row r="894" spans="1:9" x14ac:dyDescent="0.35">
      <c r="A894" s="376" t="s">
        <v>1614</v>
      </c>
      <c r="B894" s="376" t="s">
        <v>1609</v>
      </c>
      <c r="C894" s="376" t="s">
        <v>644</v>
      </c>
      <c r="D894" s="376">
        <v>2021</v>
      </c>
      <c r="E894" s="376">
        <v>2021</v>
      </c>
      <c r="F894" s="376">
        <v>0.28070162831646173</v>
      </c>
      <c r="G894" s="376">
        <v>6454.3984013550207</v>
      </c>
      <c r="H894" s="376">
        <v>0.25299087477082649</v>
      </c>
      <c r="I894" s="376">
        <v>0.85</v>
      </c>
    </row>
    <row r="895" spans="1:9" x14ac:dyDescent="0.35">
      <c r="A895" s="376" t="s">
        <v>1614</v>
      </c>
      <c r="B895" s="376" t="s">
        <v>1609</v>
      </c>
      <c r="C895" s="376" t="s">
        <v>628</v>
      </c>
      <c r="D895" s="376">
        <v>2021</v>
      </c>
      <c r="E895" s="376">
        <v>2021</v>
      </c>
      <c r="F895" s="376">
        <v>0.28070162831646173</v>
      </c>
      <c r="G895" s="376">
        <v>6454.3984013550207</v>
      </c>
      <c r="H895" s="376">
        <v>0.25299087477082649</v>
      </c>
      <c r="I895" s="376">
        <v>0.85</v>
      </c>
    </row>
    <row r="896" spans="1:9" x14ac:dyDescent="0.35">
      <c r="A896" s="376" t="s">
        <v>1614</v>
      </c>
      <c r="B896" s="376" t="s">
        <v>1609</v>
      </c>
      <c r="C896" s="376" t="s">
        <v>1051</v>
      </c>
      <c r="D896" s="376">
        <v>2021</v>
      </c>
      <c r="E896" s="376">
        <v>2021</v>
      </c>
      <c r="F896" s="376">
        <v>0.28070162831646173</v>
      </c>
      <c r="G896" s="376">
        <v>6454.3984013550207</v>
      </c>
      <c r="H896" s="376">
        <v>0.25299087477082649</v>
      </c>
      <c r="I896" s="376">
        <v>0.85</v>
      </c>
    </row>
    <row r="897" spans="1:9" x14ac:dyDescent="0.35">
      <c r="A897" s="376" t="s">
        <v>1614</v>
      </c>
      <c r="B897" s="376" t="s">
        <v>1609</v>
      </c>
      <c r="C897" s="376" t="s">
        <v>1054</v>
      </c>
      <c r="D897" s="376">
        <v>2021</v>
      </c>
      <c r="E897" s="376">
        <v>2021</v>
      </c>
      <c r="F897" s="376">
        <v>0.28070162831646173</v>
      </c>
      <c r="G897" s="376">
        <v>6454.3984013550207</v>
      </c>
      <c r="H897" s="376">
        <v>0.25299087477082649</v>
      </c>
      <c r="I897" s="376">
        <v>0.85</v>
      </c>
    </row>
    <row r="898" spans="1:9" x14ac:dyDescent="0.35">
      <c r="A898" s="376" t="s">
        <v>1614</v>
      </c>
      <c r="B898" s="376" t="s">
        <v>1609</v>
      </c>
      <c r="C898" s="376" t="s">
        <v>1046</v>
      </c>
      <c r="D898" s="376">
        <v>2021</v>
      </c>
      <c r="E898" s="376">
        <v>2022</v>
      </c>
      <c r="F898" s="376">
        <v>0.28070162831646173</v>
      </c>
      <c r="G898" s="376">
        <v>6454.3984013550207</v>
      </c>
      <c r="H898" s="376">
        <v>0.25299087477082649</v>
      </c>
      <c r="I898" s="376">
        <v>0.85</v>
      </c>
    </row>
    <row r="899" spans="1:9" x14ac:dyDescent="0.35">
      <c r="A899" s="376" t="s">
        <v>1614</v>
      </c>
      <c r="B899" s="376" t="s">
        <v>1609</v>
      </c>
      <c r="C899" s="376" t="s">
        <v>644</v>
      </c>
      <c r="D899" s="376">
        <v>2021</v>
      </c>
      <c r="E899" s="376">
        <v>2022</v>
      </c>
      <c r="F899" s="376">
        <v>0.28070162831646173</v>
      </c>
      <c r="G899" s="376">
        <v>6454.3984013550207</v>
      </c>
      <c r="H899" s="376">
        <v>0.25299087477082649</v>
      </c>
      <c r="I899" s="376">
        <v>0.85</v>
      </c>
    </row>
    <row r="900" spans="1:9" x14ac:dyDescent="0.35">
      <c r="A900" s="376" t="s">
        <v>1614</v>
      </c>
      <c r="B900" s="376" t="s">
        <v>1609</v>
      </c>
      <c r="C900" s="376" t="s">
        <v>628</v>
      </c>
      <c r="D900" s="376">
        <v>2021</v>
      </c>
      <c r="E900" s="376">
        <v>2022</v>
      </c>
      <c r="F900" s="376">
        <v>0.28070162831646173</v>
      </c>
      <c r="G900" s="376">
        <v>6454.3984013550207</v>
      </c>
      <c r="H900" s="376">
        <v>0.25299087477082649</v>
      </c>
      <c r="I900" s="376">
        <v>0.85</v>
      </c>
    </row>
    <row r="901" spans="1:9" x14ac:dyDescent="0.35">
      <c r="A901" s="376" t="s">
        <v>1614</v>
      </c>
      <c r="B901" s="376" t="s">
        <v>1609</v>
      </c>
      <c r="C901" s="376" t="s">
        <v>1051</v>
      </c>
      <c r="D901" s="376">
        <v>2021</v>
      </c>
      <c r="E901" s="376">
        <v>2022</v>
      </c>
      <c r="F901" s="376">
        <v>0.28070162831646173</v>
      </c>
      <c r="G901" s="376">
        <v>6454.3984013550207</v>
      </c>
      <c r="H901" s="376">
        <v>0.25299087477082649</v>
      </c>
      <c r="I901" s="376">
        <v>0.85</v>
      </c>
    </row>
    <row r="902" spans="1:9" x14ac:dyDescent="0.35">
      <c r="A902" s="376" t="s">
        <v>1614</v>
      </c>
      <c r="B902" s="376" t="s">
        <v>1609</v>
      </c>
      <c r="C902" s="376" t="s">
        <v>1054</v>
      </c>
      <c r="D902" s="376">
        <v>2021</v>
      </c>
      <c r="E902" s="376">
        <v>2022</v>
      </c>
      <c r="F902" s="376">
        <v>0.28070162831646173</v>
      </c>
      <c r="G902" s="376">
        <v>6454.3984013550207</v>
      </c>
      <c r="H902" s="376">
        <v>0.25299087477082649</v>
      </c>
      <c r="I902" s="376">
        <v>0.85</v>
      </c>
    </row>
    <row r="903" spans="1:9" x14ac:dyDescent="0.35">
      <c r="A903" s="376" t="s">
        <v>1614</v>
      </c>
      <c r="B903" s="376" t="s">
        <v>1609</v>
      </c>
      <c r="C903" s="376" t="s">
        <v>1046</v>
      </c>
      <c r="D903" s="376">
        <v>2021</v>
      </c>
      <c r="E903" s="376">
        <v>2023</v>
      </c>
      <c r="F903" s="376">
        <v>0.28070162831646173</v>
      </c>
      <c r="G903" s="376">
        <v>6454.3984013550207</v>
      </c>
      <c r="H903" s="376">
        <v>0.25299087477082649</v>
      </c>
      <c r="I903" s="376">
        <v>0.85</v>
      </c>
    </row>
    <row r="904" spans="1:9" x14ac:dyDescent="0.35">
      <c r="A904" s="376" t="s">
        <v>1614</v>
      </c>
      <c r="B904" s="376" t="s">
        <v>1609</v>
      </c>
      <c r="C904" s="376" t="s">
        <v>644</v>
      </c>
      <c r="D904" s="376">
        <v>2021</v>
      </c>
      <c r="E904" s="376">
        <v>2023</v>
      </c>
      <c r="F904" s="376">
        <v>0.28070162831646173</v>
      </c>
      <c r="G904" s="376">
        <v>6454.3984013550207</v>
      </c>
      <c r="H904" s="376">
        <v>0.25299087477082649</v>
      </c>
      <c r="I904" s="376">
        <v>0.85</v>
      </c>
    </row>
    <row r="905" spans="1:9" x14ac:dyDescent="0.35">
      <c r="A905" s="376" t="s">
        <v>1614</v>
      </c>
      <c r="B905" s="376" t="s">
        <v>1609</v>
      </c>
      <c r="C905" s="376" t="s">
        <v>628</v>
      </c>
      <c r="D905" s="376">
        <v>2021</v>
      </c>
      <c r="E905" s="376">
        <v>2023</v>
      </c>
      <c r="F905" s="376">
        <v>0.28070162831646173</v>
      </c>
      <c r="G905" s="376">
        <v>6454.3984013550207</v>
      </c>
      <c r="H905" s="376">
        <v>0.25299087477082649</v>
      </c>
      <c r="I905" s="376">
        <v>0.85</v>
      </c>
    </row>
    <row r="906" spans="1:9" x14ac:dyDescent="0.35">
      <c r="A906" s="376" t="s">
        <v>1614</v>
      </c>
      <c r="B906" s="376" t="s">
        <v>1609</v>
      </c>
      <c r="C906" s="376" t="s">
        <v>1051</v>
      </c>
      <c r="D906" s="376">
        <v>2021</v>
      </c>
      <c r="E906" s="376">
        <v>2023</v>
      </c>
      <c r="F906" s="376">
        <v>0.28070162831646173</v>
      </c>
      <c r="G906" s="376">
        <v>6454.3984013550207</v>
      </c>
      <c r="H906" s="376">
        <v>0.25299087477082649</v>
      </c>
      <c r="I906" s="376">
        <v>0.85</v>
      </c>
    </row>
    <row r="907" spans="1:9" x14ac:dyDescent="0.35">
      <c r="A907" s="376" t="s">
        <v>1614</v>
      </c>
      <c r="B907" s="376" t="s">
        <v>1609</v>
      </c>
      <c r="C907" s="376" t="s">
        <v>1054</v>
      </c>
      <c r="D907" s="376">
        <v>2021</v>
      </c>
      <c r="E907" s="376">
        <v>2023</v>
      </c>
      <c r="F907" s="376">
        <v>0.28070162831646173</v>
      </c>
      <c r="G907" s="376">
        <v>6454.3984013550207</v>
      </c>
      <c r="H907" s="376">
        <v>0.25299087477082649</v>
      </c>
      <c r="I907" s="376">
        <v>0.85</v>
      </c>
    </row>
    <row r="908" spans="1:9" x14ac:dyDescent="0.35">
      <c r="A908" s="376" t="s">
        <v>1614</v>
      </c>
      <c r="B908" s="376" t="s">
        <v>1609</v>
      </c>
      <c r="C908" s="376" t="s">
        <v>1046</v>
      </c>
      <c r="D908" s="376">
        <v>2021</v>
      </c>
      <c r="E908" s="376">
        <v>2024</v>
      </c>
      <c r="F908" s="376">
        <v>0.28070162831646173</v>
      </c>
      <c r="G908" s="376">
        <v>6454.3984013550207</v>
      </c>
      <c r="H908" s="376">
        <v>0.25299087477082649</v>
      </c>
      <c r="I908" s="376">
        <v>0.85</v>
      </c>
    </row>
    <row r="909" spans="1:9" x14ac:dyDescent="0.35">
      <c r="A909" s="376" t="s">
        <v>1614</v>
      </c>
      <c r="B909" s="376" t="s">
        <v>1609</v>
      </c>
      <c r="C909" s="376" t="s">
        <v>644</v>
      </c>
      <c r="D909" s="376">
        <v>2021</v>
      </c>
      <c r="E909" s="376">
        <v>2024</v>
      </c>
      <c r="F909" s="376">
        <v>0.28070162831646173</v>
      </c>
      <c r="G909" s="376">
        <v>6454.3984013550207</v>
      </c>
      <c r="H909" s="376">
        <v>0.25299087477082649</v>
      </c>
      <c r="I909" s="376">
        <v>0.85</v>
      </c>
    </row>
    <row r="910" spans="1:9" x14ac:dyDescent="0.35">
      <c r="A910" s="376" t="s">
        <v>1614</v>
      </c>
      <c r="B910" s="376" t="s">
        <v>1609</v>
      </c>
      <c r="C910" s="376" t="s">
        <v>628</v>
      </c>
      <c r="D910" s="376">
        <v>2021</v>
      </c>
      <c r="E910" s="376">
        <v>2024</v>
      </c>
      <c r="F910" s="376">
        <v>0.28070162831646173</v>
      </c>
      <c r="G910" s="376">
        <v>6454.3984013550207</v>
      </c>
      <c r="H910" s="376">
        <v>0.25299087477082649</v>
      </c>
      <c r="I910" s="376">
        <v>0.85</v>
      </c>
    </row>
    <row r="911" spans="1:9" x14ac:dyDescent="0.35">
      <c r="A911" s="376" t="s">
        <v>1614</v>
      </c>
      <c r="B911" s="376" t="s">
        <v>1609</v>
      </c>
      <c r="C911" s="376" t="s">
        <v>1051</v>
      </c>
      <c r="D911" s="376">
        <v>2021</v>
      </c>
      <c r="E911" s="376">
        <v>2024</v>
      </c>
      <c r="F911" s="376">
        <v>0.28070162831646173</v>
      </c>
      <c r="G911" s="376">
        <v>6454.3984013550207</v>
      </c>
      <c r="H911" s="376">
        <v>0.25299087477082649</v>
      </c>
      <c r="I911" s="376">
        <v>0.85</v>
      </c>
    </row>
    <row r="912" spans="1:9" x14ac:dyDescent="0.35">
      <c r="A912" s="376" t="s">
        <v>1614</v>
      </c>
      <c r="B912" s="376" t="s">
        <v>1609</v>
      </c>
      <c r="C912" s="376" t="s">
        <v>1054</v>
      </c>
      <c r="D912" s="376">
        <v>2021</v>
      </c>
      <c r="E912" s="376">
        <v>2024</v>
      </c>
      <c r="F912" s="376">
        <v>0.28070162831646173</v>
      </c>
      <c r="G912" s="376">
        <v>6454.3984013550207</v>
      </c>
      <c r="H912" s="376">
        <v>0.25299087477082649</v>
      </c>
      <c r="I912" s="376">
        <v>0.85</v>
      </c>
    </row>
    <row r="913" spans="1:9" x14ac:dyDescent="0.35">
      <c r="A913" s="376" t="s">
        <v>1614</v>
      </c>
      <c r="B913" s="376" t="s">
        <v>1609</v>
      </c>
      <c r="C913" s="376" t="s">
        <v>1046</v>
      </c>
      <c r="D913" s="376">
        <v>2021</v>
      </c>
      <c r="E913" s="376">
        <v>2025</v>
      </c>
      <c r="F913" s="376">
        <v>0.28070162831646173</v>
      </c>
      <c r="G913" s="376">
        <v>6454.3984013550207</v>
      </c>
      <c r="H913" s="376">
        <v>0.25299087477082649</v>
      </c>
      <c r="I913" s="376">
        <v>0.85</v>
      </c>
    </row>
    <row r="914" spans="1:9" x14ac:dyDescent="0.35">
      <c r="A914" s="376" t="s">
        <v>1614</v>
      </c>
      <c r="B914" s="376" t="s">
        <v>1609</v>
      </c>
      <c r="C914" s="376" t="s">
        <v>644</v>
      </c>
      <c r="D914" s="376">
        <v>2021</v>
      </c>
      <c r="E914" s="376">
        <v>2025</v>
      </c>
      <c r="F914" s="376">
        <v>0.28070162831646173</v>
      </c>
      <c r="G914" s="376">
        <v>6454.3984013550207</v>
      </c>
      <c r="H914" s="376">
        <v>0.25299087477082649</v>
      </c>
      <c r="I914" s="376">
        <v>0.85</v>
      </c>
    </row>
    <row r="915" spans="1:9" x14ac:dyDescent="0.35">
      <c r="A915" s="376" t="s">
        <v>1614</v>
      </c>
      <c r="B915" s="376" t="s">
        <v>1609</v>
      </c>
      <c r="C915" s="376" t="s">
        <v>628</v>
      </c>
      <c r="D915" s="376">
        <v>2021</v>
      </c>
      <c r="E915" s="376">
        <v>2025</v>
      </c>
      <c r="F915" s="376">
        <v>0.28070162831646173</v>
      </c>
      <c r="G915" s="376">
        <v>6454.3984013550207</v>
      </c>
      <c r="H915" s="376">
        <v>0.25299087477082649</v>
      </c>
      <c r="I915" s="376">
        <v>0.85</v>
      </c>
    </row>
    <row r="916" spans="1:9" x14ac:dyDescent="0.35">
      <c r="A916" s="376" t="s">
        <v>1614</v>
      </c>
      <c r="B916" s="376" t="s">
        <v>1609</v>
      </c>
      <c r="C916" s="376" t="s">
        <v>1051</v>
      </c>
      <c r="D916" s="376">
        <v>2021</v>
      </c>
      <c r="E916" s="376">
        <v>2025</v>
      </c>
      <c r="F916" s="376">
        <v>0.28070162831646173</v>
      </c>
      <c r="G916" s="376">
        <v>6454.3984013550207</v>
      </c>
      <c r="H916" s="376">
        <v>0.25299087477082649</v>
      </c>
      <c r="I916" s="376">
        <v>0.85</v>
      </c>
    </row>
    <row r="917" spans="1:9" x14ac:dyDescent="0.35">
      <c r="A917" s="376" t="s">
        <v>1614</v>
      </c>
      <c r="B917" s="376" t="s">
        <v>1609</v>
      </c>
      <c r="C917" s="376" t="s">
        <v>1054</v>
      </c>
      <c r="D917" s="376">
        <v>2021</v>
      </c>
      <c r="E917" s="376">
        <v>2025</v>
      </c>
      <c r="F917" s="376">
        <v>0.28070162831646173</v>
      </c>
      <c r="G917" s="376">
        <v>6454.3984013550207</v>
      </c>
      <c r="H917" s="376">
        <v>0.25299087477082649</v>
      </c>
      <c r="I917" s="376">
        <v>0.85</v>
      </c>
    </row>
    <row r="918" spans="1:9" x14ac:dyDescent="0.35">
      <c r="A918" s="376" t="s">
        <v>1614</v>
      </c>
      <c r="B918" s="376" t="s">
        <v>1609</v>
      </c>
      <c r="C918" s="376" t="s">
        <v>1046</v>
      </c>
      <c r="D918" s="376">
        <v>2021</v>
      </c>
      <c r="E918" s="376">
        <v>2026</v>
      </c>
      <c r="F918" s="376">
        <v>0.28070162831646173</v>
      </c>
      <c r="G918" s="376">
        <v>6454.3984013550207</v>
      </c>
      <c r="H918" s="376">
        <v>0.25299087477082649</v>
      </c>
      <c r="I918" s="376">
        <v>0.85</v>
      </c>
    </row>
    <row r="919" spans="1:9" x14ac:dyDescent="0.35">
      <c r="A919" s="376" t="s">
        <v>1614</v>
      </c>
      <c r="B919" s="376" t="s">
        <v>1609</v>
      </c>
      <c r="C919" s="376" t="s">
        <v>644</v>
      </c>
      <c r="D919" s="376">
        <v>2021</v>
      </c>
      <c r="E919" s="376">
        <v>2026</v>
      </c>
      <c r="F919" s="376">
        <v>0.28070162831646173</v>
      </c>
      <c r="G919" s="376">
        <v>6454.3984013550207</v>
      </c>
      <c r="H919" s="376">
        <v>0.25299087477082649</v>
      </c>
      <c r="I919" s="376">
        <v>0.85</v>
      </c>
    </row>
    <row r="920" spans="1:9" x14ac:dyDescent="0.35">
      <c r="A920" s="376" t="s">
        <v>1614</v>
      </c>
      <c r="B920" s="376" t="s">
        <v>1609</v>
      </c>
      <c r="C920" s="376" t="s">
        <v>628</v>
      </c>
      <c r="D920" s="376">
        <v>2021</v>
      </c>
      <c r="E920" s="376">
        <v>2026</v>
      </c>
      <c r="F920" s="376">
        <v>0.28070162831646173</v>
      </c>
      <c r="G920" s="376">
        <v>6454.3984013550207</v>
      </c>
      <c r="H920" s="376">
        <v>0.25299087477082649</v>
      </c>
      <c r="I920" s="376">
        <v>0.85</v>
      </c>
    </row>
    <row r="921" spans="1:9" x14ac:dyDescent="0.35">
      <c r="A921" s="376" t="s">
        <v>1614</v>
      </c>
      <c r="B921" s="376" t="s">
        <v>1609</v>
      </c>
      <c r="C921" s="376" t="s">
        <v>1051</v>
      </c>
      <c r="D921" s="376">
        <v>2021</v>
      </c>
      <c r="E921" s="376">
        <v>2026</v>
      </c>
      <c r="F921" s="376">
        <v>0.28070162831646173</v>
      </c>
      <c r="G921" s="376">
        <v>6454.3984013550207</v>
      </c>
      <c r="H921" s="376">
        <v>0.25299087477082649</v>
      </c>
      <c r="I921" s="376">
        <v>0.85</v>
      </c>
    </row>
    <row r="922" spans="1:9" x14ac:dyDescent="0.35">
      <c r="A922" s="376" t="s">
        <v>1614</v>
      </c>
      <c r="B922" s="376" t="s">
        <v>1609</v>
      </c>
      <c r="C922" s="376" t="s">
        <v>1054</v>
      </c>
      <c r="D922" s="376">
        <v>2021</v>
      </c>
      <c r="E922" s="376">
        <v>2026</v>
      </c>
      <c r="F922" s="376">
        <v>0.28070162831646173</v>
      </c>
      <c r="G922" s="376">
        <v>6454.3984013550207</v>
      </c>
      <c r="H922" s="376">
        <v>0.25299087477082649</v>
      </c>
      <c r="I922" s="376">
        <v>0.85</v>
      </c>
    </row>
    <row r="923" spans="1:9" x14ac:dyDescent="0.35">
      <c r="A923" s="376" t="s">
        <v>1614</v>
      </c>
      <c r="B923" s="376" t="s">
        <v>1609</v>
      </c>
      <c r="C923" s="376" t="s">
        <v>1046</v>
      </c>
      <c r="D923" s="376">
        <v>2021</v>
      </c>
      <c r="E923" s="376">
        <v>2027</v>
      </c>
      <c r="F923" s="376">
        <v>0.28070162831646173</v>
      </c>
      <c r="G923" s="376">
        <v>6454.3984013550207</v>
      </c>
      <c r="H923" s="376">
        <v>0.25299087477082649</v>
      </c>
      <c r="I923" s="376">
        <v>0.85</v>
      </c>
    </row>
    <row r="924" spans="1:9" x14ac:dyDescent="0.35">
      <c r="A924" s="376" t="s">
        <v>1614</v>
      </c>
      <c r="B924" s="376" t="s">
        <v>1609</v>
      </c>
      <c r="C924" s="376" t="s">
        <v>644</v>
      </c>
      <c r="D924" s="376">
        <v>2021</v>
      </c>
      <c r="E924" s="376">
        <v>2027</v>
      </c>
      <c r="F924" s="376">
        <v>0.28070162831646173</v>
      </c>
      <c r="G924" s="376">
        <v>6454.3984013550207</v>
      </c>
      <c r="H924" s="376">
        <v>0.25299087477082649</v>
      </c>
      <c r="I924" s="376">
        <v>0.85</v>
      </c>
    </row>
    <row r="925" spans="1:9" x14ac:dyDescent="0.35">
      <c r="A925" s="376" t="s">
        <v>1614</v>
      </c>
      <c r="B925" s="376" t="s">
        <v>1609</v>
      </c>
      <c r="C925" s="376" t="s">
        <v>628</v>
      </c>
      <c r="D925" s="376">
        <v>2021</v>
      </c>
      <c r="E925" s="376">
        <v>2027</v>
      </c>
      <c r="F925" s="376">
        <v>0.28070162831646173</v>
      </c>
      <c r="G925" s="376">
        <v>6454.3984013550207</v>
      </c>
      <c r="H925" s="376">
        <v>0.25299087477082649</v>
      </c>
      <c r="I925" s="376">
        <v>0.85</v>
      </c>
    </row>
    <row r="926" spans="1:9" x14ac:dyDescent="0.35">
      <c r="A926" s="376" t="s">
        <v>1614</v>
      </c>
      <c r="B926" s="376" t="s">
        <v>1609</v>
      </c>
      <c r="C926" s="376" t="s">
        <v>1051</v>
      </c>
      <c r="D926" s="376">
        <v>2021</v>
      </c>
      <c r="E926" s="376">
        <v>2027</v>
      </c>
      <c r="F926" s="376">
        <v>0.28070162831646173</v>
      </c>
      <c r="G926" s="376">
        <v>6454.3984013550207</v>
      </c>
      <c r="H926" s="376">
        <v>0.25299087477082649</v>
      </c>
      <c r="I926" s="376">
        <v>0.85</v>
      </c>
    </row>
    <row r="927" spans="1:9" x14ac:dyDescent="0.35">
      <c r="A927" s="376" t="s">
        <v>1614</v>
      </c>
      <c r="B927" s="376" t="s">
        <v>1609</v>
      </c>
      <c r="C927" s="376" t="s">
        <v>1054</v>
      </c>
      <c r="D927" s="376">
        <v>2021</v>
      </c>
      <c r="E927" s="376">
        <v>2027</v>
      </c>
      <c r="F927" s="376">
        <v>0.28070162831646173</v>
      </c>
      <c r="G927" s="376">
        <v>6454.3984013550207</v>
      </c>
      <c r="H927" s="376">
        <v>0.25299087477082649</v>
      </c>
      <c r="I927" s="376">
        <v>0.85</v>
      </c>
    </row>
    <row r="928" spans="1:9" x14ac:dyDescent="0.35">
      <c r="A928" s="376" t="s">
        <v>1614</v>
      </c>
      <c r="B928" s="376" t="s">
        <v>1609</v>
      </c>
      <c r="C928" s="376" t="s">
        <v>1046</v>
      </c>
      <c r="D928" s="376">
        <v>2021</v>
      </c>
      <c r="E928" s="376">
        <v>2028</v>
      </c>
      <c r="F928" s="376">
        <v>0.28070162831646173</v>
      </c>
      <c r="G928" s="376">
        <v>6454.3984013550207</v>
      </c>
      <c r="H928" s="376">
        <v>0.25299087477082649</v>
      </c>
      <c r="I928" s="376">
        <v>0.85</v>
      </c>
    </row>
    <row r="929" spans="1:9" x14ac:dyDescent="0.35">
      <c r="A929" s="376" t="s">
        <v>1614</v>
      </c>
      <c r="B929" s="376" t="s">
        <v>1609</v>
      </c>
      <c r="C929" s="376" t="s">
        <v>644</v>
      </c>
      <c r="D929" s="376">
        <v>2021</v>
      </c>
      <c r="E929" s="376">
        <v>2028</v>
      </c>
      <c r="F929" s="376">
        <v>0.28070162831646173</v>
      </c>
      <c r="G929" s="376">
        <v>6454.3984013550207</v>
      </c>
      <c r="H929" s="376">
        <v>0.25299087477082649</v>
      </c>
      <c r="I929" s="376">
        <v>0.85</v>
      </c>
    </row>
    <row r="930" spans="1:9" x14ac:dyDescent="0.35">
      <c r="A930" s="376" t="s">
        <v>1614</v>
      </c>
      <c r="B930" s="376" t="s">
        <v>1609</v>
      </c>
      <c r="C930" s="376" t="s">
        <v>628</v>
      </c>
      <c r="D930" s="376">
        <v>2021</v>
      </c>
      <c r="E930" s="376">
        <v>2028</v>
      </c>
      <c r="F930" s="376">
        <v>0.28070162831646173</v>
      </c>
      <c r="G930" s="376">
        <v>6454.3984013550207</v>
      </c>
      <c r="H930" s="376">
        <v>0.25299087477082649</v>
      </c>
      <c r="I930" s="376">
        <v>0.85</v>
      </c>
    </row>
    <row r="931" spans="1:9" x14ac:dyDescent="0.35">
      <c r="A931" s="376" t="s">
        <v>1614</v>
      </c>
      <c r="B931" s="376" t="s">
        <v>1609</v>
      </c>
      <c r="C931" s="376" t="s">
        <v>1051</v>
      </c>
      <c r="D931" s="376">
        <v>2021</v>
      </c>
      <c r="E931" s="376">
        <v>2028</v>
      </c>
      <c r="F931" s="376">
        <v>0.28070162831646173</v>
      </c>
      <c r="G931" s="376">
        <v>6454.3984013550207</v>
      </c>
      <c r="H931" s="376">
        <v>0.25299087477082649</v>
      </c>
      <c r="I931" s="376">
        <v>0.85</v>
      </c>
    </row>
    <row r="932" spans="1:9" x14ac:dyDescent="0.35">
      <c r="A932" s="376" t="s">
        <v>1614</v>
      </c>
      <c r="B932" s="376" t="s">
        <v>1609</v>
      </c>
      <c r="C932" s="376" t="s">
        <v>1054</v>
      </c>
      <c r="D932" s="376">
        <v>2021</v>
      </c>
      <c r="E932" s="376">
        <v>2028</v>
      </c>
      <c r="F932" s="376">
        <v>0.28070162831646173</v>
      </c>
      <c r="G932" s="376">
        <v>6454.3984013550207</v>
      </c>
      <c r="H932" s="376">
        <v>0.25299087477082649</v>
      </c>
      <c r="I932" s="376">
        <v>0.85</v>
      </c>
    </row>
    <row r="933" spans="1:9" x14ac:dyDescent="0.35">
      <c r="A933" s="376" t="s">
        <v>1614</v>
      </c>
      <c r="B933" s="376" t="s">
        <v>1609</v>
      </c>
      <c r="C933" s="376" t="s">
        <v>1046</v>
      </c>
      <c r="D933" s="376">
        <v>2021</v>
      </c>
      <c r="E933" s="376">
        <v>2029</v>
      </c>
      <c r="F933" s="376">
        <v>0.28070162831646173</v>
      </c>
      <c r="G933" s="376">
        <v>6454.3984013550207</v>
      </c>
      <c r="H933" s="376">
        <v>0.25299087477082649</v>
      </c>
      <c r="I933" s="376">
        <v>0.85</v>
      </c>
    </row>
    <row r="934" spans="1:9" x14ac:dyDescent="0.35">
      <c r="A934" s="376" t="s">
        <v>1614</v>
      </c>
      <c r="B934" s="376" t="s">
        <v>1609</v>
      </c>
      <c r="C934" s="376" t="s">
        <v>644</v>
      </c>
      <c r="D934" s="376">
        <v>2021</v>
      </c>
      <c r="E934" s="376">
        <v>2029</v>
      </c>
      <c r="F934" s="376">
        <v>0.28070162831646173</v>
      </c>
      <c r="G934" s="376">
        <v>6454.3984013550207</v>
      </c>
      <c r="H934" s="376">
        <v>0.25299087477082649</v>
      </c>
      <c r="I934" s="376">
        <v>0.85</v>
      </c>
    </row>
    <row r="935" spans="1:9" x14ac:dyDescent="0.35">
      <c r="A935" s="376" t="s">
        <v>1614</v>
      </c>
      <c r="B935" s="376" t="s">
        <v>1609</v>
      </c>
      <c r="C935" s="376" t="s">
        <v>628</v>
      </c>
      <c r="D935" s="376">
        <v>2021</v>
      </c>
      <c r="E935" s="376">
        <v>2029</v>
      </c>
      <c r="F935" s="376">
        <v>0.28070162831646173</v>
      </c>
      <c r="G935" s="376">
        <v>6454.3984013550207</v>
      </c>
      <c r="H935" s="376">
        <v>0.25299087477082649</v>
      </c>
      <c r="I935" s="376">
        <v>0.85</v>
      </c>
    </row>
    <row r="936" spans="1:9" x14ac:dyDescent="0.35">
      <c r="A936" s="376" t="s">
        <v>1614</v>
      </c>
      <c r="B936" s="376" t="s">
        <v>1609</v>
      </c>
      <c r="C936" s="376" t="s">
        <v>1051</v>
      </c>
      <c r="D936" s="376">
        <v>2021</v>
      </c>
      <c r="E936" s="376">
        <v>2029</v>
      </c>
      <c r="F936" s="376">
        <v>0.28070162831646173</v>
      </c>
      <c r="G936" s="376">
        <v>6454.3984013550207</v>
      </c>
      <c r="H936" s="376">
        <v>0.25299087477082649</v>
      </c>
      <c r="I936" s="376">
        <v>0.85</v>
      </c>
    </row>
    <row r="937" spans="1:9" x14ac:dyDescent="0.35">
      <c r="A937" s="376" t="s">
        <v>1614</v>
      </c>
      <c r="B937" s="376" t="s">
        <v>1609</v>
      </c>
      <c r="C937" s="376" t="s">
        <v>1054</v>
      </c>
      <c r="D937" s="376">
        <v>2021</v>
      </c>
      <c r="E937" s="376">
        <v>2029</v>
      </c>
      <c r="F937" s="376">
        <v>0.28070162831646173</v>
      </c>
      <c r="G937" s="376">
        <v>6454.3984013550207</v>
      </c>
      <c r="H937" s="376">
        <v>0.25299087477082649</v>
      </c>
      <c r="I937" s="376">
        <v>0.85</v>
      </c>
    </row>
    <row r="938" spans="1:9" x14ac:dyDescent="0.35">
      <c r="A938" s="376" t="s">
        <v>1614</v>
      </c>
      <c r="B938" s="376" t="s">
        <v>1609</v>
      </c>
      <c r="C938" s="376" t="s">
        <v>1046</v>
      </c>
      <c r="D938" s="376">
        <v>2021</v>
      </c>
      <c r="E938" s="376">
        <v>2030</v>
      </c>
      <c r="F938" s="376">
        <v>0.28070162831646173</v>
      </c>
      <c r="G938" s="376">
        <v>6454.3984013550207</v>
      </c>
      <c r="H938" s="376">
        <v>0.25299087477082649</v>
      </c>
      <c r="I938" s="376">
        <v>0.85</v>
      </c>
    </row>
    <row r="939" spans="1:9" x14ac:dyDescent="0.35">
      <c r="A939" s="376" t="s">
        <v>1614</v>
      </c>
      <c r="B939" s="376" t="s">
        <v>1609</v>
      </c>
      <c r="C939" s="376" t="s">
        <v>644</v>
      </c>
      <c r="D939" s="376">
        <v>2021</v>
      </c>
      <c r="E939" s="376">
        <v>2030</v>
      </c>
      <c r="F939" s="376">
        <v>0.28070162831646173</v>
      </c>
      <c r="G939" s="376">
        <v>6454.3984013550207</v>
      </c>
      <c r="H939" s="376">
        <v>0.25299087477082649</v>
      </c>
      <c r="I939" s="376">
        <v>0.85</v>
      </c>
    </row>
    <row r="940" spans="1:9" x14ac:dyDescent="0.35">
      <c r="A940" s="376" t="s">
        <v>1614</v>
      </c>
      <c r="B940" s="376" t="s">
        <v>1609</v>
      </c>
      <c r="C940" s="376" t="s">
        <v>628</v>
      </c>
      <c r="D940" s="376">
        <v>2021</v>
      </c>
      <c r="E940" s="376">
        <v>2030</v>
      </c>
      <c r="F940" s="376">
        <v>0.28070162831646173</v>
      </c>
      <c r="G940" s="376">
        <v>6454.3984013550207</v>
      </c>
      <c r="H940" s="376">
        <v>0.25299087477082649</v>
      </c>
      <c r="I940" s="376">
        <v>0.85</v>
      </c>
    </row>
    <row r="941" spans="1:9" x14ac:dyDescent="0.35">
      <c r="A941" s="376" t="s">
        <v>1614</v>
      </c>
      <c r="B941" s="376" t="s">
        <v>1609</v>
      </c>
      <c r="C941" s="376" t="s">
        <v>1051</v>
      </c>
      <c r="D941" s="376">
        <v>2021</v>
      </c>
      <c r="E941" s="376">
        <v>2030</v>
      </c>
      <c r="F941" s="376">
        <v>0.28070162831646173</v>
      </c>
      <c r="G941" s="376">
        <v>6454.3984013550207</v>
      </c>
      <c r="H941" s="376">
        <v>0.25299087477082649</v>
      </c>
      <c r="I941" s="376">
        <v>0.85</v>
      </c>
    </row>
    <row r="942" spans="1:9" x14ac:dyDescent="0.35">
      <c r="A942" s="376" t="s">
        <v>1614</v>
      </c>
      <c r="B942" s="376" t="s">
        <v>1609</v>
      </c>
      <c r="C942" s="376" t="s">
        <v>1054</v>
      </c>
      <c r="D942" s="376">
        <v>2021</v>
      </c>
      <c r="E942" s="376">
        <v>2030</v>
      </c>
      <c r="F942" s="376">
        <v>0.28070162831646173</v>
      </c>
      <c r="G942" s="376">
        <v>6454.3984013550207</v>
      </c>
      <c r="H942" s="376">
        <v>0.25299087477082649</v>
      </c>
      <c r="I942" s="376">
        <v>0.85</v>
      </c>
    </row>
    <row r="943" spans="1:9" x14ac:dyDescent="0.35">
      <c r="A943" s="376" t="s">
        <v>1614</v>
      </c>
      <c r="B943" s="376" t="s">
        <v>1609</v>
      </c>
      <c r="C943" s="376" t="s">
        <v>1046</v>
      </c>
      <c r="D943" s="376">
        <v>2021</v>
      </c>
      <c r="E943" s="376">
        <v>2031</v>
      </c>
      <c r="F943" s="376">
        <v>0.28070162831646173</v>
      </c>
      <c r="G943" s="376">
        <v>6454.3984013550207</v>
      </c>
      <c r="H943" s="376">
        <v>0.25299087477082649</v>
      </c>
      <c r="I943" s="376">
        <v>0.85</v>
      </c>
    </row>
    <row r="944" spans="1:9" x14ac:dyDescent="0.35">
      <c r="A944" s="376" t="s">
        <v>1614</v>
      </c>
      <c r="B944" s="376" t="s">
        <v>1609</v>
      </c>
      <c r="C944" s="376" t="s">
        <v>644</v>
      </c>
      <c r="D944" s="376">
        <v>2021</v>
      </c>
      <c r="E944" s="376">
        <v>2031</v>
      </c>
      <c r="F944" s="376">
        <v>0.28070162831646173</v>
      </c>
      <c r="G944" s="376">
        <v>6454.3984013550207</v>
      </c>
      <c r="H944" s="376">
        <v>0.25299087477082649</v>
      </c>
      <c r="I944" s="376">
        <v>0.85</v>
      </c>
    </row>
    <row r="945" spans="1:9" x14ac:dyDescent="0.35">
      <c r="A945" s="376" t="s">
        <v>1614</v>
      </c>
      <c r="B945" s="376" t="s">
        <v>1609</v>
      </c>
      <c r="C945" s="376" t="s">
        <v>628</v>
      </c>
      <c r="D945" s="376">
        <v>2021</v>
      </c>
      <c r="E945" s="376">
        <v>2031</v>
      </c>
      <c r="F945" s="376">
        <v>0.28070162831646173</v>
      </c>
      <c r="G945" s="376">
        <v>6454.3984013550207</v>
      </c>
      <c r="H945" s="376">
        <v>0.25299087477082649</v>
      </c>
      <c r="I945" s="376">
        <v>0.85</v>
      </c>
    </row>
    <row r="946" spans="1:9" x14ac:dyDescent="0.35">
      <c r="A946" s="376" t="s">
        <v>1614</v>
      </c>
      <c r="B946" s="376" t="s">
        <v>1609</v>
      </c>
      <c r="C946" s="376" t="s">
        <v>1051</v>
      </c>
      <c r="D946" s="376">
        <v>2021</v>
      </c>
      <c r="E946" s="376">
        <v>2031</v>
      </c>
      <c r="F946" s="376">
        <v>0.28070162831646173</v>
      </c>
      <c r="G946" s="376">
        <v>6454.3984013550207</v>
      </c>
      <c r="H946" s="376">
        <v>0.25299087477082649</v>
      </c>
      <c r="I946" s="376">
        <v>0.85</v>
      </c>
    </row>
    <row r="947" spans="1:9" x14ac:dyDescent="0.35">
      <c r="A947" s="376" t="s">
        <v>1614</v>
      </c>
      <c r="B947" s="376" t="s">
        <v>1609</v>
      </c>
      <c r="C947" s="376" t="s">
        <v>1054</v>
      </c>
      <c r="D947" s="376">
        <v>2021</v>
      </c>
      <c r="E947" s="376">
        <v>2031</v>
      </c>
      <c r="F947" s="376">
        <v>0.28070162831646173</v>
      </c>
      <c r="G947" s="376">
        <v>6454.3984013550207</v>
      </c>
      <c r="H947" s="376">
        <v>0.25299087477082649</v>
      </c>
      <c r="I947" s="376">
        <v>0.85</v>
      </c>
    </row>
    <row r="948" spans="1:9" x14ac:dyDescent="0.35">
      <c r="A948" s="376" t="s">
        <v>1604</v>
      </c>
      <c r="B948" s="376" t="s">
        <v>1609</v>
      </c>
      <c r="C948" s="376" t="s">
        <v>1046</v>
      </c>
      <c r="D948" s="376">
        <v>2021</v>
      </c>
      <c r="E948" s="376">
        <v>2021</v>
      </c>
      <c r="F948" s="376">
        <v>1</v>
      </c>
      <c r="G948" s="376">
        <v>10872.741503138899</v>
      </c>
      <c r="H948" s="376">
        <v>0</v>
      </c>
      <c r="I948" s="376">
        <v>1</v>
      </c>
    </row>
    <row r="949" spans="1:9" x14ac:dyDescent="0.35">
      <c r="A949" s="376" t="s">
        <v>1604</v>
      </c>
      <c r="B949" s="376" t="s">
        <v>1609</v>
      </c>
      <c r="C949" s="376" t="s">
        <v>644</v>
      </c>
      <c r="D949" s="376">
        <v>2021</v>
      </c>
      <c r="E949" s="376">
        <v>2021</v>
      </c>
      <c r="F949" s="376">
        <v>1</v>
      </c>
      <c r="G949" s="376">
        <v>10872.741503138899</v>
      </c>
      <c r="H949" s="376">
        <v>0</v>
      </c>
      <c r="I949" s="376">
        <v>1</v>
      </c>
    </row>
    <row r="950" spans="1:9" x14ac:dyDescent="0.35">
      <c r="A950" s="376" t="s">
        <v>1604</v>
      </c>
      <c r="B950" s="376" t="s">
        <v>1609</v>
      </c>
      <c r="C950" s="376" t="s">
        <v>628</v>
      </c>
      <c r="D950" s="376">
        <v>2021</v>
      </c>
      <c r="E950" s="376">
        <v>2021</v>
      </c>
      <c r="F950" s="376">
        <v>1</v>
      </c>
      <c r="G950" s="376">
        <v>10872.741503138899</v>
      </c>
      <c r="H950" s="376">
        <v>0</v>
      </c>
      <c r="I950" s="376">
        <v>1</v>
      </c>
    </row>
    <row r="951" spans="1:9" x14ac:dyDescent="0.35">
      <c r="A951" s="376" t="s">
        <v>1604</v>
      </c>
      <c r="B951" s="376" t="s">
        <v>1609</v>
      </c>
      <c r="C951" s="376" t="s">
        <v>1051</v>
      </c>
      <c r="D951" s="376">
        <v>2021</v>
      </c>
      <c r="E951" s="376">
        <v>2021</v>
      </c>
      <c r="F951" s="376">
        <v>1</v>
      </c>
      <c r="G951" s="376">
        <v>10872.741503138899</v>
      </c>
      <c r="H951" s="376">
        <v>0</v>
      </c>
      <c r="I951" s="376">
        <v>1</v>
      </c>
    </row>
    <row r="952" spans="1:9" x14ac:dyDescent="0.35">
      <c r="A952" s="376" t="s">
        <v>1604</v>
      </c>
      <c r="B952" s="376" t="s">
        <v>1609</v>
      </c>
      <c r="C952" s="376" t="s">
        <v>1054</v>
      </c>
      <c r="D952" s="376">
        <v>2021</v>
      </c>
      <c r="E952" s="376">
        <v>2021</v>
      </c>
      <c r="F952" s="376">
        <v>1</v>
      </c>
      <c r="G952" s="376">
        <v>10872.741503138899</v>
      </c>
      <c r="H952" s="376">
        <v>0</v>
      </c>
      <c r="I952" s="376">
        <v>1</v>
      </c>
    </row>
    <row r="953" spans="1:9" x14ac:dyDescent="0.35">
      <c r="A953" s="376" t="s">
        <v>1604</v>
      </c>
      <c r="B953" s="376" t="s">
        <v>1609</v>
      </c>
      <c r="C953" s="376" t="s">
        <v>1046</v>
      </c>
      <c r="D953" s="376">
        <v>2021</v>
      </c>
      <c r="E953" s="376">
        <v>2022</v>
      </c>
      <c r="F953" s="376">
        <v>1</v>
      </c>
      <c r="G953" s="376">
        <v>10872.741503138899</v>
      </c>
      <c r="H953" s="376">
        <v>0</v>
      </c>
      <c r="I953" s="376">
        <v>1</v>
      </c>
    </row>
    <row r="954" spans="1:9" x14ac:dyDescent="0.35">
      <c r="A954" s="376" t="s">
        <v>1604</v>
      </c>
      <c r="B954" s="376" t="s">
        <v>1609</v>
      </c>
      <c r="C954" s="376" t="s">
        <v>644</v>
      </c>
      <c r="D954" s="376">
        <v>2021</v>
      </c>
      <c r="E954" s="376">
        <v>2022</v>
      </c>
      <c r="F954" s="376">
        <v>1</v>
      </c>
      <c r="G954" s="376">
        <v>10872.741503138899</v>
      </c>
      <c r="H954" s="376">
        <v>0</v>
      </c>
      <c r="I954" s="376">
        <v>1</v>
      </c>
    </row>
    <row r="955" spans="1:9" x14ac:dyDescent="0.35">
      <c r="A955" s="376" t="s">
        <v>1604</v>
      </c>
      <c r="B955" s="376" t="s">
        <v>1609</v>
      </c>
      <c r="C955" s="376" t="s">
        <v>628</v>
      </c>
      <c r="D955" s="376">
        <v>2021</v>
      </c>
      <c r="E955" s="376">
        <v>2022</v>
      </c>
      <c r="F955" s="376">
        <v>1</v>
      </c>
      <c r="G955" s="376">
        <v>10872.741503138899</v>
      </c>
      <c r="H955" s="376">
        <v>0</v>
      </c>
      <c r="I955" s="376">
        <v>1</v>
      </c>
    </row>
    <row r="956" spans="1:9" x14ac:dyDescent="0.35">
      <c r="A956" s="376" t="s">
        <v>1604</v>
      </c>
      <c r="B956" s="376" t="s">
        <v>1609</v>
      </c>
      <c r="C956" s="376" t="s">
        <v>1051</v>
      </c>
      <c r="D956" s="376">
        <v>2021</v>
      </c>
      <c r="E956" s="376">
        <v>2022</v>
      </c>
      <c r="F956" s="376">
        <v>1</v>
      </c>
      <c r="G956" s="376">
        <v>10872.741503138899</v>
      </c>
      <c r="H956" s="376">
        <v>0</v>
      </c>
      <c r="I956" s="376">
        <v>1</v>
      </c>
    </row>
    <row r="957" spans="1:9" x14ac:dyDescent="0.35">
      <c r="A957" s="376" t="s">
        <v>1604</v>
      </c>
      <c r="B957" s="376" t="s">
        <v>1609</v>
      </c>
      <c r="C957" s="376" t="s">
        <v>1054</v>
      </c>
      <c r="D957" s="376">
        <v>2021</v>
      </c>
      <c r="E957" s="376">
        <v>2022</v>
      </c>
      <c r="F957" s="376">
        <v>1</v>
      </c>
      <c r="G957" s="376">
        <v>10872.741503138899</v>
      </c>
      <c r="H957" s="376">
        <v>0</v>
      </c>
      <c r="I957" s="376">
        <v>1</v>
      </c>
    </row>
    <row r="958" spans="1:9" x14ac:dyDescent="0.35">
      <c r="A958" s="376" t="s">
        <v>1604</v>
      </c>
      <c r="B958" s="376" t="s">
        <v>1609</v>
      </c>
      <c r="C958" s="376" t="s">
        <v>1046</v>
      </c>
      <c r="D958" s="376">
        <v>2021</v>
      </c>
      <c r="E958" s="376">
        <v>2023</v>
      </c>
      <c r="F958" s="376">
        <v>1</v>
      </c>
      <c r="G958" s="376">
        <v>10872.741503138899</v>
      </c>
      <c r="H958" s="376">
        <v>0</v>
      </c>
      <c r="I958" s="376">
        <v>1</v>
      </c>
    </row>
    <row r="959" spans="1:9" x14ac:dyDescent="0.35">
      <c r="A959" s="376" t="s">
        <v>1604</v>
      </c>
      <c r="B959" s="376" t="s">
        <v>1609</v>
      </c>
      <c r="C959" s="376" t="s">
        <v>644</v>
      </c>
      <c r="D959" s="376">
        <v>2021</v>
      </c>
      <c r="E959" s="376">
        <v>2023</v>
      </c>
      <c r="F959" s="376">
        <v>1</v>
      </c>
      <c r="G959" s="376">
        <v>10872.741503138899</v>
      </c>
      <c r="H959" s="376">
        <v>0</v>
      </c>
      <c r="I959" s="376">
        <v>1</v>
      </c>
    </row>
    <row r="960" spans="1:9" x14ac:dyDescent="0.35">
      <c r="A960" s="376" t="s">
        <v>1604</v>
      </c>
      <c r="B960" s="376" t="s">
        <v>1609</v>
      </c>
      <c r="C960" s="376" t="s">
        <v>628</v>
      </c>
      <c r="D960" s="376">
        <v>2021</v>
      </c>
      <c r="E960" s="376">
        <v>2023</v>
      </c>
      <c r="F960" s="376">
        <v>1</v>
      </c>
      <c r="G960" s="376">
        <v>10872.741503138899</v>
      </c>
      <c r="H960" s="376">
        <v>0</v>
      </c>
      <c r="I960" s="376">
        <v>1</v>
      </c>
    </row>
    <row r="961" spans="1:9" x14ac:dyDescent="0.35">
      <c r="A961" s="376" t="s">
        <v>1604</v>
      </c>
      <c r="B961" s="376" t="s">
        <v>1609</v>
      </c>
      <c r="C961" s="376" t="s">
        <v>1051</v>
      </c>
      <c r="D961" s="376">
        <v>2021</v>
      </c>
      <c r="E961" s="376">
        <v>2023</v>
      </c>
      <c r="F961" s="376">
        <v>1</v>
      </c>
      <c r="G961" s="376">
        <v>10872.741503138899</v>
      </c>
      <c r="H961" s="376">
        <v>0</v>
      </c>
      <c r="I961" s="376">
        <v>1</v>
      </c>
    </row>
    <row r="962" spans="1:9" x14ac:dyDescent="0.35">
      <c r="A962" s="376" t="s">
        <v>1604</v>
      </c>
      <c r="B962" s="376" t="s">
        <v>1609</v>
      </c>
      <c r="C962" s="376" t="s">
        <v>1054</v>
      </c>
      <c r="D962" s="376">
        <v>2021</v>
      </c>
      <c r="E962" s="376">
        <v>2023</v>
      </c>
      <c r="F962" s="376">
        <v>1</v>
      </c>
      <c r="G962" s="376">
        <v>10872.741503138899</v>
      </c>
      <c r="H962" s="376">
        <v>0</v>
      </c>
      <c r="I962" s="376">
        <v>1</v>
      </c>
    </row>
    <row r="963" spans="1:9" x14ac:dyDescent="0.35">
      <c r="A963" s="376" t="s">
        <v>1604</v>
      </c>
      <c r="B963" s="376" t="s">
        <v>1609</v>
      </c>
      <c r="C963" s="376" t="s">
        <v>1046</v>
      </c>
      <c r="D963" s="376">
        <v>2021</v>
      </c>
      <c r="E963" s="376">
        <v>2024</v>
      </c>
      <c r="F963" s="376">
        <v>1</v>
      </c>
      <c r="G963" s="376">
        <v>10872.741503138899</v>
      </c>
      <c r="H963" s="376">
        <v>0</v>
      </c>
      <c r="I963" s="376">
        <v>1</v>
      </c>
    </row>
    <row r="964" spans="1:9" x14ac:dyDescent="0.35">
      <c r="A964" s="376" t="s">
        <v>1604</v>
      </c>
      <c r="B964" s="376" t="s">
        <v>1609</v>
      </c>
      <c r="C964" s="376" t="s">
        <v>644</v>
      </c>
      <c r="D964" s="376">
        <v>2021</v>
      </c>
      <c r="E964" s="376">
        <v>2024</v>
      </c>
      <c r="F964" s="376">
        <v>1</v>
      </c>
      <c r="G964" s="376">
        <v>10872.741503138899</v>
      </c>
      <c r="H964" s="376">
        <v>0</v>
      </c>
      <c r="I964" s="376">
        <v>1</v>
      </c>
    </row>
    <row r="965" spans="1:9" x14ac:dyDescent="0.35">
      <c r="A965" s="376" t="s">
        <v>1604</v>
      </c>
      <c r="B965" s="376" t="s">
        <v>1609</v>
      </c>
      <c r="C965" s="376" t="s">
        <v>628</v>
      </c>
      <c r="D965" s="376">
        <v>2021</v>
      </c>
      <c r="E965" s="376">
        <v>2024</v>
      </c>
      <c r="F965" s="376">
        <v>1</v>
      </c>
      <c r="G965" s="376">
        <v>10872.741503138899</v>
      </c>
      <c r="H965" s="376">
        <v>0</v>
      </c>
      <c r="I965" s="376">
        <v>1</v>
      </c>
    </row>
    <row r="966" spans="1:9" x14ac:dyDescent="0.35">
      <c r="A966" s="376" t="s">
        <v>1604</v>
      </c>
      <c r="B966" s="376" t="s">
        <v>1609</v>
      </c>
      <c r="C966" s="376" t="s">
        <v>1051</v>
      </c>
      <c r="D966" s="376">
        <v>2021</v>
      </c>
      <c r="E966" s="376">
        <v>2024</v>
      </c>
      <c r="F966" s="376">
        <v>1</v>
      </c>
      <c r="G966" s="376">
        <v>10872.741503138899</v>
      </c>
      <c r="H966" s="376">
        <v>0</v>
      </c>
      <c r="I966" s="376">
        <v>1</v>
      </c>
    </row>
    <row r="967" spans="1:9" x14ac:dyDescent="0.35">
      <c r="A967" s="376" t="s">
        <v>1604</v>
      </c>
      <c r="B967" s="376" t="s">
        <v>1609</v>
      </c>
      <c r="C967" s="376" t="s">
        <v>1054</v>
      </c>
      <c r="D967" s="376">
        <v>2021</v>
      </c>
      <c r="E967" s="376">
        <v>2024</v>
      </c>
      <c r="F967" s="376">
        <v>1</v>
      </c>
      <c r="G967" s="376">
        <v>10872.741503138899</v>
      </c>
      <c r="H967" s="376">
        <v>0</v>
      </c>
      <c r="I967" s="376">
        <v>1</v>
      </c>
    </row>
    <row r="968" spans="1:9" x14ac:dyDescent="0.35">
      <c r="A968" s="376" t="s">
        <v>1604</v>
      </c>
      <c r="B968" s="376" t="s">
        <v>1609</v>
      </c>
      <c r="C968" s="376" t="s">
        <v>1046</v>
      </c>
      <c r="D968" s="376">
        <v>2021</v>
      </c>
      <c r="E968" s="376">
        <v>2025</v>
      </c>
      <c r="F968" s="376">
        <v>1</v>
      </c>
      <c r="G968" s="376">
        <v>10872.741503138899</v>
      </c>
      <c r="H968" s="376">
        <v>0</v>
      </c>
      <c r="I968" s="376">
        <v>1</v>
      </c>
    </row>
    <row r="969" spans="1:9" x14ac:dyDescent="0.35">
      <c r="A969" s="376" t="s">
        <v>1604</v>
      </c>
      <c r="B969" s="376" t="s">
        <v>1609</v>
      </c>
      <c r="C969" s="376" t="s">
        <v>644</v>
      </c>
      <c r="D969" s="376">
        <v>2021</v>
      </c>
      <c r="E969" s="376">
        <v>2025</v>
      </c>
      <c r="F969" s="376">
        <v>1</v>
      </c>
      <c r="G969" s="376">
        <v>10872.741503138899</v>
      </c>
      <c r="H969" s="376">
        <v>0</v>
      </c>
      <c r="I969" s="376">
        <v>1</v>
      </c>
    </row>
    <row r="970" spans="1:9" x14ac:dyDescent="0.35">
      <c r="A970" s="376" t="s">
        <v>1604</v>
      </c>
      <c r="B970" s="376" t="s">
        <v>1609</v>
      </c>
      <c r="C970" s="376" t="s">
        <v>628</v>
      </c>
      <c r="D970" s="376">
        <v>2021</v>
      </c>
      <c r="E970" s="376">
        <v>2025</v>
      </c>
      <c r="F970" s="376">
        <v>1</v>
      </c>
      <c r="G970" s="376">
        <v>10872.741503138899</v>
      </c>
      <c r="H970" s="376">
        <v>0</v>
      </c>
      <c r="I970" s="376">
        <v>1</v>
      </c>
    </row>
    <row r="971" spans="1:9" x14ac:dyDescent="0.35">
      <c r="A971" s="376" t="s">
        <v>1604</v>
      </c>
      <c r="B971" s="376" t="s">
        <v>1609</v>
      </c>
      <c r="C971" s="376" t="s">
        <v>1051</v>
      </c>
      <c r="D971" s="376">
        <v>2021</v>
      </c>
      <c r="E971" s="376">
        <v>2025</v>
      </c>
      <c r="F971" s="376">
        <v>1</v>
      </c>
      <c r="G971" s="376">
        <v>10872.741503138899</v>
      </c>
      <c r="H971" s="376">
        <v>0</v>
      </c>
      <c r="I971" s="376">
        <v>1</v>
      </c>
    </row>
    <row r="972" spans="1:9" x14ac:dyDescent="0.35">
      <c r="A972" s="376" t="s">
        <v>1604</v>
      </c>
      <c r="B972" s="376" t="s">
        <v>1609</v>
      </c>
      <c r="C972" s="376" t="s">
        <v>1054</v>
      </c>
      <c r="D972" s="376">
        <v>2021</v>
      </c>
      <c r="E972" s="376">
        <v>2025</v>
      </c>
      <c r="F972" s="376">
        <v>1</v>
      </c>
      <c r="G972" s="376">
        <v>10872.741503138899</v>
      </c>
      <c r="H972" s="376">
        <v>0</v>
      </c>
      <c r="I972" s="376">
        <v>1</v>
      </c>
    </row>
    <row r="973" spans="1:9" x14ac:dyDescent="0.35">
      <c r="A973" s="376" t="s">
        <v>1604</v>
      </c>
      <c r="B973" s="376" t="s">
        <v>1609</v>
      </c>
      <c r="C973" s="376" t="s">
        <v>1046</v>
      </c>
      <c r="D973" s="376">
        <v>2021</v>
      </c>
      <c r="E973" s="376">
        <v>2026</v>
      </c>
      <c r="F973" s="376">
        <v>1</v>
      </c>
      <c r="G973" s="376">
        <v>10872.741503138899</v>
      </c>
      <c r="H973" s="376">
        <v>0</v>
      </c>
      <c r="I973" s="376">
        <v>1</v>
      </c>
    </row>
    <row r="974" spans="1:9" x14ac:dyDescent="0.35">
      <c r="A974" s="376" t="s">
        <v>1604</v>
      </c>
      <c r="B974" s="376" t="s">
        <v>1609</v>
      </c>
      <c r="C974" s="376" t="s">
        <v>644</v>
      </c>
      <c r="D974" s="376">
        <v>2021</v>
      </c>
      <c r="E974" s="376">
        <v>2026</v>
      </c>
      <c r="F974" s="376">
        <v>1</v>
      </c>
      <c r="G974" s="376">
        <v>10872.741503138899</v>
      </c>
      <c r="H974" s="376">
        <v>0</v>
      </c>
      <c r="I974" s="376">
        <v>1</v>
      </c>
    </row>
    <row r="975" spans="1:9" x14ac:dyDescent="0.35">
      <c r="A975" s="376" t="s">
        <v>1604</v>
      </c>
      <c r="B975" s="376" t="s">
        <v>1609</v>
      </c>
      <c r="C975" s="376" t="s">
        <v>628</v>
      </c>
      <c r="D975" s="376">
        <v>2021</v>
      </c>
      <c r="E975" s="376">
        <v>2026</v>
      </c>
      <c r="F975" s="376">
        <v>1</v>
      </c>
      <c r="G975" s="376">
        <v>10872.741503138899</v>
      </c>
      <c r="H975" s="376">
        <v>0</v>
      </c>
      <c r="I975" s="376">
        <v>1</v>
      </c>
    </row>
    <row r="976" spans="1:9" x14ac:dyDescent="0.35">
      <c r="A976" s="376" t="s">
        <v>1604</v>
      </c>
      <c r="B976" s="376" t="s">
        <v>1609</v>
      </c>
      <c r="C976" s="376" t="s">
        <v>1051</v>
      </c>
      <c r="D976" s="376">
        <v>2021</v>
      </c>
      <c r="E976" s="376">
        <v>2026</v>
      </c>
      <c r="F976" s="376">
        <v>1</v>
      </c>
      <c r="G976" s="376">
        <v>10872.741503138899</v>
      </c>
      <c r="H976" s="376">
        <v>0</v>
      </c>
      <c r="I976" s="376">
        <v>1</v>
      </c>
    </row>
    <row r="977" spans="1:9" x14ac:dyDescent="0.35">
      <c r="A977" s="376" t="s">
        <v>1604</v>
      </c>
      <c r="B977" s="376" t="s">
        <v>1609</v>
      </c>
      <c r="C977" s="376" t="s">
        <v>1054</v>
      </c>
      <c r="D977" s="376">
        <v>2021</v>
      </c>
      <c r="E977" s="376">
        <v>2026</v>
      </c>
      <c r="F977" s="376">
        <v>1</v>
      </c>
      <c r="G977" s="376">
        <v>10872.741503138899</v>
      </c>
      <c r="H977" s="376">
        <v>0</v>
      </c>
      <c r="I977" s="376">
        <v>1</v>
      </c>
    </row>
    <row r="978" spans="1:9" x14ac:dyDescent="0.35">
      <c r="A978" s="376" t="s">
        <v>1604</v>
      </c>
      <c r="B978" s="376" t="s">
        <v>1609</v>
      </c>
      <c r="C978" s="376" t="s">
        <v>1046</v>
      </c>
      <c r="D978" s="376">
        <v>2021</v>
      </c>
      <c r="E978" s="376">
        <v>2027</v>
      </c>
      <c r="F978" s="376">
        <v>1</v>
      </c>
      <c r="G978" s="376">
        <v>10872.741503138899</v>
      </c>
      <c r="H978" s="376">
        <v>0</v>
      </c>
      <c r="I978" s="376">
        <v>1</v>
      </c>
    </row>
    <row r="979" spans="1:9" x14ac:dyDescent="0.35">
      <c r="A979" s="376" t="s">
        <v>1604</v>
      </c>
      <c r="B979" s="376" t="s">
        <v>1609</v>
      </c>
      <c r="C979" s="376" t="s">
        <v>644</v>
      </c>
      <c r="D979" s="376">
        <v>2021</v>
      </c>
      <c r="E979" s="376">
        <v>2027</v>
      </c>
      <c r="F979" s="376">
        <v>1</v>
      </c>
      <c r="G979" s="376">
        <v>10872.741503138899</v>
      </c>
      <c r="H979" s="376">
        <v>0</v>
      </c>
      <c r="I979" s="376">
        <v>1</v>
      </c>
    </row>
    <row r="980" spans="1:9" x14ac:dyDescent="0.35">
      <c r="A980" s="376" t="s">
        <v>1604</v>
      </c>
      <c r="B980" s="376" t="s">
        <v>1609</v>
      </c>
      <c r="C980" s="376" t="s">
        <v>628</v>
      </c>
      <c r="D980" s="376">
        <v>2021</v>
      </c>
      <c r="E980" s="376">
        <v>2027</v>
      </c>
      <c r="F980" s="376">
        <v>1</v>
      </c>
      <c r="G980" s="376">
        <v>10872.741503138899</v>
      </c>
      <c r="H980" s="376">
        <v>0</v>
      </c>
      <c r="I980" s="376">
        <v>1</v>
      </c>
    </row>
    <row r="981" spans="1:9" x14ac:dyDescent="0.35">
      <c r="A981" s="376" t="s">
        <v>1604</v>
      </c>
      <c r="B981" s="376" t="s">
        <v>1609</v>
      </c>
      <c r="C981" s="376" t="s">
        <v>1051</v>
      </c>
      <c r="D981" s="376">
        <v>2021</v>
      </c>
      <c r="E981" s="376">
        <v>2027</v>
      </c>
      <c r="F981" s="376">
        <v>1</v>
      </c>
      <c r="G981" s="376">
        <v>10872.741503138899</v>
      </c>
      <c r="H981" s="376">
        <v>0</v>
      </c>
      <c r="I981" s="376">
        <v>1</v>
      </c>
    </row>
    <row r="982" spans="1:9" x14ac:dyDescent="0.35">
      <c r="A982" s="376" t="s">
        <v>1604</v>
      </c>
      <c r="B982" s="376" t="s">
        <v>1609</v>
      </c>
      <c r="C982" s="376" t="s">
        <v>1054</v>
      </c>
      <c r="D982" s="376">
        <v>2021</v>
      </c>
      <c r="E982" s="376">
        <v>2027</v>
      </c>
      <c r="F982" s="376">
        <v>1</v>
      </c>
      <c r="G982" s="376">
        <v>10872.741503138899</v>
      </c>
      <c r="H982" s="376">
        <v>0</v>
      </c>
      <c r="I982" s="376">
        <v>1</v>
      </c>
    </row>
    <row r="983" spans="1:9" x14ac:dyDescent="0.35">
      <c r="A983" s="376" t="s">
        <v>1604</v>
      </c>
      <c r="B983" s="376" t="s">
        <v>1609</v>
      </c>
      <c r="C983" s="376" t="s">
        <v>1046</v>
      </c>
      <c r="D983" s="376">
        <v>2021</v>
      </c>
      <c r="E983" s="376">
        <v>2028</v>
      </c>
      <c r="F983" s="376">
        <v>1</v>
      </c>
      <c r="G983" s="376">
        <v>10872.741503138899</v>
      </c>
      <c r="H983" s="376">
        <v>0</v>
      </c>
      <c r="I983" s="376">
        <v>1</v>
      </c>
    </row>
    <row r="984" spans="1:9" x14ac:dyDescent="0.35">
      <c r="A984" s="376" t="s">
        <v>1604</v>
      </c>
      <c r="B984" s="376" t="s">
        <v>1609</v>
      </c>
      <c r="C984" s="376" t="s">
        <v>644</v>
      </c>
      <c r="D984" s="376">
        <v>2021</v>
      </c>
      <c r="E984" s="376">
        <v>2028</v>
      </c>
      <c r="F984" s="376">
        <v>1</v>
      </c>
      <c r="G984" s="376">
        <v>10872.741503138899</v>
      </c>
      <c r="H984" s="376">
        <v>0</v>
      </c>
      <c r="I984" s="376">
        <v>1</v>
      </c>
    </row>
    <row r="985" spans="1:9" x14ac:dyDescent="0.35">
      <c r="A985" s="376" t="s">
        <v>1604</v>
      </c>
      <c r="B985" s="376" t="s">
        <v>1609</v>
      </c>
      <c r="C985" s="376" t="s">
        <v>628</v>
      </c>
      <c r="D985" s="376">
        <v>2021</v>
      </c>
      <c r="E985" s="376">
        <v>2028</v>
      </c>
      <c r="F985" s="376">
        <v>1</v>
      </c>
      <c r="G985" s="376">
        <v>10872.741503138899</v>
      </c>
      <c r="H985" s="376">
        <v>0</v>
      </c>
      <c r="I985" s="376">
        <v>1</v>
      </c>
    </row>
    <row r="986" spans="1:9" x14ac:dyDescent="0.35">
      <c r="A986" s="376" t="s">
        <v>1604</v>
      </c>
      <c r="B986" s="376" t="s">
        <v>1609</v>
      </c>
      <c r="C986" s="376" t="s">
        <v>1051</v>
      </c>
      <c r="D986" s="376">
        <v>2021</v>
      </c>
      <c r="E986" s="376">
        <v>2028</v>
      </c>
      <c r="F986" s="376">
        <v>1</v>
      </c>
      <c r="G986" s="376">
        <v>10872.741503138899</v>
      </c>
      <c r="H986" s="376">
        <v>0</v>
      </c>
      <c r="I986" s="376">
        <v>1</v>
      </c>
    </row>
    <row r="987" spans="1:9" x14ac:dyDescent="0.35">
      <c r="A987" s="376" t="s">
        <v>1604</v>
      </c>
      <c r="B987" s="376" t="s">
        <v>1609</v>
      </c>
      <c r="C987" s="376" t="s">
        <v>1054</v>
      </c>
      <c r="D987" s="376">
        <v>2021</v>
      </c>
      <c r="E987" s="376">
        <v>2028</v>
      </c>
      <c r="F987" s="376">
        <v>1</v>
      </c>
      <c r="G987" s="376">
        <v>10872.741503138899</v>
      </c>
      <c r="H987" s="376">
        <v>0</v>
      </c>
      <c r="I987" s="376">
        <v>1</v>
      </c>
    </row>
    <row r="988" spans="1:9" x14ac:dyDescent="0.35">
      <c r="A988" s="376" t="s">
        <v>1604</v>
      </c>
      <c r="B988" s="376" t="s">
        <v>1609</v>
      </c>
      <c r="C988" s="376" t="s">
        <v>1046</v>
      </c>
      <c r="D988" s="376">
        <v>2021</v>
      </c>
      <c r="E988" s="376">
        <v>2029</v>
      </c>
      <c r="F988" s="376">
        <v>1</v>
      </c>
      <c r="G988" s="376">
        <v>10872.741503138899</v>
      </c>
      <c r="H988" s="376">
        <v>0</v>
      </c>
      <c r="I988" s="376">
        <v>1</v>
      </c>
    </row>
    <row r="989" spans="1:9" x14ac:dyDescent="0.35">
      <c r="A989" s="376" t="s">
        <v>1604</v>
      </c>
      <c r="B989" s="376" t="s">
        <v>1609</v>
      </c>
      <c r="C989" s="376" t="s">
        <v>644</v>
      </c>
      <c r="D989" s="376">
        <v>2021</v>
      </c>
      <c r="E989" s="376">
        <v>2029</v>
      </c>
      <c r="F989" s="376">
        <v>1</v>
      </c>
      <c r="G989" s="376">
        <v>10872.741503138899</v>
      </c>
      <c r="H989" s="376">
        <v>0</v>
      </c>
      <c r="I989" s="376">
        <v>1</v>
      </c>
    </row>
    <row r="990" spans="1:9" x14ac:dyDescent="0.35">
      <c r="A990" s="376" t="s">
        <v>1604</v>
      </c>
      <c r="B990" s="376" t="s">
        <v>1609</v>
      </c>
      <c r="C990" s="376" t="s">
        <v>628</v>
      </c>
      <c r="D990" s="376">
        <v>2021</v>
      </c>
      <c r="E990" s="376">
        <v>2029</v>
      </c>
      <c r="F990" s="376">
        <v>1</v>
      </c>
      <c r="G990" s="376">
        <v>10872.741503138899</v>
      </c>
      <c r="H990" s="376">
        <v>0</v>
      </c>
      <c r="I990" s="376">
        <v>1</v>
      </c>
    </row>
    <row r="991" spans="1:9" x14ac:dyDescent="0.35">
      <c r="A991" s="376" t="s">
        <v>1604</v>
      </c>
      <c r="B991" s="376" t="s">
        <v>1609</v>
      </c>
      <c r="C991" s="376" t="s">
        <v>1051</v>
      </c>
      <c r="D991" s="376">
        <v>2021</v>
      </c>
      <c r="E991" s="376">
        <v>2029</v>
      </c>
      <c r="F991" s="376">
        <v>1</v>
      </c>
      <c r="G991" s="376">
        <v>10872.741503138899</v>
      </c>
      <c r="H991" s="376">
        <v>0</v>
      </c>
      <c r="I991" s="376">
        <v>1</v>
      </c>
    </row>
    <row r="992" spans="1:9" x14ac:dyDescent="0.35">
      <c r="A992" s="376" t="s">
        <v>1604</v>
      </c>
      <c r="B992" s="376" t="s">
        <v>1609</v>
      </c>
      <c r="C992" s="376" t="s">
        <v>1054</v>
      </c>
      <c r="D992" s="376">
        <v>2021</v>
      </c>
      <c r="E992" s="376">
        <v>2029</v>
      </c>
      <c r="F992" s="376">
        <v>1</v>
      </c>
      <c r="G992" s="376">
        <v>10872.741503138899</v>
      </c>
      <c r="H992" s="376">
        <v>0</v>
      </c>
      <c r="I992" s="376">
        <v>1</v>
      </c>
    </row>
    <row r="993" spans="1:9" x14ac:dyDescent="0.35">
      <c r="A993" s="376" t="s">
        <v>1604</v>
      </c>
      <c r="B993" s="376" t="s">
        <v>1609</v>
      </c>
      <c r="C993" s="376" t="s">
        <v>1046</v>
      </c>
      <c r="D993" s="376">
        <v>2021</v>
      </c>
      <c r="E993" s="376">
        <v>2030</v>
      </c>
      <c r="F993" s="376">
        <v>1</v>
      </c>
      <c r="G993" s="376">
        <v>10872.741503138899</v>
      </c>
      <c r="H993" s="376">
        <v>0</v>
      </c>
      <c r="I993" s="376">
        <v>1</v>
      </c>
    </row>
    <row r="994" spans="1:9" x14ac:dyDescent="0.35">
      <c r="A994" s="376" t="s">
        <v>1604</v>
      </c>
      <c r="B994" s="376" t="s">
        <v>1609</v>
      </c>
      <c r="C994" s="376" t="s">
        <v>644</v>
      </c>
      <c r="D994" s="376">
        <v>2021</v>
      </c>
      <c r="E994" s="376">
        <v>2030</v>
      </c>
      <c r="F994" s="376">
        <v>1</v>
      </c>
      <c r="G994" s="376">
        <v>10872.741503138899</v>
      </c>
      <c r="H994" s="376">
        <v>0</v>
      </c>
      <c r="I994" s="376">
        <v>1</v>
      </c>
    </row>
    <row r="995" spans="1:9" x14ac:dyDescent="0.35">
      <c r="A995" s="376" t="s">
        <v>1604</v>
      </c>
      <c r="B995" s="376" t="s">
        <v>1609</v>
      </c>
      <c r="C995" s="376" t="s">
        <v>628</v>
      </c>
      <c r="D995" s="376">
        <v>2021</v>
      </c>
      <c r="E995" s="376">
        <v>2030</v>
      </c>
      <c r="F995" s="376">
        <v>1</v>
      </c>
      <c r="G995" s="376">
        <v>10872.741503138899</v>
      </c>
      <c r="H995" s="376">
        <v>0</v>
      </c>
      <c r="I995" s="376">
        <v>1</v>
      </c>
    </row>
    <row r="996" spans="1:9" x14ac:dyDescent="0.35">
      <c r="A996" s="376" t="s">
        <v>1604</v>
      </c>
      <c r="B996" s="376" t="s">
        <v>1609</v>
      </c>
      <c r="C996" s="376" t="s">
        <v>1051</v>
      </c>
      <c r="D996" s="376">
        <v>2021</v>
      </c>
      <c r="E996" s="376">
        <v>2030</v>
      </c>
      <c r="F996" s="376">
        <v>1</v>
      </c>
      <c r="G996" s="376">
        <v>10872.741503138899</v>
      </c>
      <c r="H996" s="376">
        <v>0</v>
      </c>
      <c r="I996" s="376">
        <v>1</v>
      </c>
    </row>
    <row r="997" spans="1:9" x14ac:dyDescent="0.35">
      <c r="A997" s="376" t="s">
        <v>1604</v>
      </c>
      <c r="B997" s="376" t="s">
        <v>1609</v>
      </c>
      <c r="C997" s="376" t="s">
        <v>1054</v>
      </c>
      <c r="D997" s="376">
        <v>2021</v>
      </c>
      <c r="E997" s="376">
        <v>2030</v>
      </c>
      <c r="F997" s="376">
        <v>1</v>
      </c>
      <c r="G997" s="376">
        <v>10872.741503138899</v>
      </c>
      <c r="H997" s="376">
        <v>0</v>
      </c>
      <c r="I997" s="376">
        <v>1</v>
      </c>
    </row>
    <row r="998" spans="1:9" x14ac:dyDescent="0.35">
      <c r="A998" s="376" t="s">
        <v>1604</v>
      </c>
      <c r="B998" s="376" t="s">
        <v>1609</v>
      </c>
      <c r="C998" s="376" t="s">
        <v>1046</v>
      </c>
      <c r="D998" s="376">
        <v>2021</v>
      </c>
      <c r="E998" s="376">
        <v>2031</v>
      </c>
      <c r="F998" s="376">
        <v>1</v>
      </c>
      <c r="G998" s="376">
        <v>10872.741503138899</v>
      </c>
      <c r="H998" s="376">
        <v>0</v>
      </c>
      <c r="I998" s="376">
        <v>1</v>
      </c>
    </row>
    <row r="999" spans="1:9" x14ac:dyDescent="0.35">
      <c r="A999" s="376" t="s">
        <v>1604</v>
      </c>
      <c r="B999" s="376" t="s">
        <v>1609</v>
      </c>
      <c r="C999" s="376" t="s">
        <v>644</v>
      </c>
      <c r="D999" s="376">
        <v>2021</v>
      </c>
      <c r="E999" s="376">
        <v>2031</v>
      </c>
      <c r="F999" s="376">
        <v>1</v>
      </c>
      <c r="G999" s="376">
        <v>10872.741503138899</v>
      </c>
      <c r="H999" s="376">
        <v>0</v>
      </c>
      <c r="I999" s="376">
        <v>1</v>
      </c>
    </row>
    <row r="1000" spans="1:9" x14ac:dyDescent="0.35">
      <c r="A1000" s="376" t="s">
        <v>1604</v>
      </c>
      <c r="B1000" s="376" t="s">
        <v>1609</v>
      </c>
      <c r="C1000" s="376" t="s">
        <v>628</v>
      </c>
      <c r="D1000" s="376">
        <v>2021</v>
      </c>
      <c r="E1000" s="376">
        <v>2031</v>
      </c>
      <c r="F1000" s="376">
        <v>1</v>
      </c>
      <c r="G1000" s="376">
        <v>10872.741503138899</v>
      </c>
      <c r="H1000" s="376">
        <v>0</v>
      </c>
      <c r="I1000" s="376">
        <v>1</v>
      </c>
    </row>
    <row r="1001" spans="1:9" x14ac:dyDescent="0.35">
      <c r="A1001" s="376" t="s">
        <v>1604</v>
      </c>
      <c r="B1001" s="376" t="s">
        <v>1609</v>
      </c>
      <c r="C1001" s="376" t="s">
        <v>1051</v>
      </c>
      <c r="D1001" s="376">
        <v>2021</v>
      </c>
      <c r="E1001" s="376">
        <v>2031</v>
      </c>
      <c r="F1001" s="376">
        <v>1</v>
      </c>
      <c r="G1001" s="376">
        <v>10872.741503138899</v>
      </c>
      <c r="H1001" s="376">
        <v>0</v>
      </c>
      <c r="I1001" s="376">
        <v>1</v>
      </c>
    </row>
    <row r="1002" spans="1:9" x14ac:dyDescent="0.35">
      <c r="A1002" s="376" t="s">
        <v>1604</v>
      </c>
      <c r="B1002" s="376" t="s">
        <v>1609</v>
      </c>
      <c r="C1002" s="376" t="s">
        <v>1054</v>
      </c>
      <c r="D1002" s="376">
        <v>2021</v>
      </c>
      <c r="E1002" s="376">
        <v>2031</v>
      </c>
      <c r="F1002" s="376">
        <v>1</v>
      </c>
      <c r="G1002" s="376">
        <v>10872.741503138899</v>
      </c>
      <c r="H1002" s="376">
        <v>0</v>
      </c>
      <c r="I1002" s="376">
        <v>1</v>
      </c>
    </row>
    <row r="1003" spans="1:9" x14ac:dyDescent="0.35">
      <c r="A1003" s="376" t="s">
        <v>1615</v>
      </c>
      <c r="B1003" s="376" t="s">
        <v>1609</v>
      </c>
      <c r="C1003" s="376" t="s">
        <v>1046</v>
      </c>
      <c r="D1003" s="376">
        <v>2021</v>
      </c>
      <c r="E1003" s="376">
        <v>2021</v>
      </c>
      <c r="F1003" s="376">
        <v>1</v>
      </c>
      <c r="G1003" s="376">
        <v>20148.813739673951</v>
      </c>
      <c r="H1003" s="376">
        <v>0</v>
      </c>
      <c r="I1003" s="376">
        <v>0.65716939790195539</v>
      </c>
    </row>
    <row r="1004" spans="1:9" x14ac:dyDescent="0.35">
      <c r="A1004" s="376" t="s">
        <v>1615</v>
      </c>
      <c r="B1004" s="376" t="s">
        <v>1609</v>
      </c>
      <c r="C1004" s="376" t="s">
        <v>644</v>
      </c>
      <c r="D1004" s="376">
        <v>2021</v>
      </c>
      <c r="E1004" s="376">
        <v>2021</v>
      </c>
      <c r="F1004" s="376">
        <v>1</v>
      </c>
      <c r="G1004" s="376">
        <v>20148.813739673951</v>
      </c>
      <c r="H1004" s="376">
        <v>0</v>
      </c>
      <c r="I1004" s="376">
        <v>0.65716939790195539</v>
      </c>
    </row>
    <row r="1005" spans="1:9" x14ac:dyDescent="0.35">
      <c r="A1005" s="376" t="s">
        <v>1615</v>
      </c>
      <c r="B1005" s="376" t="s">
        <v>1609</v>
      </c>
      <c r="C1005" s="376" t="s">
        <v>628</v>
      </c>
      <c r="D1005" s="376">
        <v>2021</v>
      </c>
      <c r="E1005" s="376">
        <v>2021</v>
      </c>
      <c r="F1005" s="376">
        <v>1</v>
      </c>
      <c r="G1005" s="376">
        <v>20148.813739673951</v>
      </c>
      <c r="H1005" s="376">
        <v>0</v>
      </c>
      <c r="I1005" s="376">
        <v>0.65716939790195539</v>
      </c>
    </row>
    <row r="1006" spans="1:9" x14ac:dyDescent="0.35">
      <c r="A1006" s="376" t="s">
        <v>1615</v>
      </c>
      <c r="B1006" s="376" t="s">
        <v>1609</v>
      </c>
      <c r="C1006" s="376" t="s">
        <v>1051</v>
      </c>
      <c r="D1006" s="376">
        <v>2021</v>
      </c>
      <c r="E1006" s="376">
        <v>2021</v>
      </c>
      <c r="F1006" s="376">
        <v>1</v>
      </c>
      <c r="G1006" s="376">
        <v>20148.813739673951</v>
      </c>
      <c r="H1006" s="376">
        <v>0</v>
      </c>
      <c r="I1006" s="376">
        <v>0.65716939790195539</v>
      </c>
    </row>
    <row r="1007" spans="1:9" x14ac:dyDescent="0.35">
      <c r="A1007" s="376" t="s">
        <v>1615</v>
      </c>
      <c r="B1007" s="376" t="s">
        <v>1609</v>
      </c>
      <c r="C1007" s="376" t="s">
        <v>1054</v>
      </c>
      <c r="D1007" s="376">
        <v>2021</v>
      </c>
      <c r="E1007" s="376">
        <v>2021</v>
      </c>
      <c r="F1007" s="376">
        <v>1</v>
      </c>
      <c r="G1007" s="376">
        <v>20148.813739673951</v>
      </c>
      <c r="H1007" s="376">
        <v>0</v>
      </c>
      <c r="I1007" s="376">
        <v>0.65716939790195539</v>
      </c>
    </row>
    <row r="1008" spans="1:9" x14ac:dyDescent="0.35">
      <c r="A1008" s="376" t="s">
        <v>1615</v>
      </c>
      <c r="B1008" s="376" t="s">
        <v>1609</v>
      </c>
      <c r="C1008" s="376" t="s">
        <v>1046</v>
      </c>
      <c r="D1008" s="376">
        <v>2021</v>
      </c>
      <c r="E1008" s="376">
        <v>2022</v>
      </c>
      <c r="F1008" s="376">
        <v>1</v>
      </c>
      <c r="G1008" s="376">
        <v>20148.813739673951</v>
      </c>
      <c r="H1008" s="376">
        <v>0</v>
      </c>
      <c r="I1008" s="376">
        <v>0.65716939790195539</v>
      </c>
    </row>
    <row r="1009" spans="1:9" x14ac:dyDescent="0.35">
      <c r="A1009" s="376" t="s">
        <v>1615</v>
      </c>
      <c r="B1009" s="376" t="s">
        <v>1609</v>
      </c>
      <c r="C1009" s="376" t="s">
        <v>644</v>
      </c>
      <c r="D1009" s="376">
        <v>2021</v>
      </c>
      <c r="E1009" s="376">
        <v>2022</v>
      </c>
      <c r="F1009" s="376">
        <v>1</v>
      </c>
      <c r="G1009" s="376">
        <v>20148.813739673951</v>
      </c>
      <c r="H1009" s="376">
        <v>0</v>
      </c>
      <c r="I1009" s="376">
        <v>0.65716939790195539</v>
      </c>
    </row>
    <row r="1010" spans="1:9" x14ac:dyDescent="0.35">
      <c r="A1010" s="376" t="s">
        <v>1615</v>
      </c>
      <c r="B1010" s="376" t="s">
        <v>1609</v>
      </c>
      <c r="C1010" s="376" t="s">
        <v>628</v>
      </c>
      <c r="D1010" s="376">
        <v>2021</v>
      </c>
      <c r="E1010" s="376">
        <v>2022</v>
      </c>
      <c r="F1010" s="376">
        <v>1</v>
      </c>
      <c r="G1010" s="376">
        <v>20148.813739673951</v>
      </c>
      <c r="H1010" s="376">
        <v>0</v>
      </c>
      <c r="I1010" s="376">
        <v>0.65716939790195539</v>
      </c>
    </row>
    <row r="1011" spans="1:9" x14ac:dyDescent="0.35">
      <c r="A1011" s="376" t="s">
        <v>1615</v>
      </c>
      <c r="B1011" s="376" t="s">
        <v>1609</v>
      </c>
      <c r="C1011" s="376" t="s">
        <v>1051</v>
      </c>
      <c r="D1011" s="376">
        <v>2021</v>
      </c>
      <c r="E1011" s="376">
        <v>2022</v>
      </c>
      <c r="F1011" s="376">
        <v>1</v>
      </c>
      <c r="G1011" s="376">
        <v>20148.813739673951</v>
      </c>
      <c r="H1011" s="376">
        <v>0</v>
      </c>
      <c r="I1011" s="376">
        <v>0.65716939790195539</v>
      </c>
    </row>
    <row r="1012" spans="1:9" x14ac:dyDescent="0.35">
      <c r="A1012" s="376" t="s">
        <v>1615</v>
      </c>
      <c r="B1012" s="376" t="s">
        <v>1609</v>
      </c>
      <c r="C1012" s="376" t="s">
        <v>1054</v>
      </c>
      <c r="D1012" s="376">
        <v>2021</v>
      </c>
      <c r="E1012" s="376">
        <v>2022</v>
      </c>
      <c r="F1012" s="376">
        <v>1</v>
      </c>
      <c r="G1012" s="376">
        <v>20148.813739673951</v>
      </c>
      <c r="H1012" s="376">
        <v>0</v>
      </c>
      <c r="I1012" s="376">
        <v>0.65716939790195539</v>
      </c>
    </row>
    <row r="1013" spans="1:9" x14ac:dyDescent="0.35">
      <c r="A1013" s="376" t="s">
        <v>1615</v>
      </c>
      <c r="B1013" s="376" t="s">
        <v>1609</v>
      </c>
      <c r="C1013" s="376" t="s">
        <v>1046</v>
      </c>
      <c r="D1013" s="376">
        <v>2021</v>
      </c>
      <c r="E1013" s="376">
        <v>2023</v>
      </c>
      <c r="F1013" s="376">
        <v>1</v>
      </c>
      <c r="G1013" s="376">
        <v>20148.813739673951</v>
      </c>
      <c r="H1013" s="376">
        <v>0</v>
      </c>
      <c r="I1013" s="376">
        <v>0.65716939790195539</v>
      </c>
    </row>
    <row r="1014" spans="1:9" x14ac:dyDescent="0.35">
      <c r="A1014" s="376" t="s">
        <v>1615</v>
      </c>
      <c r="B1014" s="376" t="s">
        <v>1609</v>
      </c>
      <c r="C1014" s="376" t="s">
        <v>644</v>
      </c>
      <c r="D1014" s="376">
        <v>2021</v>
      </c>
      <c r="E1014" s="376">
        <v>2023</v>
      </c>
      <c r="F1014" s="376">
        <v>1</v>
      </c>
      <c r="G1014" s="376">
        <v>20148.813739673951</v>
      </c>
      <c r="H1014" s="376">
        <v>0</v>
      </c>
      <c r="I1014" s="376">
        <v>0.65716939790195539</v>
      </c>
    </row>
    <row r="1015" spans="1:9" x14ac:dyDescent="0.35">
      <c r="A1015" s="376" t="s">
        <v>1615</v>
      </c>
      <c r="B1015" s="376" t="s">
        <v>1609</v>
      </c>
      <c r="C1015" s="376" t="s">
        <v>628</v>
      </c>
      <c r="D1015" s="376">
        <v>2021</v>
      </c>
      <c r="E1015" s="376">
        <v>2023</v>
      </c>
      <c r="F1015" s="376">
        <v>1</v>
      </c>
      <c r="G1015" s="376">
        <v>20148.813739673951</v>
      </c>
      <c r="H1015" s="376">
        <v>0</v>
      </c>
      <c r="I1015" s="376">
        <v>0.65716939790195539</v>
      </c>
    </row>
    <row r="1016" spans="1:9" x14ac:dyDescent="0.35">
      <c r="A1016" s="376" t="s">
        <v>1615</v>
      </c>
      <c r="B1016" s="376" t="s">
        <v>1609</v>
      </c>
      <c r="C1016" s="376" t="s">
        <v>1051</v>
      </c>
      <c r="D1016" s="376">
        <v>2021</v>
      </c>
      <c r="E1016" s="376">
        <v>2023</v>
      </c>
      <c r="F1016" s="376">
        <v>1</v>
      </c>
      <c r="G1016" s="376">
        <v>20148.813739673951</v>
      </c>
      <c r="H1016" s="376">
        <v>0</v>
      </c>
      <c r="I1016" s="376">
        <v>0.65716939790195539</v>
      </c>
    </row>
    <row r="1017" spans="1:9" x14ac:dyDescent="0.35">
      <c r="A1017" s="376" t="s">
        <v>1615</v>
      </c>
      <c r="B1017" s="376" t="s">
        <v>1609</v>
      </c>
      <c r="C1017" s="376" t="s">
        <v>1054</v>
      </c>
      <c r="D1017" s="376">
        <v>2021</v>
      </c>
      <c r="E1017" s="376">
        <v>2023</v>
      </c>
      <c r="F1017" s="376">
        <v>1</v>
      </c>
      <c r="G1017" s="376">
        <v>20148.813739673951</v>
      </c>
      <c r="H1017" s="376">
        <v>0</v>
      </c>
      <c r="I1017" s="376">
        <v>0.65716939790195539</v>
      </c>
    </row>
    <row r="1018" spans="1:9" x14ac:dyDescent="0.35">
      <c r="A1018" s="376" t="s">
        <v>1615</v>
      </c>
      <c r="B1018" s="376" t="s">
        <v>1609</v>
      </c>
      <c r="C1018" s="376" t="s">
        <v>1046</v>
      </c>
      <c r="D1018" s="376">
        <v>2021</v>
      </c>
      <c r="E1018" s="376">
        <v>2024</v>
      </c>
      <c r="F1018" s="376">
        <v>1</v>
      </c>
      <c r="G1018" s="376">
        <v>20148.813739673951</v>
      </c>
      <c r="H1018" s="376">
        <v>0</v>
      </c>
      <c r="I1018" s="376">
        <v>0.65716939790195539</v>
      </c>
    </row>
    <row r="1019" spans="1:9" x14ac:dyDescent="0.35">
      <c r="A1019" s="376" t="s">
        <v>1615</v>
      </c>
      <c r="B1019" s="376" t="s">
        <v>1609</v>
      </c>
      <c r="C1019" s="376" t="s">
        <v>644</v>
      </c>
      <c r="D1019" s="376">
        <v>2021</v>
      </c>
      <c r="E1019" s="376">
        <v>2024</v>
      </c>
      <c r="F1019" s="376">
        <v>1</v>
      </c>
      <c r="G1019" s="376">
        <v>20148.813739673951</v>
      </c>
      <c r="H1019" s="376">
        <v>0</v>
      </c>
      <c r="I1019" s="376">
        <v>0.65716939790195539</v>
      </c>
    </row>
    <row r="1020" spans="1:9" x14ac:dyDescent="0.35">
      <c r="A1020" s="376" t="s">
        <v>1615</v>
      </c>
      <c r="B1020" s="376" t="s">
        <v>1609</v>
      </c>
      <c r="C1020" s="376" t="s">
        <v>628</v>
      </c>
      <c r="D1020" s="376">
        <v>2021</v>
      </c>
      <c r="E1020" s="376">
        <v>2024</v>
      </c>
      <c r="F1020" s="376">
        <v>1</v>
      </c>
      <c r="G1020" s="376">
        <v>20148.813739673951</v>
      </c>
      <c r="H1020" s="376">
        <v>0</v>
      </c>
      <c r="I1020" s="376">
        <v>0.65716939790195539</v>
      </c>
    </row>
    <row r="1021" spans="1:9" x14ac:dyDescent="0.35">
      <c r="A1021" s="376" t="s">
        <v>1615</v>
      </c>
      <c r="B1021" s="376" t="s">
        <v>1609</v>
      </c>
      <c r="C1021" s="376" t="s">
        <v>1051</v>
      </c>
      <c r="D1021" s="376">
        <v>2021</v>
      </c>
      <c r="E1021" s="376">
        <v>2024</v>
      </c>
      <c r="F1021" s="376">
        <v>1</v>
      </c>
      <c r="G1021" s="376">
        <v>20148.813739673951</v>
      </c>
      <c r="H1021" s="376">
        <v>0</v>
      </c>
      <c r="I1021" s="376">
        <v>0.65716939790195539</v>
      </c>
    </row>
    <row r="1022" spans="1:9" x14ac:dyDescent="0.35">
      <c r="A1022" s="376" t="s">
        <v>1615</v>
      </c>
      <c r="B1022" s="376" t="s">
        <v>1609</v>
      </c>
      <c r="C1022" s="376" t="s">
        <v>1054</v>
      </c>
      <c r="D1022" s="376">
        <v>2021</v>
      </c>
      <c r="E1022" s="376">
        <v>2024</v>
      </c>
      <c r="F1022" s="376">
        <v>1</v>
      </c>
      <c r="G1022" s="376">
        <v>20148.813739673951</v>
      </c>
      <c r="H1022" s="376">
        <v>0</v>
      </c>
      <c r="I1022" s="376">
        <v>0.65716939790195539</v>
      </c>
    </row>
    <row r="1023" spans="1:9" x14ac:dyDescent="0.35">
      <c r="A1023" s="376" t="s">
        <v>1615</v>
      </c>
      <c r="B1023" s="376" t="s">
        <v>1609</v>
      </c>
      <c r="C1023" s="376" t="s">
        <v>1046</v>
      </c>
      <c r="D1023" s="376">
        <v>2021</v>
      </c>
      <c r="E1023" s="376">
        <v>2025</v>
      </c>
      <c r="F1023" s="376">
        <v>1</v>
      </c>
      <c r="G1023" s="376">
        <v>20148.813739673951</v>
      </c>
      <c r="H1023" s="376">
        <v>0</v>
      </c>
      <c r="I1023" s="376">
        <v>0.65716939790195539</v>
      </c>
    </row>
    <row r="1024" spans="1:9" x14ac:dyDescent="0.35">
      <c r="A1024" s="376" t="s">
        <v>1615</v>
      </c>
      <c r="B1024" s="376" t="s">
        <v>1609</v>
      </c>
      <c r="C1024" s="376" t="s">
        <v>644</v>
      </c>
      <c r="D1024" s="376">
        <v>2021</v>
      </c>
      <c r="E1024" s="376">
        <v>2025</v>
      </c>
      <c r="F1024" s="376">
        <v>1</v>
      </c>
      <c r="G1024" s="376">
        <v>20148.813739673951</v>
      </c>
      <c r="H1024" s="376">
        <v>0</v>
      </c>
      <c r="I1024" s="376">
        <v>0.65716939790195539</v>
      </c>
    </row>
    <row r="1025" spans="1:9" x14ac:dyDescent="0.35">
      <c r="A1025" s="376" t="s">
        <v>1615</v>
      </c>
      <c r="B1025" s="376" t="s">
        <v>1609</v>
      </c>
      <c r="C1025" s="376" t="s">
        <v>628</v>
      </c>
      <c r="D1025" s="376">
        <v>2021</v>
      </c>
      <c r="E1025" s="376">
        <v>2025</v>
      </c>
      <c r="F1025" s="376">
        <v>1</v>
      </c>
      <c r="G1025" s="376">
        <v>20148.813739673951</v>
      </c>
      <c r="H1025" s="376">
        <v>0</v>
      </c>
      <c r="I1025" s="376">
        <v>0.65716939790195539</v>
      </c>
    </row>
    <row r="1026" spans="1:9" x14ac:dyDescent="0.35">
      <c r="A1026" s="376" t="s">
        <v>1615</v>
      </c>
      <c r="B1026" s="376" t="s">
        <v>1609</v>
      </c>
      <c r="C1026" s="376" t="s">
        <v>1051</v>
      </c>
      <c r="D1026" s="376">
        <v>2021</v>
      </c>
      <c r="E1026" s="376">
        <v>2025</v>
      </c>
      <c r="F1026" s="376">
        <v>1</v>
      </c>
      <c r="G1026" s="376">
        <v>20148.813739673951</v>
      </c>
      <c r="H1026" s="376">
        <v>0</v>
      </c>
      <c r="I1026" s="376">
        <v>0.65716939790195539</v>
      </c>
    </row>
    <row r="1027" spans="1:9" x14ac:dyDescent="0.35">
      <c r="A1027" s="376" t="s">
        <v>1615</v>
      </c>
      <c r="B1027" s="376" t="s">
        <v>1609</v>
      </c>
      <c r="C1027" s="376" t="s">
        <v>1054</v>
      </c>
      <c r="D1027" s="376">
        <v>2021</v>
      </c>
      <c r="E1027" s="376">
        <v>2025</v>
      </c>
      <c r="F1027" s="376">
        <v>1</v>
      </c>
      <c r="G1027" s="376">
        <v>20148.813739673951</v>
      </c>
      <c r="H1027" s="376">
        <v>0</v>
      </c>
      <c r="I1027" s="376">
        <v>0.65716939790195539</v>
      </c>
    </row>
    <row r="1028" spans="1:9" x14ac:dyDescent="0.35">
      <c r="A1028" s="376" t="s">
        <v>1615</v>
      </c>
      <c r="B1028" s="376" t="s">
        <v>1609</v>
      </c>
      <c r="C1028" s="376" t="s">
        <v>1046</v>
      </c>
      <c r="D1028" s="376">
        <v>2021</v>
      </c>
      <c r="E1028" s="376">
        <v>2026</v>
      </c>
      <c r="F1028" s="376">
        <v>1</v>
      </c>
      <c r="G1028" s="376">
        <v>20148.813739673951</v>
      </c>
      <c r="H1028" s="376">
        <v>0</v>
      </c>
      <c r="I1028" s="376">
        <v>0.65716939790195539</v>
      </c>
    </row>
    <row r="1029" spans="1:9" x14ac:dyDescent="0.35">
      <c r="A1029" s="376" t="s">
        <v>1615</v>
      </c>
      <c r="B1029" s="376" t="s">
        <v>1609</v>
      </c>
      <c r="C1029" s="376" t="s">
        <v>644</v>
      </c>
      <c r="D1029" s="376">
        <v>2021</v>
      </c>
      <c r="E1029" s="376">
        <v>2026</v>
      </c>
      <c r="F1029" s="376">
        <v>1</v>
      </c>
      <c r="G1029" s="376">
        <v>20148.813739673951</v>
      </c>
      <c r="H1029" s="376">
        <v>0</v>
      </c>
      <c r="I1029" s="376">
        <v>0.65716939790195539</v>
      </c>
    </row>
    <row r="1030" spans="1:9" x14ac:dyDescent="0.35">
      <c r="A1030" s="376" t="s">
        <v>1615</v>
      </c>
      <c r="B1030" s="376" t="s">
        <v>1609</v>
      </c>
      <c r="C1030" s="376" t="s">
        <v>628</v>
      </c>
      <c r="D1030" s="376">
        <v>2021</v>
      </c>
      <c r="E1030" s="376">
        <v>2026</v>
      </c>
      <c r="F1030" s="376">
        <v>1</v>
      </c>
      <c r="G1030" s="376">
        <v>20148.813739673951</v>
      </c>
      <c r="H1030" s="376">
        <v>0</v>
      </c>
      <c r="I1030" s="376">
        <v>0.65716939790195539</v>
      </c>
    </row>
    <row r="1031" spans="1:9" x14ac:dyDescent="0.35">
      <c r="A1031" s="376" t="s">
        <v>1615</v>
      </c>
      <c r="B1031" s="376" t="s">
        <v>1609</v>
      </c>
      <c r="C1031" s="376" t="s">
        <v>1051</v>
      </c>
      <c r="D1031" s="376">
        <v>2021</v>
      </c>
      <c r="E1031" s="376">
        <v>2026</v>
      </c>
      <c r="F1031" s="376">
        <v>1</v>
      </c>
      <c r="G1031" s="376">
        <v>20148.813739673951</v>
      </c>
      <c r="H1031" s="376">
        <v>0</v>
      </c>
      <c r="I1031" s="376">
        <v>0.65716939790195539</v>
      </c>
    </row>
    <row r="1032" spans="1:9" x14ac:dyDescent="0.35">
      <c r="A1032" s="376" t="s">
        <v>1615</v>
      </c>
      <c r="B1032" s="376" t="s">
        <v>1609</v>
      </c>
      <c r="C1032" s="376" t="s">
        <v>1054</v>
      </c>
      <c r="D1032" s="376">
        <v>2021</v>
      </c>
      <c r="E1032" s="376">
        <v>2026</v>
      </c>
      <c r="F1032" s="376">
        <v>1</v>
      </c>
      <c r="G1032" s="376">
        <v>20148.813739673951</v>
      </c>
      <c r="H1032" s="376">
        <v>0</v>
      </c>
      <c r="I1032" s="376">
        <v>0.65716939790195539</v>
      </c>
    </row>
    <row r="1033" spans="1:9" x14ac:dyDescent="0.35">
      <c r="A1033" s="376" t="s">
        <v>1615</v>
      </c>
      <c r="B1033" s="376" t="s">
        <v>1609</v>
      </c>
      <c r="C1033" s="376" t="s">
        <v>1046</v>
      </c>
      <c r="D1033" s="376">
        <v>2021</v>
      </c>
      <c r="E1033" s="376">
        <v>2027</v>
      </c>
      <c r="F1033" s="376">
        <v>1</v>
      </c>
      <c r="G1033" s="376">
        <v>20148.813739673951</v>
      </c>
      <c r="H1033" s="376">
        <v>0</v>
      </c>
      <c r="I1033" s="376">
        <v>0.65716939790195539</v>
      </c>
    </row>
    <row r="1034" spans="1:9" x14ac:dyDescent="0.35">
      <c r="A1034" s="376" t="s">
        <v>1615</v>
      </c>
      <c r="B1034" s="376" t="s">
        <v>1609</v>
      </c>
      <c r="C1034" s="376" t="s">
        <v>644</v>
      </c>
      <c r="D1034" s="376">
        <v>2021</v>
      </c>
      <c r="E1034" s="376">
        <v>2027</v>
      </c>
      <c r="F1034" s="376">
        <v>1</v>
      </c>
      <c r="G1034" s="376">
        <v>20148.813739673951</v>
      </c>
      <c r="H1034" s="376">
        <v>0</v>
      </c>
      <c r="I1034" s="376">
        <v>0.65716939790195539</v>
      </c>
    </row>
    <row r="1035" spans="1:9" x14ac:dyDescent="0.35">
      <c r="A1035" s="376" t="s">
        <v>1615</v>
      </c>
      <c r="B1035" s="376" t="s">
        <v>1609</v>
      </c>
      <c r="C1035" s="376" t="s">
        <v>628</v>
      </c>
      <c r="D1035" s="376">
        <v>2021</v>
      </c>
      <c r="E1035" s="376">
        <v>2027</v>
      </c>
      <c r="F1035" s="376">
        <v>1</v>
      </c>
      <c r="G1035" s="376">
        <v>20148.813739673951</v>
      </c>
      <c r="H1035" s="376">
        <v>0</v>
      </c>
      <c r="I1035" s="376">
        <v>0.65716939790195539</v>
      </c>
    </row>
    <row r="1036" spans="1:9" x14ac:dyDescent="0.35">
      <c r="A1036" s="376" t="s">
        <v>1615</v>
      </c>
      <c r="B1036" s="376" t="s">
        <v>1609</v>
      </c>
      <c r="C1036" s="376" t="s">
        <v>1051</v>
      </c>
      <c r="D1036" s="376">
        <v>2021</v>
      </c>
      <c r="E1036" s="376">
        <v>2027</v>
      </c>
      <c r="F1036" s="376">
        <v>1</v>
      </c>
      <c r="G1036" s="376">
        <v>20148.813739673951</v>
      </c>
      <c r="H1036" s="376">
        <v>0</v>
      </c>
      <c r="I1036" s="376">
        <v>0.65716939790195539</v>
      </c>
    </row>
    <row r="1037" spans="1:9" x14ac:dyDescent="0.35">
      <c r="A1037" s="376" t="s">
        <v>1615</v>
      </c>
      <c r="B1037" s="376" t="s">
        <v>1609</v>
      </c>
      <c r="C1037" s="376" t="s">
        <v>1054</v>
      </c>
      <c r="D1037" s="376">
        <v>2021</v>
      </c>
      <c r="E1037" s="376">
        <v>2027</v>
      </c>
      <c r="F1037" s="376">
        <v>1</v>
      </c>
      <c r="G1037" s="376">
        <v>20148.813739673951</v>
      </c>
      <c r="H1037" s="376">
        <v>0</v>
      </c>
      <c r="I1037" s="376">
        <v>0.65716939790195539</v>
      </c>
    </row>
    <row r="1038" spans="1:9" x14ac:dyDescent="0.35">
      <c r="A1038" s="376" t="s">
        <v>1615</v>
      </c>
      <c r="B1038" s="376" t="s">
        <v>1609</v>
      </c>
      <c r="C1038" s="376" t="s">
        <v>1046</v>
      </c>
      <c r="D1038" s="376">
        <v>2021</v>
      </c>
      <c r="E1038" s="376">
        <v>2028</v>
      </c>
      <c r="F1038" s="376">
        <v>1</v>
      </c>
      <c r="G1038" s="376">
        <v>20148.813739673951</v>
      </c>
      <c r="H1038" s="376">
        <v>0</v>
      </c>
      <c r="I1038" s="376">
        <v>0.65716939790195539</v>
      </c>
    </row>
    <row r="1039" spans="1:9" x14ac:dyDescent="0.35">
      <c r="A1039" s="376" t="s">
        <v>1615</v>
      </c>
      <c r="B1039" s="376" t="s">
        <v>1609</v>
      </c>
      <c r="C1039" s="376" t="s">
        <v>644</v>
      </c>
      <c r="D1039" s="376">
        <v>2021</v>
      </c>
      <c r="E1039" s="376">
        <v>2028</v>
      </c>
      <c r="F1039" s="376">
        <v>1</v>
      </c>
      <c r="G1039" s="376">
        <v>20148.813739673951</v>
      </c>
      <c r="H1039" s="376">
        <v>0</v>
      </c>
      <c r="I1039" s="376">
        <v>0.65716939790195539</v>
      </c>
    </row>
    <row r="1040" spans="1:9" x14ac:dyDescent="0.35">
      <c r="A1040" s="376" t="s">
        <v>1615</v>
      </c>
      <c r="B1040" s="376" t="s">
        <v>1609</v>
      </c>
      <c r="C1040" s="376" t="s">
        <v>628</v>
      </c>
      <c r="D1040" s="376">
        <v>2021</v>
      </c>
      <c r="E1040" s="376">
        <v>2028</v>
      </c>
      <c r="F1040" s="376">
        <v>1</v>
      </c>
      <c r="G1040" s="376">
        <v>20148.813739673951</v>
      </c>
      <c r="H1040" s="376">
        <v>0</v>
      </c>
      <c r="I1040" s="376">
        <v>0.65716939790195539</v>
      </c>
    </row>
    <row r="1041" spans="1:9" x14ac:dyDescent="0.35">
      <c r="A1041" s="376" t="s">
        <v>1615</v>
      </c>
      <c r="B1041" s="376" t="s">
        <v>1609</v>
      </c>
      <c r="C1041" s="376" t="s">
        <v>1051</v>
      </c>
      <c r="D1041" s="376">
        <v>2021</v>
      </c>
      <c r="E1041" s="376">
        <v>2028</v>
      </c>
      <c r="F1041" s="376">
        <v>1</v>
      </c>
      <c r="G1041" s="376">
        <v>20148.813739673951</v>
      </c>
      <c r="H1041" s="376">
        <v>0</v>
      </c>
      <c r="I1041" s="376">
        <v>0.65716939790195539</v>
      </c>
    </row>
    <row r="1042" spans="1:9" x14ac:dyDescent="0.35">
      <c r="A1042" s="376" t="s">
        <v>1615</v>
      </c>
      <c r="B1042" s="376" t="s">
        <v>1609</v>
      </c>
      <c r="C1042" s="376" t="s">
        <v>1054</v>
      </c>
      <c r="D1042" s="376">
        <v>2021</v>
      </c>
      <c r="E1042" s="376">
        <v>2028</v>
      </c>
      <c r="F1042" s="376">
        <v>1</v>
      </c>
      <c r="G1042" s="376">
        <v>20148.813739673951</v>
      </c>
      <c r="H1042" s="376">
        <v>0</v>
      </c>
      <c r="I1042" s="376">
        <v>0.65716939790195539</v>
      </c>
    </row>
    <row r="1043" spans="1:9" x14ac:dyDescent="0.35">
      <c r="A1043" s="376" t="s">
        <v>1615</v>
      </c>
      <c r="B1043" s="376" t="s">
        <v>1609</v>
      </c>
      <c r="C1043" s="376" t="s">
        <v>1046</v>
      </c>
      <c r="D1043" s="376">
        <v>2021</v>
      </c>
      <c r="E1043" s="376">
        <v>2029</v>
      </c>
      <c r="F1043" s="376">
        <v>1</v>
      </c>
      <c r="G1043" s="376">
        <v>20148.813739673951</v>
      </c>
      <c r="H1043" s="376">
        <v>0</v>
      </c>
      <c r="I1043" s="376">
        <v>0.65716939790195539</v>
      </c>
    </row>
    <row r="1044" spans="1:9" x14ac:dyDescent="0.35">
      <c r="A1044" s="376" t="s">
        <v>1615</v>
      </c>
      <c r="B1044" s="376" t="s">
        <v>1609</v>
      </c>
      <c r="C1044" s="376" t="s">
        <v>644</v>
      </c>
      <c r="D1044" s="376">
        <v>2021</v>
      </c>
      <c r="E1044" s="376">
        <v>2029</v>
      </c>
      <c r="F1044" s="376">
        <v>1</v>
      </c>
      <c r="G1044" s="376">
        <v>20148.813739673951</v>
      </c>
      <c r="H1044" s="376">
        <v>0</v>
      </c>
      <c r="I1044" s="376">
        <v>0.65716939790195539</v>
      </c>
    </row>
    <row r="1045" spans="1:9" x14ac:dyDescent="0.35">
      <c r="A1045" s="376" t="s">
        <v>1615</v>
      </c>
      <c r="B1045" s="376" t="s">
        <v>1609</v>
      </c>
      <c r="C1045" s="376" t="s">
        <v>628</v>
      </c>
      <c r="D1045" s="376">
        <v>2021</v>
      </c>
      <c r="E1045" s="376">
        <v>2029</v>
      </c>
      <c r="F1045" s="376">
        <v>1</v>
      </c>
      <c r="G1045" s="376">
        <v>20148.813739673951</v>
      </c>
      <c r="H1045" s="376">
        <v>0</v>
      </c>
      <c r="I1045" s="376">
        <v>0.65716939790195539</v>
      </c>
    </row>
    <row r="1046" spans="1:9" x14ac:dyDescent="0.35">
      <c r="A1046" s="376" t="s">
        <v>1615</v>
      </c>
      <c r="B1046" s="376" t="s">
        <v>1609</v>
      </c>
      <c r="C1046" s="376" t="s">
        <v>1051</v>
      </c>
      <c r="D1046" s="376">
        <v>2021</v>
      </c>
      <c r="E1046" s="376">
        <v>2029</v>
      </c>
      <c r="F1046" s="376">
        <v>1</v>
      </c>
      <c r="G1046" s="376">
        <v>20148.813739673951</v>
      </c>
      <c r="H1046" s="376">
        <v>0</v>
      </c>
      <c r="I1046" s="376">
        <v>0.65716939790195539</v>
      </c>
    </row>
    <row r="1047" spans="1:9" x14ac:dyDescent="0.35">
      <c r="A1047" s="376" t="s">
        <v>1615</v>
      </c>
      <c r="B1047" s="376" t="s">
        <v>1609</v>
      </c>
      <c r="C1047" s="376" t="s">
        <v>1054</v>
      </c>
      <c r="D1047" s="376">
        <v>2021</v>
      </c>
      <c r="E1047" s="376">
        <v>2029</v>
      </c>
      <c r="F1047" s="376">
        <v>1</v>
      </c>
      <c r="G1047" s="376">
        <v>20148.813739673951</v>
      </c>
      <c r="H1047" s="376">
        <v>0</v>
      </c>
      <c r="I1047" s="376">
        <v>0.65716939790195539</v>
      </c>
    </row>
    <row r="1048" spans="1:9" x14ac:dyDescent="0.35">
      <c r="A1048" s="376" t="s">
        <v>1615</v>
      </c>
      <c r="B1048" s="376" t="s">
        <v>1609</v>
      </c>
      <c r="C1048" s="376" t="s">
        <v>1046</v>
      </c>
      <c r="D1048" s="376">
        <v>2021</v>
      </c>
      <c r="E1048" s="376">
        <v>2030</v>
      </c>
      <c r="F1048" s="376">
        <v>1</v>
      </c>
      <c r="G1048" s="376">
        <v>20148.813739673951</v>
      </c>
      <c r="H1048" s="376">
        <v>0</v>
      </c>
      <c r="I1048" s="376">
        <v>0.65716939790195539</v>
      </c>
    </row>
    <row r="1049" spans="1:9" x14ac:dyDescent="0.35">
      <c r="A1049" s="376" t="s">
        <v>1615</v>
      </c>
      <c r="B1049" s="376" t="s">
        <v>1609</v>
      </c>
      <c r="C1049" s="376" t="s">
        <v>644</v>
      </c>
      <c r="D1049" s="376">
        <v>2021</v>
      </c>
      <c r="E1049" s="376">
        <v>2030</v>
      </c>
      <c r="F1049" s="376">
        <v>1</v>
      </c>
      <c r="G1049" s="376">
        <v>20148.813739673951</v>
      </c>
      <c r="H1049" s="376">
        <v>0</v>
      </c>
      <c r="I1049" s="376">
        <v>0.65716939790195539</v>
      </c>
    </row>
    <row r="1050" spans="1:9" x14ac:dyDescent="0.35">
      <c r="A1050" s="376" t="s">
        <v>1615</v>
      </c>
      <c r="B1050" s="376" t="s">
        <v>1609</v>
      </c>
      <c r="C1050" s="376" t="s">
        <v>628</v>
      </c>
      <c r="D1050" s="376">
        <v>2021</v>
      </c>
      <c r="E1050" s="376">
        <v>2030</v>
      </c>
      <c r="F1050" s="376">
        <v>1</v>
      </c>
      <c r="G1050" s="376">
        <v>20148.813739673951</v>
      </c>
      <c r="H1050" s="376">
        <v>0</v>
      </c>
      <c r="I1050" s="376">
        <v>0.65716939790195539</v>
      </c>
    </row>
    <row r="1051" spans="1:9" x14ac:dyDescent="0.35">
      <c r="A1051" s="376" t="s">
        <v>1615</v>
      </c>
      <c r="B1051" s="376" t="s">
        <v>1609</v>
      </c>
      <c r="C1051" s="376" t="s">
        <v>1051</v>
      </c>
      <c r="D1051" s="376">
        <v>2021</v>
      </c>
      <c r="E1051" s="376">
        <v>2030</v>
      </c>
      <c r="F1051" s="376">
        <v>1</v>
      </c>
      <c r="G1051" s="376">
        <v>20148.813739673951</v>
      </c>
      <c r="H1051" s="376">
        <v>0</v>
      </c>
      <c r="I1051" s="376">
        <v>0.65716939790195539</v>
      </c>
    </row>
    <row r="1052" spans="1:9" x14ac:dyDescent="0.35">
      <c r="A1052" s="376" t="s">
        <v>1615</v>
      </c>
      <c r="B1052" s="376" t="s">
        <v>1609</v>
      </c>
      <c r="C1052" s="376" t="s">
        <v>1054</v>
      </c>
      <c r="D1052" s="376">
        <v>2021</v>
      </c>
      <c r="E1052" s="376">
        <v>2030</v>
      </c>
      <c r="F1052" s="376">
        <v>1</v>
      </c>
      <c r="G1052" s="376">
        <v>20148.813739673951</v>
      </c>
      <c r="H1052" s="376">
        <v>0</v>
      </c>
      <c r="I1052" s="376">
        <v>0.65716939790195539</v>
      </c>
    </row>
    <row r="1053" spans="1:9" x14ac:dyDescent="0.35">
      <c r="A1053" s="376" t="s">
        <v>1615</v>
      </c>
      <c r="B1053" s="376" t="s">
        <v>1609</v>
      </c>
      <c r="C1053" s="376" t="s">
        <v>1046</v>
      </c>
      <c r="D1053" s="376">
        <v>2021</v>
      </c>
      <c r="E1053" s="376">
        <v>2031</v>
      </c>
      <c r="F1053" s="376">
        <v>1</v>
      </c>
      <c r="G1053" s="376">
        <v>20148.813739673951</v>
      </c>
      <c r="H1053" s="376">
        <v>0</v>
      </c>
      <c r="I1053" s="376">
        <v>0.65716939790195539</v>
      </c>
    </row>
    <row r="1054" spans="1:9" x14ac:dyDescent="0.35">
      <c r="A1054" s="376" t="s">
        <v>1615</v>
      </c>
      <c r="B1054" s="376" t="s">
        <v>1609</v>
      </c>
      <c r="C1054" s="376" t="s">
        <v>644</v>
      </c>
      <c r="D1054" s="376">
        <v>2021</v>
      </c>
      <c r="E1054" s="376">
        <v>2031</v>
      </c>
      <c r="F1054" s="376">
        <v>1</v>
      </c>
      <c r="G1054" s="376">
        <v>20148.813739673951</v>
      </c>
      <c r="H1054" s="376">
        <v>0</v>
      </c>
      <c r="I1054" s="376">
        <v>0.65716939790195539</v>
      </c>
    </row>
    <row r="1055" spans="1:9" x14ac:dyDescent="0.35">
      <c r="A1055" s="376" t="s">
        <v>1615</v>
      </c>
      <c r="B1055" s="376" t="s">
        <v>1609</v>
      </c>
      <c r="C1055" s="376" t="s">
        <v>628</v>
      </c>
      <c r="D1055" s="376">
        <v>2021</v>
      </c>
      <c r="E1055" s="376">
        <v>2031</v>
      </c>
      <c r="F1055" s="376">
        <v>1</v>
      </c>
      <c r="G1055" s="376">
        <v>20148.813739673951</v>
      </c>
      <c r="H1055" s="376">
        <v>0</v>
      </c>
      <c r="I1055" s="376">
        <v>0.65716939790195539</v>
      </c>
    </row>
    <row r="1056" spans="1:9" x14ac:dyDescent="0.35">
      <c r="A1056" s="376" t="s">
        <v>1615</v>
      </c>
      <c r="B1056" s="376" t="s">
        <v>1609</v>
      </c>
      <c r="C1056" s="376" t="s">
        <v>1051</v>
      </c>
      <c r="D1056" s="376">
        <v>2021</v>
      </c>
      <c r="E1056" s="376">
        <v>2031</v>
      </c>
      <c r="F1056" s="376">
        <v>1</v>
      </c>
      <c r="G1056" s="376">
        <v>20148.813739673951</v>
      </c>
      <c r="H1056" s="376">
        <v>0</v>
      </c>
      <c r="I1056" s="376">
        <v>0.65716939790195539</v>
      </c>
    </row>
    <row r="1057" spans="1:9" x14ac:dyDescent="0.35">
      <c r="A1057" s="376" t="s">
        <v>1615</v>
      </c>
      <c r="B1057" s="376" t="s">
        <v>1609</v>
      </c>
      <c r="C1057" s="376" t="s">
        <v>1054</v>
      </c>
      <c r="D1057" s="376">
        <v>2021</v>
      </c>
      <c r="E1057" s="376">
        <v>2031</v>
      </c>
      <c r="F1057" s="376">
        <v>1</v>
      </c>
      <c r="G1057" s="376">
        <v>20148.813739673951</v>
      </c>
      <c r="H1057" s="376">
        <v>0</v>
      </c>
      <c r="I1057" s="376">
        <v>0.65716939790195539</v>
      </c>
    </row>
    <row r="1058" spans="1:9" x14ac:dyDescent="0.35">
      <c r="A1058" s="376" t="s">
        <v>1603</v>
      </c>
      <c r="B1058" s="376" t="s">
        <v>1609</v>
      </c>
      <c r="C1058" s="376" t="s">
        <v>1046</v>
      </c>
      <c r="D1058" s="376">
        <v>2021</v>
      </c>
      <c r="E1058" s="376">
        <v>2021</v>
      </c>
      <c r="F1058" s="376">
        <v>1</v>
      </c>
      <c r="G1058" s="376">
        <v>6101.463203368502</v>
      </c>
      <c r="H1058" s="376">
        <v>0</v>
      </c>
      <c r="I1058" s="376">
        <v>1</v>
      </c>
    </row>
    <row r="1059" spans="1:9" x14ac:dyDescent="0.35">
      <c r="A1059" s="376" t="s">
        <v>1603</v>
      </c>
      <c r="B1059" s="376" t="s">
        <v>1609</v>
      </c>
      <c r="C1059" s="376" t="s">
        <v>644</v>
      </c>
      <c r="D1059" s="376">
        <v>2021</v>
      </c>
      <c r="E1059" s="376">
        <v>2021</v>
      </c>
      <c r="F1059" s="376">
        <v>1</v>
      </c>
      <c r="G1059" s="376">
        <v>6101.463203368502</v>
      </c>
      <c r="H1059" s="376">
        <v>0</v>
      </c>
      <c r="I1059" s="376">
        <v>1</v>
      </c>
    </row>
    <row r="1060" spans="1:9" x14ac:dyDescent="0.35">
      <c r="A1060" s="376" t="s">
        <v>1603</v>
      </c>
      <c r="B1060" s="376" t="s">
        <v>1609</v>
      </c>
      <c r="C1060" s="376" t="s">
        <v>628</v>
      </c>
      <c r="D1060" s="376">
        <v>2021</v>
      </c>
      <c r="E1060" s="376">
        <v>2021</v>
      </c>
      <c r="F1060" s="376">
        <v>1</v>
      </c>
      <c r="G1060" s="376">
        <v>6101.463203368502</v>
      </c>
      <c r="H1060" s="376">
        <v>0</v>
      </c>
      <c r="I1060" s="376">
        <v>1</v>
      </c>
    </row>
    <row r="1061" spans="1:9" x14ac:dyDescent="0.35">
      <c r="A1061" s="376" t="s">
        <v>1603</v>
      </c>
      <c r="B1061" s="376" t="s">
        <v>1609</v>
      </c>
      <c r="C1061" s="376" t="s">
        <v>1051</v>
      </c>
      <c r="D1061" s="376">
        <v>2021</v>
      </c>
      <c r="E1061" s="376">
        <v>2021</v>
      </c>
      <c r="F1061" s="376">
        <v>1</v>
      </c>
      <c r="G1061" s="376">
        <v>6101.463203368502</v>
      </c>
      <c r="H1061" s="376">
        <v>0</v>
      </c>
      <c r="I1061" s="376">
        <v>1</v>
      </c>
    </row>
    <row r="1062" spans="1:9" x14ac:dyDescent="0.35">
      <c r="A1062" s="376" t="s">
        <v>1603</v>
      </c>
      <c r="B1062" s="376" t="s">
        <v>1609</v>
      </c>
      <c r="C1062" s="376" t="s">
        <v>1054</v>
      </c>
      <c r="D1062" s="376">
        <v>2021</v>
      </c>
      <c r="E1062" s="376">
        <v>2021</v>
      </c>
      <c r="F1062" s="376">
        <v>1</v>
      </c>
      <c r="G1062" s="376">
        <v>6101.463203368502</v>
      </c>
      <c r="H1062" s="376">
        <v>0</v>
      </c>
      <c r="I1062" s="376">
        <v>1</v>
      </c>
    </row>
    <row r="1063" spans="1:9" x14ac:dyDescent="0.35">
      <c r="A1063" s="376" t="s">
        <v>1603</v>
      </c>
      <c r="B1063" s="376" t="s">
        <v>1609</v>
      </c>
      <c r="C1063" s="376" t="s">
        <v>1046</v>
      </c>
      <c r="D1063" s="376">
        <v>2021</v>
      </c>
      <c r="E1063" s="376">
        <v>2022</v>
      </c>
      <c r="F1063" s="376">
        <v>1</v>
      </c>
      <c r="G1063" s="376">
        <v>6101.463203368502</v>
      </c>
      <c r="H1063" s="376">
        <v>0</v>
      </c>
      <c r="I1063" s="376">
        <v>1</v>
      </c>
    </row>
    <row r="1064" spans="1:9" x14ac:dyDescent="0.35">
      <c r="A1064" s="376" t="s">
        <v>1603</v>
      </c>
      <c r="B1064" s="376" t="s">
        <v>1609</v>
      </c>
      <c r="C1064" s="376" t="s">
        <v>644</v>
      </c>
      <c r="D1064" s="376">
        <v>2021</v>
      </c>
      <c r="E1064" s="376">
        <v>2022</v>
      </c>
      <c r="F1064" s="376">
        <v>1</v>
      </c>
      <c r="G1064" s="376">
        <v>6101.463203368502</v>
      </c>
      <c r="H1064" s="376">
        <v>0</v>
      </c>
      <c r="I1064" s="376">
        <v>1</v>
      </c>
    </row>
    <row r="1065" spans="1:9" x14ac:dyDescent="0.35">
      <c r="A1065" s="376" t="s">
        <v>1603</v>
      </c>
      <c r="B1065" s="376" t="s">
        <v>1609</v>
      </c>
      <c r="C1065" s="376" t="s">
        <v>628</v>
      </c>
      <c r="D1065" s="376">
        <v>2021</v>
      </c>
      <c r="E1065" s="376">
        <v>2022</v>
      </c>
      <c r="F1065" s="376">
        <v>1</v>
      </c>
      <c r="G1065" s="376">
        <v>6101.463203368502</v>
      </c>
      <c r="H1065" s="376">
        <v>0</v>
      </c>
      <c r="I1065" s="376">
        <v>1</v>
      </c>
    </row>
    <row r="1066" spans="1:9" x14ac:dyDescent="0.35">
      <c r="A1066" s="376" t="s">
        <v>1603</v>
      </c>
      <c r="B1066" s="376" t="s">
        <v>1609</v>
      </c>
      <c r="C1066" s="376" t="s">
        <v>1051</v>
      </c>
      <c r="D1066" s="376">
        <v>2021</v>
      </c>
      <c r="E1066" s="376">
        <v>2022</v>
      </c>
      <c r="F1066" s="376">
        <v>1</v>
      </c>
      <c r="G1066" s="376">
        <v>6101.463203368502</v>
      </c>
      <c r="H1066" s="376">
        <v>0</v>
      </c>
      <c r="I1066" s="376">
        <v>1</v>
      </c>
    </row>
    <row r="1067" spans="1:9" x14ac:dyDescent="0.35">
      <c r="A1067" s="376" t="s">
        <v>1603</v>
      </c>
      <c r="B1067" s="376" t="s">
        <v>1609</v>
      </c>
      <c r="C1067" s="376" t="s">
        <v>1054</v>
      </c>
      <c r="D1067" s="376">
        <v>2021</v>
      </c>
      <c r="E1067" s="376">
        <v>2022</v>
      </c>
      <c r="F1067" s="376">
        <v>1</v>
      </c>
      <c r="G1067" s="376">
        <v>6101.463203368502</v>
      </c>
      <c r="H1067" s="376">
        <v>0</v>
      </c>
      <c r="I1067" s="376">
        <v>1</v>
      </c>
    </row>
    <row r="1068" spans="1:9" x14ac:dyDescent="0.35">
      <c r="A1068" s="376" t="s">
        <v>1603</v>
      </c>
      <c r="B1068" s="376" t="s">
        <v>1609</v>
      </c>
      <c r="C1068" s="376" t="s">
        <v>1046</v>
      </c>
      <c r="D1068" s="376">
        <v>2021</v>
      </c>
      <c r="E1068" s="376">
        <v>2023</v>
      </c>
      <c r="F1068" s="376">
        <v>1</v>
      </c>
      <c r="G1068" s="376">
        <v>6101.463203368502</v>
      </c>
      <c r="H1068" s="376">
        <v>0</v>
      </c>
      <c r="I1068" s="376">
        <v>1</v>
      </c>
    </row>
    <row r="1069" spans="1:9" x14ac:dyDescent="0.35">
      <c r="A1069" s="376" t="s">
        <v>1603</v>
      </c>
      <c r="B1069" s="376" t="s">
        <v>1609</v>
      </c>
      <c r="C1069" s="376" t="s">
        <v>644</v>
      </c>
      <c r="D1069" s="376">
        <v>2021</v>
      </c>
      <c r="E1069" s="376">
        <v>2023</v>
      </c>
      <c r="F1069" s="376">
        <v>1</v>
      </c>
      <c r="G1069" s="376">
        <v>6101.463203368502</v>
      </c>
      <c r="H1069" s="376">
        <v>0</v>
      </c>
      <c r="I1069" s="376">
        <v>1</v>
      </c>
    </row>
    <row r="1070" spans="1:9" x14ac:dyDescent="0.35">
      <c r="A1070" s="376" t="s">
        <v>1603</v>
      </c>
      <c r="B1070" s="376" t="s">
        <v>1609</v>
      </c>
      <c r="C1070" s="376" t="s">
        <v>628</v>
      </c>
      <c r="D1070" s="376">
        <v>2021</v>
      </c>
      <c r="E1070" s="376">
        <v>2023</v>
      </c>
      <c r="F1070" s="376">
        <v>1</v>
      </c>
      <c r="G1070" s="376">
        <v>6101.463203368502</v>
      </c>
      <c r="H1070" s="376">
        <v>0</v>
      </c>
      <c r="I1070" s="376">
        <v>1</v>
      </c>
    </row>
    <row r="1071" spans="1:9" x14ac:dyDescent="0.35">
      <c r="A1071" s="376" t="s">
        <v>1603</v>
      </c>
      <c r="B1071" s="376" t="s">
        <v>1609</v>
      </c>
      <c r="C1071" s="376" t="s">
        <v>1051</v>
      </c>
      <c r="D1071" s="376">
        <v>2021</v>
      </c>
      <c r="E1071" s="376">
        <v>2023</v>
      </c>
      <c r="F1071" s="376">
        <v>1</v>
      </c>
      <c r="G1071" s="376">
        <v>6101.463203368502</v>
      </c>
      <c r="H1071" s="376">
        <v>0</v>
      </c>
      <c r="I1071" s="376">
        <v>1</v>
      </c>
    </row>
    <row r="1072" spans="1:9" x14ac:dyDescent="0.35">
      <c r="A1072" s="376" t="s">
        <v>1603</v>
      </c>
      <c r="B1072" s="376" t="s">
        <v>1609</v>
      </c>
      <c r="C1072" s="376" t="s">
        <v>1054</v>
      </c>
      <c r="D1072" s="376">
        <v>2021</v>
      </c>
      <c r="E1072" s="376">
        <v>2023</v>
      </c>
      <c r="F1072" s="376">
        <v>1</v>
      </c>
      <c r="G1072" s="376">
        <v>6101.463203368502</v>
      </c>
      <c r="H1072" s="376">
        <v>0</v>
      </c>
      <c r="I1072" s="376">
        <v>1</v>
      </c>
    </row>
    <row r="1073" spans="1:9" x14ac:dyDescent="0.35">
      <c r="A1073" s="376" t="s">
        <v>1603</v>
      </c>
      <c r="B1073" s="376" t="s">
        <v>1609</v>
      </c>
      <c r="C1073" s="376" t="s">
        <v>1046</v>
      </c>
      <c r="D1073" s="376">
        <v>2021</v>
      </c>
      <c r="E1073" s="376">
        <v>2024</v>
      </c>
      <c r="F1073" s="376">
        <v>1</v>
      </c>
      <c r="G1073" s="376">
        <v>6101.463203368502</v>
      </c>
      <c r="H1073" s="376">
        <v>0</v>
      </c>
      <c r="I1073" s="376">
        <v>1</v>
      </c>
    </row>
    <row r="1074" spans="1:9" x14ac:dyDescent="0.35">
      <c r="A1074" s="376" t="s">
        <v>1603</v>
      </c>
      <c r="B1074" s="376" t="s">
        <v>1609</v>
      </c>
      <c r="C1074" s="376" t="s">
        <v>644</v>
      </c>
      <c r="D1074" s="376">
        <v>2021</v>
      </c>
      <c r="E1074" s="376">
        <v>2024</v>
      </c>
      <c r="F1074" s="376">
        <v>1</v>
      </c>
      <c r="G1074" s="376">
        <v>6101.463203368502</v>
      </c>
      <c r="H1074" s="376">
        <v>0</v>
      </c>
      <c r="I1074" s="376">
        <v>1</v>
      </c>
    </row>
    <row r="1075" spans="1:9" x14ac:dyDescent="0.35">
      <c r="A1075" s="376" t="s">
        <v>1603</v>
      </c>
      <c r="B1075" s="376" t="s">
        <v>1609</v>
      </c>
      <c r="C1075" s="376" t="s">
        <v>628</v>
      </c>
      <c r="D1075" s="376">
        <v>2021</v>
      </c>
      <c r="E1075" s="376">
        <v>2024</v>
      </c>
      <c r="F1075" s="376">
        <v>1</v>
      </c>
      <c r="G1075" s="376">
        <v>6101.463203368502</v>
      </c>
      <c r="H1075" s="376">
        <v>0</v>
      </c>
      <c r="I1075" s="376">
        <v>1</v>
      </c>
    </row>
    <row r="1076" spans="1:9" x14ac:dyDescent="0.35">
      <c r="A1076" s="376" t="s">
        <v>1603</v>
      </c>
      <c r="B1076" s="376" t="s">
        <v>1609</v>
      </c>
      <c r="C1076" s="376" t="s">
        <v>1051</v>
      </c>
      <c r="D1076" s="376">
        <v>2021</v>
      </c>
      <c r="E1076" s="376">
        <v>2024</v>
      </c>
      <c r="F1076" s="376">
        <v>1</v>
      </c>
      <c r="G1076" s="376">
        <v>6101.463203368502</v>
      </c>
      <c r="H1076" s="376">
        <v>0</v>
      </c>
      <c r="I1076" s="376">
        <v>1</v>
      </c>
    </row>
    <row r="1077" spans="1:9" x14ac:dyDescent="0.35">
      <c r="A1077" s="376" t="s">
        <v>1603</v>
      </c>
      <c r="B1077" s="376" t="s">
        <v>1609</v>
      </c>
      <c r="C1077" s="376" t="s">
        <v>1054</v>
      </c>
      <c r="D1077" s="376">
        <v>2021</v>
      </c>
      <c r="E1077" s="376">
        <v>2024</v>
      </c>
      <c r="F1077" s="376">
        <v>1</v>
      </c>
      <c r="G1077" s="376">
        <v>6101.463203368502</v>
      </c>
      <c r="H1077" s="376">
        <v>0</v>
      </c>
      <c r="I1077" s="376">
        <v>1</v>
      </c>
    </row>
    <row r="1078" spans="1:9" x14ac:dyDescent="0.35">
      <c r="A1078" s="376" t="s">
        <v>1603</v>
      </c>
      <c r="B1078" s="376" t="s">
        <v>1609</v>
      </c>
      <c r="C1078" s="376" t="s">
        <v>1046</v>
      </c>
      <c r="D1078" s="376">
        <v>2021</v>
      </c>
      <c r="E1078" s="376">
        <v>2025</v>
      </c>
      <c r="F1078" s="376">
        <v>1</v>
      </c>
      <c r="G1078" s="376">
        <v>6101.463203368502</v>
      </c>
      <c r="H1078" s="376">
        <v>0</v>
      </c>
      <c r="I1078" s="376">
        <v>1</v>
      </c>
    </row>
    <row r="1079" spans="1:9" x14ac:dyDescent="0.35">
      <c r="A1079" s="376" t="s">
        <v>1603</v>
      </c>
      <c r="B1079" s="376" t="s">
        <v>1609</v>
      </c>
      <c r="C1079" s="376" t="s">
        <v>644</v>
      </c>
      <c r="D1079" s="376">
        <v>2021</v>
      </c>
      <c r="E1079" s="376">
        <v>2025</v>
      </c>
      <c r="F1079" s="376">
        <v>1</v>
      </c>
      <c r="G1079" s="376">
        <v>6101.463203368502</v>
      </c>
      <c r="H1079" s="376">
        <v>0</v>
      </c>
      <c r="I1079" s="376">
        <v>1</v>
      </c>
    </row>
    <row r="1080" spans="1:9" x14ac:dyDescent="0.35">
      <c r="A1080" s="376" t="s">
        <v>1603</v>
      </c>
      <c r="B1080" s="376" t="s">
        <v>1609</v>
      </c>
      <c r="C1080" s="376" t="s">
        <v>628</v>
      </c>
      <c r="D1080" s="376">
        <v>2021</v>
      </c>
      <c r="E1080" s="376">
        <v>2025</v>
      </c>
      <c r="F1080" s="376">
        <v>1</v>
      </c>
      <c r="G1080" s="376">
        <v>6101.463203368502</v>
      </c>
      <c r="H1080" s="376">
        <v>0</v>
      </c>
      <c r="I1080" s="376">
        <v>1</v>
      </c>
    </row>
    <row r="1081" spans="1:9" x14ac:dyDescent="0.35">
      <c r="A1081" s="376" t="s">
        <v>1603</v>
      </c>
      <c r="B1081" s="376" t="s">
        <v>1609</v>
      </c>
      <c r="C1081" s="376" t="s">
        <v>1051</v>
      </c>
      <c r="D1081" s="376">
        <v>2021</v>
      </c>
      <c r="E1081" s="376">
        <v>2025</v>
      </c>
      <c r="F1081" s="376">
        <v>1</v>
      </c>
      <c r="G1081" s="376">
        <v>6101.463203368502</v>
      </c>
      <c r="H1081" s="376">
        <v>0</v>
      </c>
      <c r="I1081" s="376">
        <v>1</v>
      </c>
    </row>
    <row r="1082" spans="1:9" x14ac:dyDescent="0.35">
      <c r="A1082" s="376" t="s">
        <v>1603</v>
      </c>
      <c r="B1082" s="376" t="s">
        <v>1609</v>
      </c>
      <c r="C1082" s="376" t="s">
        <v>1054</v>
      </c>
      <c r="D1082" s="376">
        <v>2021</v>
      </c>
      <c r="E1082" s="376">
        <v>2025</v>
      </c>
      <c r="F1082" s="376">
        <v>1</v>
      </c>
      <c r="G1082" s="376">
        <v>6101.463203368502</v>
      </c>
      <c r="H1082" s="376">
        <v>0</v>
      </c>
      <c r="I1082" s="376">
        <v>1</v>
      </c>
    </row>
    <row r="1083" spans="1:9" x14ac:dyDescent="0.35">
      <c r="A1083" s="376" t="s">
        <v>1603</v>
      </c>
      <c r="B1083" s="376" t="s">
        <v>1609</v>
      </c>
      <c r="C1083" s="376" t="s">
        <v>1046</v>
      </c>
      <c r="D1083" s="376">
        <v>2021</v>
      </c>
      <c r="E1083" s="376">
        <v>2026</v>
      </c>
      <c r="F1083" s="376">
        <v>1</v>
      </c>
      <c r="G1083" s="376">
        <v>6101.463203368502</v>
      </c>
      <c r="H1083" s="376">
        <v>0</v>
      </c>
      <c r="I1083" s="376">
        <v>1</v>
      </c>
    </row>
    <row r="1084" spans="1:9" x14ac:dyDescent="0.35">
      <c r="A1084" s="376" t="s">
        <v>1603</v>
      </c>
      <c r="B1084" s="376" t="s">
        <v>1609</v>
      </c>
      <c r="C1084" s="376" t="s">
        <v>644</v>
      </c>
      <c r="D1084" s="376">
        <v>2021</v>
      </c>
      <c r="E1084" s="376">
        <v>2026</v>
      </c>
      <c r="F1084" s="376">
        <v>1</v>
      </c>
      <c r="G1084" s="376">
        <v>6101.463203368502</v>
      </c>
      <c r="H1084" s="376">
        <v>0</v>
      </c>
      <c r="I1084" s="376">
        <v>1</v>
      </c>
    </row>
    <row r="1085" spans="1:9" x14ac:dyDescent="0.35">
      <c r="A1085" s="376" t="s">
        <v>1603</v>
      </c>
      <c r="B1085" s="376" t="s">
        <v>1609</v>
      </c>
      <c r="C1085" s="376" t="s">
        <v>628</v>
      </c>
      <c r="D1085" s="376">
        <v>2021</v>
      </c>
      <c r="E1085" s="376">
        <v>2026</v>
      </c>
      <c r="F1085" s="376">
        <v>1</v>
      </c>
      <c r="G1085" s="376">
        <v>6101.463203368502</v>
      </c>
      <c r="H1085" s="376">
        <v>0</v>
      </c>
      <c r="I1085" s="376">
        <v>1</v>
      </c>
    </row>
    <row r="1086" spans="1:9" x14ac:dyDescent="0.35">
      <c r="A1086" s="376" t="s">
        <v>1603</v>
      </c>
      <c r="B1086" s="376" t="s">
        <v>1609</v>
      </c>
      <c r="C1086" s="376" t="s">
        <v>1051</v>
      </c>
      <c r="D1086" s="376">
        <v>2021</v>
      </c>
      <c r="E1086" s="376">
        <v>2026</v>
      </c>
      <c r="F1086" s="376">
        <v>1</v>
      </c>
      <c r="G1086" s="376">
        <v>6101.463203368502</v>
      </c>
      <c r="H1086" s="376">
        <v>0</v>
      </c>
      <c r="I1086" s="376">
        <v>1</v>
      </c>
    </row>
    <row r="1087" spans="1:9" x14ac:dyDescent="0.35">
      <c r="A1087" s="376" t="s">
        <v>1603</v>
      </c>
      <c r="B1087" s="376" t="s">
        <v>1609</v>
      </c>
      <c r="C1087" s="376" t="s">
        <v>1054</v>
      </c>
      <c r="D1087" s="376">
        <v>2021</v>
      </c>
      <c r="E1087" s="376">
        <v>2026</v>
      </c>
      <c r="F1087" s="376">
        <v>1</v>
      </c>
      <c r="G1087" s="376">
        <v>6101.463203368502</v>
      </c>
      <c r="H1087" s="376">
        <v>0</v>
      </c>
      <c r="I1087" s="376">
        <v>1</v>
      </c>
    </row>
    <row r="1088" spans="1:9" x14ac:dyDescent="0.35">
      <c r="A1088" s="376" t="s">
        <v>1603</v>
      </c>
      <c r="B1088" s="376" t="s">
        <v>1609</v>
      </c>
      <c r="C1088" s="376" t="s">
        <v>1046</v>
      </c>
      <c r="D1088" s="376">
        <v>2021</v>
      </c>
      <c r="E1088" s="376">
        <v>2027</v>
      </c>
      <c r="F1088" s="376">
        <v>1</v>
      </c>
      <c r="G1088" s="376">
        <v>6101.463203368502</v>
      </c>
      <c r="H1088" s="376">
        <v>0</v>
      </c>
      <c r="I1088" s="376">
        <v>1</v>
      </c>
    </row>
    <row r="1089" spans="1:9" x14ac:dyDescent="0.35">
      <c r="A1089" s="376" t="s">
        <v>1603</v>
      </c>
      <c r="B1089" s="376" t="s">
        <v>1609</v>
      </c>
      <c r="C1089" s="376" t="s">
        <v>644</v>
      </c>
      <c r="D1089" s="376">
        <v>2021</v>
      </c>
      <c r="E1089" s="376">
        <v>2027</v>
      </c>
      <c r="F1089" s="376">
        <v>1</v>
      </c>
      <c r="G1089" s="376">
        <v>6101.463203368502</v>
      </c>
      <c r="H1089" s="376">
        <v>0</v>
      </c>
      <c r="I1089" s="376">
        <v>1</v>
      </c>
    </row>
    <row r="1090" spans="1:9" x14ac:dyDescent="0.35">
      <c r="A1090" s="376" t="s">
        <v>1603</v>
      </c>
      <c r="B1090" s="376" t="s">
        <v>1609</v>
      </c>
      <c r="C1090" s="376" t="s">
        <v>628</v>
      </c>
      <c r="D1090" s="376">
        <v>2021</v>
      </c>
      <c r="E1090" s="376">
        <v>2027</v>
      </c>
      <c r="F1090" s="376">
        <v>1</v>
      </c>
      <c r="G1090" s="376">
        <v>6101.463203368502</v>
      </c>
      <c r="H1090" s="376">
        <v>0</v>
      </c>
      <c r="I1090" s="376">
        <v>1</v>
      </c>
    </row>
    <row r="1091" spans="1:9" x14ac:dyDescent="0.35">
      <c r="A1091" s="376" t="s">
        <v>1603</v>
      </c>
      <c r="B1091" s="376" t="s">
        <v>1609</v>
      </c>
      <c r="C1091" s="376" t="s">
        <v>1051</v>
      </c>
      <c r="D1091" s="376">
        <v>2021</v>
      </c>
      <c r="E1091" s="376">
        <v>2027</v>
      </c>
      <c r="F1091" s="376">
        <v>1</v>
      </c>
      <c r="G1091" s="376">
        <v>6101.463203368502</v>
      </c>
      <c r="H1091" s="376">
        <v>0</v>
      </c>
      <c r="I1091" s="376">
        <v>1</v>
      </c>
    </row>
    <row r="1092" spans="1:9" x14ac:dyDescent="0.35">
      <c r="A1092" s="376" t="s">
        <v>1603</v>
      </c>
      <c r="B1092" s="376" t="s">
        <v>1609</v>
      </c>
      <c r="C1092" s="376" t="s">
        <v>1054</v>
      </c>
      <c r="D1092" s="376">
        <v>2021</v>
      </c>
      <c r="E1092" s="376">
        <v>2027</v>
      </c>
      <c r="F1092" s="376">
        <v>1</v>
      </c>
      <c r="G1092" s="376">
        <v>6101.463203368502</v>
      </c>
      <c r="H1092" s="376">
        <v>0</v>
      </c>
      <c r="I1092" s="376">
        <v>1</v>
      </c>
    </row>
    <row r="1093" spans="1:9" x14ac:dyDescent="0.35">
      <c r="A1093" s="376" t="s">
        <v>1603</v>
      </c>
      <c r="B1093" s="376" t="s">
        <v>1609</v>
      </c>
      <c r="C1093" s="376" t="s">
        <v>1046</v>
      </c>
      <c r="D1093" s="376">
        <v>2021</v>
      </c>
      <c r="E1093" s="376">
        <v>2028</v>
      </c>
      <c r="F1093" s="376">
        <v>1</v>
      </c>
      <c r="G1093" s="376">
        <v>6101.463203368502</v>
      </c>
      <c r="H1093" s="376">
        <v>0</v>
      </c>
      <c r="I1093" s="376">
        <v>1</v>
      </c>
    </row>
    <row r="1094" spans="1:9" x14ac:dyDescent="0.35">
      <c r="A1094" s="376" t="s">
        <v>1603</v>
      </c>
      <c r="B1094" s="376" t="s">
        <v>1609</v>
      </c>
      <c r="C1094" s="376" t="s">
        <v>644</v>
      </c>
      <c r="D1094" s="376">
        <v>2021</v>
      </c>
      <c r="E1094" s="376">
        <v>2028</v>
      </c>
      <c r="F1094" s="376">
        <v>1</v>
      </c>
      <c r="G1094" s="376">
        <v>6101.463203368502</v>
      </c>
      <c r="H1094" s="376">
        <v>0</v>
      </c>
      <c r="I1094" s="376">
        <v>1</v>
      </c>
    </row>
    <row r="1095" spans="1:9" x14ac:dyDescent="0.35">
      <c r="A1095" s="376" t="s">
        <v>1603</v>
      </c>
      <c r="B1095" s="376" t="s">
        <v>1609</v>
      </c>
      <c r="C1095" s="376" t="s">
        <v>628</v>
      </c>
      <c r="D1095" s="376">
        <v>2021</v>
      </c>
      <c r="E1095" s="376">
        <v>2028</v>
      </c>
      <c r="F1095" s="376">
        <v>1</v>
      </c>
      <c r="G1095" s="376">
        <v>6101.463203368502</v>
      </c>
      <c r="H1095" s="376">
        <v>0</v>
      </c>
      <c r="I1095" s="376">
        <v>1</v>
      </c>
    </row>
    <row r="1096" spans="1:9" x14ac:dyDescent="0.35">
      <c r="A1096" s="376" t="s">
        <v>1603</v>
      </c>
      <c r="B1096" s="376" t="s">
        <v>1609</v>
      </c>
      <c r="C1096" s="376" t="s">
        <v>1051</v>
      </c>
      <c r="D1096" s="376">
        <v>2021</v>
      </c>
      <c r="E1096" s="376">
        <v>2028</v>
      </c>
      <c r="F1096" s="376">
        <v>1</v>
      </c>
      <c r="G1096" s="376">
        <v>6101.463203368502</v>
      </c>
      <c r="H1096" s="376">
        <v>0</v>
      </c>
      <c r="I1096" s="376">
        <v>1</v>
      </c>
    </row>
    <row r="1097" spans="1:9" x14ac:dyDescent="0.35">
      <c r="A1097" s="376" t="s">
        <v>1603</v>
      </c>
      <c r="B1097" s="376" t="s">
        <v>1609</v>
      </c>
      <c r="C1097" s="376" t="s">
        <v>1054</v>
      </c>
      <c r="D1097" s="376">
        <v>2021</v>
      </c>
      <c r="E1097" s="376">
        <v>2028</v>
      </c>
      <c r="F1097" s="376">
        <v>1</v>
      </c>
      <c r="G1097" s="376">
        <v>6101.463203368502</v>
      </c>
      <c r="H1097" s="376">
        <v>0</v>
      </c>
      <c r="I1097" s="376">
        <v>1</v>
      </c>
    </row>
    <row r="1098" spans="1:9" x14ac:dyDescent="0.35">
      <c r="A1098" s="376" t="s">
        <v>1603</v>
      </c>
      <c r="B1098" s="376" t="s">
        <v>1609</v>
      </c>
      <c r="C1098" s="376" t="s">
        <v>1046</v>
      </c>
      <c r="D1098" s="376">
        <v>2021</v>
      </c>
      <c r="E1098" s="376">
        <v>2029</v>
      </c>
      <c r="F1098" s="376">
        <v>1</v>
      </c>
      <c r="G1098" s="376">
        <v>6101.463203368502</v>
      </c>
      <c r="H1098" s="376">
        <v>0</v>
      </c>
      <c r="I1098" s="376">
        <v>1</v>
      </c>
    </row>
    <row r="1099" spans="1:9" x14ac:dyDescent="0.35">
      <c r="A1099" s="376" t="s">
        <v>1603</v>
      </c>
      <c r="B1099" s="376" t="s">
        <v>1609</v>
      </c>
      <c r="C1099" s="376" t="s">
        <v>644</v>
      </c>
      <c r="D1099" s="376">
        <v>2021</v>
      </c>
      <c r="E1099" s="376">
        <v>2029</v>
      </c>
      <c r="F1099" s="376">
        <v>1</v>
      </c>
      <c r="G1099" s="376">
        <v>6101.463203368502</v>
      </c>
      <c r="H1099" s="376">
        <v>0</v>
      </c>
      <c r="I1099" s="376">
        <v>1</v>
      </c>
    </row>
    <row r="1100" spans="1:9" x14ac:dyDescent="0.35">
      <c r="A1100" s="376" t="s">
        <v>1603</v>
      </c>
      <c r="B1100" s="376" t="s">
        <v>1609</v>
      </c>
      <c r="C1100" s="376" t="s">
        <v>628</v>
      </c>
      <c r="D1100" s="376">
        <v>2021</v>
      </c>
      <c r="E1100" s="376">
        <v>2029</v>
      </c>
      <c r="F1100" s="376">
        <v>1</v>
      </c>
      <c r="G1100" s="376">
        <v>6101.463203368502</v>
      </c>
      <c r="H1100" s="376">
        <v>0</v>
      </c>
      <c r="I1100" s="376">
        <v>1</v>
      </c>
    </row>
    <row r="1101" spans="1:9" x14ac:dyDescent="0.35">
      <c r="A1101" s="376" t="s">
        <v>1603</v>
      </c>
      <c r="B1101" s="376" t="s">
        <v>1609</v>
      </c>
      <c r="C1101" s="376" t="s">
        <v>1051</v>
      </c>
      <c r="D1101" s="376">
        <v>2021</v>
      </c>
      <c r="E1101" s="376">
        <v>2029</v>
      </c>
      <c r="F1101" s="376">
        <v>1</v>
      </c>
      <c r="G1101" s="376">
        <v>6101.463203368502</v>
      </c>
      <c r="H1101" s="376">
        <v>0</v>
      </c>
      <c r="I1101" s="376">
        <v>1</v>
      </c>
    </row>
    <row r="1102" spans="1:9" x14ac:dyDescent="0.35">
      <c r="A1102" s="376" t="s">
        <v>1603</v>
      </c>
      <c r="B1102" s="376" t="s">
        <v>1609</v>
      </c>
      <c r="C1102" s="376" t="s">
        <v>1054</v>
      </c>
      <c r="D1102" s="376">
        <v>2021</v>
      </c>
      <c r="E1102" s="376">
        <v>2029</v>
      </c>
      <c r="F1102" s="376">
        <v>1</v>
      </c>
      <c r="G1102" s="376">
        <v>6101.463203368502</v>
      </c>
      <c r="H1102" s="376">
        <v>0</v>
      </c>
      <c r="I1102" s="376">
        <v>1</v>
      </c>
    </row>
    <row r="1103" spans="1:9" x14ac:dyDescent="0.35">
      <c r="A1103" s="376" t="s">
        <v>1603</v>
      </c>
      <c r="B1103" s="376" t="s">
        <v>1609</v>
      </c>
      <c r="C1103" s="376" t="s">
        <v>1046</v>
      </c>
      <c r="D1103" s="376">
        <v>2021</v>
      </c>
      <c r="E1103" s="376">
        <v>2030</v>
      </c>
      <c r="F1103" s="376">
        <v>1</v>
      </c>
      <c r="G1103" s="376">
        <v>6101.463203368502</v>
      </c>
      <c r="H1103" s="376">
        <v>0</v>
      </c>
      <c r="I1103" s="376">
        <v>1</v>
      </c>
    </row>
    <row r="1104" spans="1:9" x14ac:dyDescent="0.35">
      <c r="A1104" s="376" t="s">
        <v>1603</v>
      </c>
      <c r="B1104" s="376" t="s">
        <v>1609</v>
      </c>
      <c r="C1104" s="376" t="s">
        <v>644</v>
      </c>
      <c r="D1104" s="376">
        <v>2021</v>
      </c>
      <c r="E1104" s="376">
        <v>2030</v>
      </c>
      <c r="F1104" s="376">
        <v>1</v>
      </c>
      <c r="G1104" s="376">
        <v>6101.463203368502</v>
      </c>
      <c r="H1104" s="376">
        <v>0</v>
      </c>
      <c r="I1104" s="376">
        <v>1</v>
      </c>
    </row>
    <row r="1105" spans="1:9" x14ac:dyDescent="0.35">
      <c r="A1105" s="376" t="s">
        <v>1603</v>
      </c>
      <c r="B1105" s="376" t="s">
        <v>1609</v>
      </c>
      <c r="C1105" s="376" t="s">
        <v>628</v>
      </c>
      <c r="D1105" s="376">
        <v>2021</v>
      </c>
      <c r="E1105" s="376">
        <v>2030</v>
      </c>
      <c r="F1105" s="376">
        <v>1</v>
      </c>
      <c r="G1105" s="376">
        <v>6101.463203368502</v>
      </c>
      <c r="H1105" s="376">
        <v>0</v>
      </c>
      <c r="I1105" s="376">
        <v>1</v>
      </c>
    </row>
    <row r="1106" spans="1:9" x14ac:dyDescent="0.35">
      <c r="A1106" s="376" t="s">
        <v>1603</v>
      </c>
      <c r="B1106" s="376" t="s">
        <v>1609</v>
      </c>
      <c r="C1106" s="376" t="s">
        <v>1051</v>
      </c>
      <c r="D1106" s="376">
        <v>2021</v>
      </c>
      <c r="E1106" s="376">
        <v>2030</v>
      </c>
      <c r="F1106" s="376">
        <v>1</v>
      </c>
      <c r="G1106" s="376">
        <v>6101.463203368502</v>
      </c>
      <c r="H1106" s="376">
        <v>0</v>
      </c>
      <c r="I1106" s="376">
        <v>1</v>
      </c>
    </row>
    <row r="1107" spans="1:9" x14ac:dyDescent="0.35">
      <c r="A1107" s="376" t="s">
        <v>1603</v>
      </c>
      <c r="B1107" s="376" t="s">
        <v>1609</v>
      </c>
      <c r="C1107" s="376" t="s">
        <v>1054</v>
      </c>
      <c r="D1107" s="376">
        <v>2021</v>
      </c>
      <c r="E1107" s="376">
        <v>2030</v>
      </c>
      <c r="F1107" s="376">
        <v>1</v>
      </c>
      <c r="G1107" s="376">
        <v>6101.463203368502</v>
      </c>
      <c r="H1107" s="376">
        <v>0</v>
      </c>
      <c r="I1107" s="376">
        <v>1</v>
      </c>
    </row>
    <row r="1108" spans="1:9" x14ac:dyDescent="0.35">
      <c r="A1108" s="376" t="s">
        <v>1603</v>
      </c>
      <c r="B1108" s="376" t="s">
        <v>1609</v>
      </c>
      <c r="C1108" s="376" t="s">
        <v>1046</v>
      </c>
      <c r="D1108" s="376">
        <v>2021</v>
      </c>
      <c r="E1108" s="376">
        <v>2031</v>
      </c>
      <c r="F1108" s="376">
        <v>1</v>
      </c>
      <c r="G1108" s="376">
        <v>6101.463203368502</v>
      </c>
      <c r="H1108" s="376">
        <v>0</v>
      </c>
      <c r="I1108" s="376">
        <v>1</v>
      </c>
    </row>
    <row r="1109" spans="1:9" x14ac:dyDescent="0.35">
      <c r="A1109" s="376" t="s">
        <v>1603</v>
      </c>
      <c r="B1109" s="376" t="s">
        <v>1609</v>
      </c>
      <c r="C1109" s="376" t="s">
        <v>644</v>
      </c>
      <c r="D1109" s="376">
        <v>2021</v>
      </c>
      <c r="E1109" s="376">
        <v>2031</v>
      </c>
      <c r="F1109" s="376">
        <v>1</v>
      </c>
      <c r="G1109" s="376">
        <v>6101.463203368502</v>
      </c>
      <c r="H1109" s="376">
        <v>0</v>
      </c>
      <c r="I1109" s="376">
        <v>1</v>
      </c>
    </row>
    <row r="1110" spans="1:9" x14ac:dyDescent="0.35">
      <c r="A1110" s="376" t="s">
        <v>1603</v>
      </c>
      <c r="B1110" s="376" t="s">
        <v>1609</v>
      </c>
      <c r="C1110" s="376" t="s">
        <v>628</v>
      </c>
      <c r="D1110" s="376">
        <v>2021</v>
      </c>
      <c r="E1110" s="376">
        <v>2031</v>
      </c>
      <c r="F1110" s="376">
        <v>1</v>
      </c>
      <c r="G1110" s="376">
        <v>6101.463203368502</v>
      </c>
      <c r="H1110" s="376">
        <v>0</v>
      </c>
      <c r="I1110" s="376">
        <v>1</v>
      </c>
    </row>
    <row r="1111" spans="1:9" x14ac:dyDescent="0.35">
      <c r="A1111" s="376" t="s">
        <v>1603</v>
      </c>
      <c r="B1111" s="376" t="s">
        <v>1609</v>
      </c>
      <c r="C1111" s="376" t="s">
        <v>1051</v>
      </c>
      <c r="D1111" s="376">
        <v>2021</v>
      </c>
      <c r="E1111" s="376">
        <v>2031</v>
      </c>
      <c r="F1111" s="376">
        <v>1</v>
      </c>
      <c r="G1111" s="376">
        <v>6101.463203368502</v>
      </c>
      <c r="H1111" s="376">
        <v>0</v>
      </c>
      <c r="I1111" s="376">
        <v>1</v>
      </c>
    </row>
    <row r="1112" spans="1:9" x14ac:dyDescent="0.35">
      <c r="A1112" s="376" t="s">
        <v>1603</v>
      </c>
      <c r="B1112" s="376" t="s">
        <v>1609</v>
      </c>
      <c r="C1112" s="376" t="s">
        <v>1054</v>
      </c>
      <c r="D1112" s="376">
        <v>2021</v>
      </c>
      <c r="E1112" s="376">
        <v>2031</v>
      </c>
      <c r="F1112" s="376">
        <v>1</v>
      </c>
      <c r="G1112" s="376">
        <v>6101.463203368502</v>
      </c>
      <c r="H1112" s="376">
        <v>0</v>
      </c>
      <c r="I1112" s="376">
        <v>1</v>
      </c>
    </row>
    <row r="1113" spans="1:9" x14ac:dyDescent="0.35">
      <c r="A1113" s="376" t="s">
        <v>1605</v>
      </c>
      <c r="B1113" s="376" t="s">
        <v>1609</v>
      </c>
      <c r="C1113" s="376" t="s">
        <v>1046</v>
      </c>
      <c r="D1113" s="376">
        <v>2021</v>
      </c>
      <c r="E1113" s="376">
        <v>2021</v>
      </c>
      <c r="F1113" s="376">
        <v>0.23884589662749595</v>
      </c>
      <c r="G1113" s="376">
        <v>10426.102375692073</v>
      </c>
      <c r="H1113" s="376">
        <v>0</v>
      </c>
      <c r="I1113" s="376">
        <v>1</v>
      </c>
    </row>
    <row r="1114" spans="1:9" x14ac:dyDescent="0.35">
      <c r="A1114" s="376" t="s">
        <v>1605</v>
      </c>
      <c r="B1114" s="376" t="s">
        <v>1609</v>
      </c>
      <c r="C1114" s="376" t="s">
        <v>644</v>
      </c>
      <c r="D1114" s="376">
        <v>2021</v>
      </c>
      <c r="E1114" s="376">
        <v>2021</v>
      </c>
      <c r="F1114" s="376">
        <v>0.23884589662749595</v>
      </c>
      <c r="G1114" s="376">
        <v>10426.102375692073</v>
      </c>
      <c r="H1114" s="376">
        <v>0</v>
      </c>
      <c r="I1114" s="376">
        <v>1</v>
      </c>
    </row>
    <row r="1115" spans="1:9" x14ac:dyDescent="0.35">
      <c r="A1115" s="376" t="s">
        <v>1605</v>
      </c>
      <c r="B1115" s="376" t="s">
        <v>1609</v>
      </c>
      <c r="C1115" s="376" t="s">
        <v>628</v>
      </c>
      <c r="D1115" s="376">
        <v>2021</v>
      </c>
      <c r="E1115" s="376">
        <v>2021</v>
      </c>
      <c r="F1115" s="376">
        <v>0.23884589662749595</v>
      </c>
      <c r="G1115" s="376">
        <v>10426.102375692073</v>
      </c>
      <c r="H1115" s="376">
        <v>0</v>
      </c>
      <c r="I1115" s="376">
        <v>1</v>
      </c>
    </row>
    <row r="1116" spans="1:9" x14ac:dyDescent="0.35">
      <c r="A1116" s="376" t="s">
        <v>1605</v>
      </c>
      <c r="B1116" s="376" t="s">
        <v>1609</v>
      </c>
      <c r="C1116" s="376" t="s">
        <v>1051</v>
      </c>
      <c r="D1116" s="376">
        <v>2021</v>
      </c>
      <c r="E1116" s="376">
        <v>2021</v>
      </c>
      <c r="F1116" s="376">
        <v>0.23884589662749595</v>
      </c>
      <c r="G1116" s="376">
        <v>10426.102375692073</v>
      </c>
      <c r="H1116" s="376">
        <v>0</v>
      </c>
      <c r="I1116" s="376">
        <v>1</v>
      </c>
    </row>
    <row r="1117" spans="1:9" x14ac:dyDescent="0.35">
      <c r="A1117" s="376" t="s">
        <v>1605</v>
      </c>
      <c r="B1117" s="376" t="s">
        <v>1609</v>
      </c>
      <c r="C1117" s="376" t="s">
        <v>1054</v>
      </c>
      <c r="D1117" s="376">
        <v>2021</v>
      </c>
      <c r="E1117" s="376">
        <v>2021</v>
      </c>
      <c r="F1117" s="376">
        <v>0.23884589662749595</v>
      </c>
      <c r="G1117" s="376">
        <v>10426.102375692073</v>
      </c>
      <c r="H1117" s="376">
        <v>0</v>
      </c>
      <c r="I1117" s="376">
        <v>1</v>
      </c>
    </row>
    <row r="1118" spans="1:9" x14ac:dyDescent="0.35">
      <c r="A1118" s="376" t="s">
        <v>1605</v>
      </c>
      <c r="B1118" s="376" t="s">
        <v>1609</v>
      </c>
      <c r="C1118" s="376" t="s">
        <v>1046</v>
      </c>
      <c r="D1118" s="376">
        <v>2021</v>
      </c>
      <c r="E1118" s="376">
        <v>2022</v>
      </c>
      <c r="F1118" s="376">
        <v>0.23884589662749595</v>
      </c>
      <c r="G1118" s="376">
        <v>10426.102375692073</v>
      </c>
      <c r="H1118" s="376">
        <v>0</v>
      </c>
      <c r="I1118" s="376">
        <v>1</v>
      </c>
    </row>
    <row r="1119" spans="1:9" x14ac:dyDescent="0.35">
      <c r="A1119" s="376" t="s">
        <v>1605</v>
      </c>
      <c r="B1119" s="376" t="s">
        <v>1609</v>
      </c>
      <c r="C1119" s="376" t="s">
        <v>644</v>
      </c>
      <c r="D1119" s="376">
        <v>2021</v>
      </c>
      <c r="E1119" s="376">
        <v>2022</v>
      </c>
      <c r="F1119" s="376">
        <v>0.23884589662749595</v>
      </c>
      <c r="G1119" s="376">
        <v>10426.102375692073</v>
      </c>
      <c r="H1119" s="376">
        <v>0</v>
      </c>
      <c r="I1119" s="376">
        <v>1</v>
      </c>
    </row>
    <row r="1120" spans="1:9" x14ac:dyDescent="0.35">
      <c r="A1120" s="376" t="s">
        <v>1605</v>
      </c>
      <c r="B1120" s="376" t="s">
        <v>1609</v>
      </c>
      <c r="C1120" s="376" t="s">
        <v>628</v>
      </c>
      <c r="D1120" s="376">
        <v>2021</v>
      </c>
      <c r="E1120" s="376">
        <v>2022</v>
      </c>
      <c r="F1120" s="376">
        <v>0.23884589662749595</v>
      </c>
      <c r="G1120" s="376">
        <v>10426.102375692073</v>
      </c>
      <c r="H1120" s="376">
        <v>0</v>
      </c>
      <c r="I1120" s="376">
        <v>1</v>
      </c>
    </row>
    <row r="1121" spans="1:9" x14ac:dyDescent="0.35">
      <c r="A1121" s="376" t="s">
        <v>1605</v>
      </c>
      <c r="B1121" s="376" t="s">
        <v>1609</v>
      </c>
      <c r="C1121" s="376" t="s">
        <v>1051</v>
      </c>
      <c r="D1121" s="376">
        <v>2021</v>
      </c>
      <c r="E1121" s="376">
        <v>2022</v>
      </c>
      <c r="F1121" s="376">
        <v>0.23884589662749595</v>
      </c>
      <c r="G1121" s="376">
        <v>10426.102375692073</v>
      </c>
      <c r="H1121" s="376">
        <v>0</v>
      </c>
      <c r="I1121" s="376">
        <v>1</v>
      </c>
    </row>
    <row r="1122" spans="1:9" x14ac:dyDescent="0.35">
      <c r="A1122" s="376" t="s">
        <v>1605</v>
      </c>
      <c r="B1122" s="376" t="s">
        <v>1609</v>
      </c>
      <c r="C1122" s="376" t="s">
        <v>1054</v>
      </c>
      <c r="D1122" s="376">
        <v>2021</v>
      </c>
      <c r="E1122" s="376">
        <v>2022</v>
      </c>
      <c r="F1122" s="376">
        <v>0.23884589662749595</v>
      </c>
      <c r="G1122" s="376">
        <v>10426.102375692073</v>
      </c>
      <c r="H1122" s="376">
        <v>0</v>
      </c>
      <c r="I1122" s="376">
        <v>1</v>
      </c>
    </row>
    <row r="1123" spans="1:9" x14ac:dyDescent="0.35">
      <c r="A1123" s="376" t="s">
        <v>1605</v>
      </c>
      <c r="B1123" s="376" t="s">
        <v>1609</v>
      </c>
      <c r="C1123" s="376" t="s">
        <v>1046</v>
      </c>
      <c r="D1123" s="376">
        <v>2021</v>
      </c>
      <c r="E1123" s="376">
        <v>2023</v>
      </c>
      <c r="F1123" s="376">
        <v>0.23884589662749595</v>
      </c>
      <c r="G1123" s="376">
        <v>10426.102375692073</v>
      </c>
      <c r="H1123" s="376">
        <v>0</v>
      </c>
      <c r="I1123" s="376">
        <v>1</v>
      </c>
    </row>
    <row r="1124" spans="1:9" x14ac:dyDescent="0.35">
      <c r="A1124" s="376" t="s">
        <v>1605</v>
      </c>
      <c r="B1124" s="376" t="s">
        <v>1609</v>
      </c>
      <c r="C1124" s="376" t="s">
        <v>644</v>
      </c>
      <c r="D1124" s="376">
        <v>2021</v>
      </c>
      <c r="E1124" s="376">
        <v>2023</v>
      </c>
      <c r="F1124" s="376">
        <v>0.23884589662749595</v>
      </c>
      <c r="G1124" s="376">
        <v>10426.102375692073</v>
      </c>
      <c r="H1124" s="376">
        <v>0</v>
      </c>
      <c r="I1124" s="376">
        <v>1</v>
      </c>
    </row>
    <row r="1125" spans="1:9" x14ac:dyDescent="0.35">
      <c r="A1125" s="376" t="s">
        <v>1605</v>
      </c>
      <c r="B1125" s="376" t="s">
        <v>1609</v>
      </c>
      <c r="C1125" s="376" t="s">
        <v>628</v>
      </c>
      <c r="D1125" s="376">
        <v>2021</v>
      </c>
      <c r="E1125" s="376">
        <v>2023</v>
      </c>
      <c r="F1125" s="376">
        <v>0.23884589662749595</v>
      </c>
      <c r="G1125" s="376">
        <v>10426.102375692073</v>
      </c>
      <c r="H1125" s="376">
        <v>0</v>
      </c>
      <c r="I1125" s="376">
        <v>1</v>
      </c>
    </row>
    <row r="1126" spans="1:9" x14ac:dyDescent="0.35">
      <c r="A1126" s="376" t="s">
        <v>1605</v>
      </c>
      <c r="B1126" s="376" t="s">
        <v>1609</v>
      </c>
      <c r="C1126" s="376" t="s">
        <v>1051</v>
      </c>
      <c r="D1126" s="376">
        <v>2021</v>
      </c>
      <c r="E1126" s="376">
        <v>2023</v>
      </c>
      <c r="F1126" s="376">
        <v>0.23884589662749595</v>
      </c>
      <c r="G1126" s="376">
        <v>10426.102375692073</v>
      </c>
      <c r="H1126" s="376">
        <v>0</v>
      </c>
      <c r="I1126" s="376">
        <v>1</v>
      </c>
    </row>
    <row r="1127" spans="1:9" x14ac:dyDescent="0.35">
      <c r="A1127" s="376" t="s">
        <v>1605</v>
      </c>
      <c r="B1127" s="376" t="s">
        <v>1609</v>
      </c>
      <c r="C1127" s="376" t="s">
        <v>1054</v>
      </c>
      <c r="D1127" s="376">
        <v>2021</v>
      </c>
      <c r="E1127" s="376">
        <v>2023</v>
      </c>
      <c r="F1127" s="376">
        <v>0.23884589662749595</v>
      </c>
      <c r="G1127" s="376">
        <v>10426.102375692073</v>
      </c>
      <c r="H1127" s="376">
        <v>0</v>
      </c>
      <c r="I1127" s="376">
        <v>1</v>
      </c>
    </row>
    <row r="1128" spans="1:9" x14ac:dyDescent="0.35">
      <c r="A1128" s="376" t="s">
        <v>1605</v>
      </c>
      <c r="B1128" s="376" t="s">
        <v>1609</v>
      </c>
      <c r="C1128" s="376" t="s">
        <v>1046</v>
      </c>
      <c r="D1128" s="376">
        <v>2021</v>
      </c>
      <c r="E1128" s="376">
        <v>2024</v>
      </c>
      <c r="F1128" s="376">
        <v>0.23884589662749595</v>
      </c>
      <c r="G1128" s="376">
        <v>10426.102375692073</v>
      </c>
      <c r="H1128" s="376">
        <v>0</v>
      </c>
      <c r="I1128" s="376">
        <v>1</v>
      </c>
    </row>
    <row r="1129" spans="1:9" x14ac:dyDescent="0.35">
      <c r="A1129" s="376" t="s">
        <v>1605</v>
      </c>
      <c r="B1129" s="376" t="s">
        <v>1609</v>
      </c>
      <c r="C1129" s="376" t="s">
        <v>644</v>
      </c>
      <c r="D1129" s="376">
        <v>2021</v>
      </c>
      <c r="E1129" s="376">
        <v>2024</v>
      </c>
      <c r="F1129" s="376">
        <v>0.23884589662749595</v>
      </c>
      <c r="G1129" s="376">
        <v>10426.102375692073</v>
      </c>
      <c r="H1129" s="376">
        <v>0</v>
      </c>
      <c r="I1129" s="376">
        <v>1</v>
      </c>
    </row>
    <row r="1130" spans="1:9" x14ac:dyDescent="0.35">
      <c r="A1130" s="376" t="s">
        <v>1605</v>
      </c>
      <c r="B1130" s="376" t="s">
        <v>1609</v>
      </c>
      <c r="C1130" s="376" t="s">
        <v>628</v>
      </c>
      <c r="D1130" s="376">
        <v>2021</v>
      </c>
      <c r="E1130" s="376">
        <v>2024</v>
      </c>
      <c r="F1130" s="376">
        <v>0.23884589662749595</v>
      </c>
      <c r="G1130" s="376">
        <v>10426.102375692073</v>
      </c>
      <c r="H1130" s="376">
        <v>0</v>
      </c>
      <c r="I1130" s="376">
        <v>1</v>
      </c>
    </row>
    <row r="1131" spans="1:9" x14ac:dyDescent="0.35">
      <c r="A1131" s="376" t="s">
        <v>1605</v>
      </c>
      <c r="B1131" s="376" t="s">
        <v>1609</v>
      </c>
      <c r="C1131" s="376" t="s">
        <v>1051</v>
      </c>
      <c r="D1131" s="376">
        <v>2021</v>
      </c>
      <c r="E1131" s="376">
        <v>2024</v>
      </c>
      <c r="F1131" s="376">
        <v>0.23884589662749595</v>
      </c>
      <c r="G1131" s="376">
        <v>10426.102375692073</v>
      </c>
      <c r="H1131" s="376">
        <v>0</v>
      </c>
      <c r="I1131" s="376">
        <v>1</v>
      </c>
    </row>
    <row r="1132" spans="1:9" x14ac:dyDescent="0.35">
      <c r="A1132" s="376" t="s">
        <v>1605</v>
      </c>
      <c r="B1132" s="376" t="s">
        <v>1609</v>
      </c>
      <c r="C1132" s="376" t="s">
        <v>1054</v>
      </c>
      <c r="D1132" s="376">
        <v>2021</v>
      </c>
      <c r="E1132" s="376">
        <v>2024</v>
      </c>
      <c r="F1132" s="376">
        <v>0.23884589662749595</v>
      </c>
      <c r="G1132" s="376">
        <v>10426.102375692073</v>
      </c>
      <c r="H1132" s="376">
        <v>0</v>
      </c>
      <c r="I1132" s="376">
        <v>1</v>
      </c>
    </row>
    <row r="1133" spans="1:9" x14ac:dyDescent="0.35">
      <c r="A1133" s="376" t="s">
        <v>1605</v>
      </c>
      <c r="B1133" s="376" t="s">
        <v>1609</v>
      </c>
      <c r="C1133" s="376" t="s">
        <v>1046</v>
      </c>
      <c r="D1133" s="376">
        <v>2021</v>
      </c>
      <c r="E1133" s="376">
        <v>2025</v>
      </c>
      <c r="F1133" s="376">
        <v>0.23884589662749595</v>
      </c>
      <c r="G1133" s="376">
        <v>10426.102375692073</v>
      </c>
      <c r="H1133" s="376">
        <v>0</v>
      </c>
      <c r="I1133" s="376">
        <v>1</v>
      </c>
    </row>
    <row r="1134" spans="1:9" x14ac:dyDescent="0.35">
      <c r="A1134" s="376" t="s">
        <v>1605</v>
      </c>
      <c r="B1134" s="376" t="s">
        <v>1609</v>
      </c>
      <c r="C1134" s="376" t="s">
        <v>644</v>
      </c>
      <c r="D1134" s="376">
        <v>2021</v>
      </c>
      <c r="E1134" s="376">
        <v>2025</v>
      </c>
      <c r="F1134" s="376">
        <v>0.23884589662749595</v>
      </c>
      <c r="G1134" s="376">
        <v>10426.102375692073</v>
      </c>
      <c r="H1134" s="376">
        <v>0</v>
      </c>
      <c r="I1134" s="376">
        <v>1</v>
      </c>
    </row>
    <row r="1135" spans="1:9" x14ac:dyDescent="0.35">
      <c r="A1135" s="376" t="s">
        <v>1605</v>
      </c>
      <c r="B1135" s="376" t="s">
        <v>1609</v>
      </c>
      <c r="C1135" s="376" t="s">
        <v>628</v>
      </c>
      <c r="D1135" s="376">
        <v>2021</v>
      </c>
      <c r="E1135" s="376">
        <v>2025</v>
      </c>
      <c r="F1135" s="376">
        <v>0.23884589662749595</v>
      </c>
      <c r="G1135" s="376">
        <v>10426.102375692073</v>
      </c>
      <c r="H1135" s="376">
        <v>0</v>
      </c>
      <c r="I1135" s="376">
        <v>1</v>
      </c>
    </row>
    <row r="1136" spans="1:9" x14ac:dyDescent="0.35">
      <c r="A1136" s="376" t="s">
        <v>1605</v>
      </c>
      <c r="B1136" s="376" t="s">
        <v>1609</v>
      </c>
      <c r="C1136" s="376" t="s">
        <v>1051</v>
      </c>
      <c r="D1136" s="376">
        <v>2021</v>
      </c>
      <c r="E1136" s="376">
        <v>2025</v>
      </c>
      <c r="F1136" s="376">
        <v>0.23884589662749595</v>
      </c>
      <c r="G1136" s="376">
        <v>10426.102375692073</v>
      </c>
      <c r="H1136" s="376">
        <v>0</v>
      </c>
      <c r="I1136" s="376">
        <v>1</v>
      </c>
    </row>
    <row r="1137" spans="1:9" x14ac:dyDescent="0.35">
      <c r="A1137" s="376" t="s">
        <v>1605</v>
      </c>
      <c r="B1137" s="376" t="s">
        <v>1609</v>
      </c>
      <c r="C1137" s="376" t="s">
        <v>1054</v>
      </c>
      <c r="D1137" s="376">
        <v>2021</v>
      </c>
      <c r="E1137" s="376">
        <v>2025</v>
      </c>
      <c r="F1137" s="376">
        <v>0.23884589662749595</v>
      </c>
      <c r="G1137" s="376">
        <v>10426.102375692073</v>
      </c>
      <c r="H1137" s="376">
        <v>0</v>
      </c>
      <c r="I1137" s="376">
        <v>1</v>
      </c>
    </row>
    <row r="1138" spans="1:9" x14ac:dyDescent="0.35">
      <c r="A1138" s="376" t="s">
        <v>1605</v>
      </c>
      <c r="B1138" s="376" t="s">
        <v>1609</v>
      </c>
      <c r="C1138" s="376" t="s">
        <v>1046</v>
      </c>
      <c r="D1138" s="376">
        <v>2021</v>
      </c>
      <c r="E1138" s="376">
        <v>2026</v>
      </c>
      <c r="F1138" s="376">
        <v>0.23884589662749595</v>
      </c>
      <c r="G1138" s="376">
        <v>10426.102375692073</v>
      </c>
      <c r="H1138" s="376">
        <v>0</v>
      </c>
      <c r="I1138" s="376">
        <v>1</v>
      </c>
    </row>
    <row r="1139" spans="1:9" x14ac:dyDescent="0.35">
      <c r="A1139" s="376" t="s">
        <v>1605</v>
      </c>
      <c r="B1139" s="376" t="s">
        <v>1609</v>
      </c>
      <c r="C1139" s="376" t="s">
        <v>644</v>
      </c>
      <c r="D1139" s="376">
        <v>2021</v>
      </c>
      <c r="E1139" s="376">
        <v>2026</v>
      </c>
      <c r="F1139" s="376">
        <v>0.23884589662749595</v>
      </c>
      <c r="G1139" s="376">
        <v>10426.102375692073</v>
      </c>
      <c r="H1139" s="376">
        <v>0</v>
      </c>
      <c r="I1139" s="376">
        <v>1</v>
      </c>
    </row>
    <row r="1140" spans="1:9" x14ac:dyDescent="0.35">
      <c r="A1140" s="376" t="s">
        <v>1605</v>
      </c>
      <c r="B1140" s="376" t="s">
        <v>1609</v>
      </c>
      <c r="C1140" s="376" t="s">
        <v>628</v>
      </c>
      <c r="D1140" s="376">
        <v>2021</v>
      </c>
      <c r="E1140" s="376">
        <v>2026</v>
      </c>
      <c r="F1140" s="376">
        <v>0.23884589662749595</v>
      </c>
      <c r="G1140" s="376">
        <v>10426.102375692073</v>
      </c>
      <c r="H1140" s="376">
        <v>0</v>
      </c>
      <c r="I1140" s="376">
        <v>1</v>
      </c>
    </row>
    <row r="1141" spans="1:9" x14ac:dyDescent="0.35">
      <c r="A1141" s="376" t="s">
        <v>1605</v>
      </c>
      <c r="B1141" s="376" t="s">
        <v>1609</v>
      </c>
      <c r="C1141" s="376" t="s">
        <v>1051</v>
      </c>
      <c r="D1141" s="376">
        <v>2021</v>
      </c>
      <c r="E1141" s="376">
        <v>2026</v>
      </c>
      <c r="F1141" s="376">
        <v>0.23884589662749595</v>
      </c>
      <c r="G1141" s="376">
        <v>10426.102375692073</v>
      </c>
      <c r="H1141" s="376">
        <v>0</v>
      </c>
      <c r="I1141" s="376">
        <v>1</v>
      </c>
    </row>
    <row r="1142" spans="1:9" x14ac:dyDescent="0.35">
      <c r="A1142" s="376" t="s">
        <v>1605</v>
      </c>
      <c r="B1142" s="376" t="s">
        <v>1609</v>
      </c>
      <c r="C1142" s="376" t="s">
        <v>1054</v>
      </c>
      <c r="D1142" s="376">
        <v>2021</v>
      </c>
      <c r="E1142" s="376">
        <v>2026</v>
      </c>
      <c r="F1142" s="376">
        <v>0.23884589662749595</v>
      </c>
      <c r="G1142" s="376">
        <v>10426.102375692073</v>
      </c>
      <c r="H1142" s="376">
        <v>0</v>
      </c>
      <c r="I1142" s="376">
        <v>1</v>
      </c>
    </row>
    <row r="1143" spans="1:9" x14ac:dyDescent="0.35">
      <c r="A1143" s="376" t="s">
        <v>1605</v>
      </c>
      <c r="B1143" s="376" t="s">
        <v>1609</v>
      </c>
      <c r="C1143" s="376" t="s">
        <v>1046</v>
      </c>
      <c r="D1143" s="376">
        <v>2021</v>
      </c>
      <c r="E1143" s="376">
        <v>2027</v>
      </c>
      <c r="F1143" s="376">
        <v>0.23884589662749595</v>
      </c>
      <c r="G1143" s="376">
        <v>10426.102375692073</v>
      </c>
      <c r="H1143" s="376">
        <v>0</v>
      </c>
      <c r="I1143" s="376">
        <v>1</v>
      </c>
    </row>
    <row r="1144" spans="1:9" x14ac:dyDescent="0.35">
      <c r="A1144" s="376" t="s">
        <v>1605</v>
      </c>
      <c r="B1144" s="376" t="s">
        <v>1609</v>
      </c>
      <c r="C1144" s="376" t="s">
        <v>644</v>
      </c>
      <c r="D1144" s="376">
        <v>2021</v>
      </c>
      <c r="E1144" s="376">
        <v>2027</v>
      </c>
      <c r="F1144" s="376">
        <v>0.23884589662749595</v>
      </c>
      <c r="G1144" s="376">
        <v>10426.102375692073</v>
      </c>
      <c r="H1144" s="376">
        <v>0</v>
      </c>
      <c r="I1144" s="376">
        <v>1</v>
      </c>
    </row>
    <row r="1145" spans="1:9" x14ac:dyDescent="0.35">
      <c r="A1145" s="376" t="s">
        <v>1605</v>
      </c>
      <c r="B1145" s="376" t="s">
        <v>1609</v>
      </c>
      <c r="C1145" s="376" t="s">
        <v>628</v>
      </c>
      <c r="D1145" s="376">
        <v>2021</v>
      </c>
      <c r="E1145" s="376">
        <v>2027</v>
      </c>
      <c r="F1145" s="376">
        <v>0.23884589662749595</v>
      </c>
      <c r="G1145" s="376">
        <v>10426.102375692073</v>
      </c>
      <c r="H1145" s="376">
        <v>0</v>
      </c>
      <c r="I1145" s="376">
        <v>1</v>
      </c>
    </row>
    <row r="1146" spans="1:9" x14ac:dyDescent="0.35">
      <c r="A1146" s="376" t="s">
        <v>1605</v>
      </c>
      <c r="B1146" s="376" t="s">
        <v>1609</v>
      </c>
      <c r="C1146" s="376" t="s">
        <v>1051</v>
      </c>
      <c r="D1146" s="376">
        <v>2021</v>
      </c>
      <c r="E1146" s="376">
        <v>2027</v>
      </c>
      <c r="F1146" s="376">
        <v>0.23884589662749595</v>
      </c>
      <c r="G1146" s="376">
        <v>10426.102375692073</v>
      </c>
      <c r="H1146" s="376">
        <v>0</v>
      </c>
      <c r="I1146" s="376">
        <v>1</v>
      </c>
    </row>
    <row r="1147" spans="1:9" x14ac:dyDescent="0.35">
      <c r="A1147" s="376" t="s">
        <v>1605</v>
      </c>
      <c r="B1147" s="376" t="s">
        <v>1609</v>
      </c>
      <c r="C1147" s="376" t="s">
        <v>1054</v>
      </c>
      <c r="D1147" s="376">
        <v>2021</v>
      </c>
      <c r="E1147" s="376">
        <v>2027</v>
      </c>
      <c r="F1147" s="376">
        <v>0.23884589662749595</v>
      </c>
      <c r="G1147" s="376">
        <v>10426.102375692073</v>
      </c>
      <c r="H1147" s="376">
        <v>0</v>
      </c>
      <c r="I1147" s="376">
        <v>1</v>
      </c>
    </row>
    <row r="1148" spans="1:9" x14ac:dyDescent="0.35">
      <c r="A1148" s="376" t="s">
        <v>1605</v>
      </c>
      <c r="B1148" s="376" t="s">
        <v>1609</v>
      </c>
      <c r="C1148" s="376" t="s">
        <v>1046</v>
      </c>
      <c r="D1148" s="376">
        <v>2021</v>
      </c>
      <c r="E1148" s="376">
        <v>2028</v>
      </c>
      <c r="F1148" s="376">
        <v>0.23884589662749595</v>
      </c>
      <c r="G1148" s="376">
        <v>10426.102375692073</v>
      </c>
      <c r="H1148" s="376">
        <v>0</v>
      </c>
      <c r="I1148" s="376">
        <v>1</v>
      </c>
    </row>
    <row r="1149" spans="1:9" x14ac:dyDescent="0.35">
      <c r="A1149" s="376" t="s">
        <v>1605</v>
      </c>
      <c r="B1149" s="376" t="s">
        <v>1609</v>
      </c>
      <c r="C1149" s="376" t="s">
        <v>644</v>
      </c>
      <c r="D1149" s="376">
        <v>2021</v>
      </c>
      <c r="E1149" s="376">
        <v>2028</v>
      </c>
      <c r="F1149" s="376">
        <v>0.23884589662749595</v>
      </c>
      <c r="G1149" s="376">
        <v>10426.102375692073</v>
      </c>
      <c r="H1149" s="376">
        <v>0</v>
      </c>
      <c r="I1149" s="376">
        <v>1</v>
      </c>
    </row>
    <row r="1150" spans="1:9" x14ac:dyDescent="0.35">
      <c r="A1150" s="376" t="s">
        <v>1605</v>
      </c>
      <c r="B1150" s="376" t="s">
        <v>1609</v>
      </c>
      <c r="C1150" s="376" t="s">
        <v>628</v>
      </c>
      <c r="D1150" s="376">
        <v>2021</v>
      </c>
      <c r="E1150" s="376">
        <v>2028</v>
      </c>
      <c r="F1150" s="376">
        <v>0.23884589662749595</v>
      </c>
      <c r="G1150" s="376">
        <v>10426.102375692073</v>
      </c>
      <c r="H1150" s="376">
        <v>0</v>
      </c>
      <c r="I1150" s="376">
        <v>1</v>
      </c>
    </row>
    <row r="1151" spans="1:9" x14ac:dyDescent="0.35">
      <c r="A1151" s="376" t="s">
        <v>1605</v>
      </c>
      <c r="B1151" s="376" t="s">
        <v>1609</v>
      </c>
      <c r="C1151" s="376" t="s">
        <v>1051</v>
      </c>
      <c r="D1151" s="376">
        <v>2021</v>
      </c>
      <c r="E1151" s="376">
        <v>2028</v>
      </c>
      <c r="F1151" s="376">
        <v>0.23884589662749595</v>
      </c>
      <c r="G1151" s="376">
        <v>10426.102375692073</v>
      </c>
      <c r="H1151" s="376">
        <v>0</v>
      </c>
      <c r="I1151" s="376">
        <v>1</v>
      </c>
    </row>
    <row r="1152" spans="1:9" x14ac:dyDescent="0.35">
      <c r="A1152" s="376" t="s">
        <v>1605</v>
      </c>
      <c r="B1152" s="376" t="s">
        <v>1609</v>
      </c>
      <c r="C1152" s="376" t="s">
        <v>1054</v>
      </c>
      <c r="D1152" s="376">
        <v>2021</v>
      </c>
      <c r="E1152" s="376">
        <v>2028</v>
      </c>
      <c r="F1152" s="376">
        <v>0.23884589662749595</v>
      </c>
      <c r="G1152" s="376">
        <v>10426.102375692073</v>
      </c>
      <c r="H1152" s="376">
        <v>0</v>
      </c>
      <c r="I1152" s="376">
        <v>1</v>
      </c>
    </row>
    <row r="1153" spans="1:9" x14ac:dyDescent="0.35">
      <c r="A1153" s="376" t="s">
        <v>1605</v>
      </c>
      <c r="B1153" s="376" t="s">
        <v>1609</v>
      </c>
      <c r="C1153" s="376" t="s">
        <v>1046</v>
      </c>
      <c r="D1153" s="376">
        <v>2021</v>
      </c>
      <c r="E1153" s="376">
        <v>2029</v>
      </c>
      <c r="F1153" s="376">
        <v>0.23884589662749595</v>
      </c>
      <c r="G1153" s="376">
        <v>10426.102375692073</v>
      </c>
      <c r="H1153" s="376">
        <v>0</v>
      </c>
      <c r="I1153" s="376">
        <v>1</v>
      </c>
    </row>
    <row r="1154" spans="1:9" x14ac:dyDescent="0.35">
      <c r="A1154" s="376" t="s">
        <v>1605</v>
      </c>
      <c r="B1154" s="376" t="s">
        <v>1609</v>
      </c>
      <c r="C1154" s="376" t="s">
        <v>644</v>
      </c>
      <c r="D1154" s="376">
        <v>2021</v>
      </c>
      <c r="E1154" s="376">
        <v>2029</v>
      </c>
      <c r="F1154" s="376">
        <v>0.23884589662749595</v>
      </c>
      <c r="G1154" s="376">
        <v>10426.102375692073</v>
      </c>
      <c r="H1154" s="376">
        <v>0</v>
      </c>
      <c r="I1154" s="376">
        <v>1</v>
      </c>
    </row>
    <row r="1155" spans="1:9" x14ac:dyDescent="0.35">
      <c r="A1155" s="376" t="s">
        <v>1605</v>
      </c>
      <c r="B1155" s="376" t="s">
        <v>1609</v>
      </c>
      <c r="C1155" s="376" t="s">
        <v>628</v>
      </c>
      <c r="D1155" s="376">
        <v>2021</v>
      </c>
      <c r="E1155" s="376">
        <v>2029</v>
      </c>
      <c r="F1155" s="376">
        <v>0.23884589662749595</v>
      </c>
      <c r="G1155" s="376">
        <v>10426.102375692073</v>
      </c>
      <c r="H1155" s="376">
        <v>0</v>
      </c>
      <c r="I1155" s="376">
        <v>1</v>
      </c>
    </row>
    <row r="1156" spans="1:9" x14ac:dyDescent="0.35">
      <c r="A1156" s="376" t="s">
        <v>1605</v>
      </c>
      <c r="B1156" s="376" t="s">
        <v>1609</v>
      </c>
      <c r="C1156" s="376" t="s">
        <v>1051</v>
      </c>
      <c r="D1156" s="376">
        <v>2021</v>
      </c>
      <c r="E1156" s="376">
        <v>2029</v>
      </c>
      <c r="F1156" s="376">
        <v>0.23884589662749595</v>
      </c>
      <c r="G1156" s="376">
        <v>10426.102375692073</v>
      </c>
      <c r="H1156" s="376">
        <v>0</v>
      </c>
      <c r="I1156" s="376">
        <v>1</v>
      </c>
    </row>
    <row r="1157" spans="1:9" x14ac:dyDescent="0.35">
      <c r="A1157" s="376" t="s">
        <v>1605</v>
      </c>
      <c r="B1157" s="376" t="s">
        <v>1609</v>
      </c>
      <c r="C1157" s="376" t="s">
        <v>1054</v>
      </c>
      <c r="D1157" s="376">
        <v>2021</v>
      </c>
      <c r="E1157" s="376">
        <v>2029</v>
      </c>
      <c r="F1157" s="376">
        <v>0.23884589662749595</v>
      </c>
      <c r="G1157" s="376">
        <v>10426.102375692073</v>
      </c>
      <c r="H1157" s="376">
        <v>0</v>
      </c>
      <c r="I1157" s="376">
        <v>1</v>
      </c>
    </row>
    <row r="1158" spans="1:9" x14ac:dyDescent="0.35">
      <c r="A1158" s="376" t="s">
        <v>1605</v>
      </c>
      <c r="B1158" s="376" t="s">
        <v>1609</v>
      </c>
      <c r="C1158" s="376" t="s">
        <v>1046</v>
      </c>
      <c r="D1158" s="376">
        <v>2021</v>
      </c>
      <c r="E1158" s="376">
        <v>2030</v>
      </c>
      <c r="F1158" s="376">
        <v>0.23884589662749595</v>
      </c>
      <c r="G1158" s="376">
        <v>10426.102375692073</v>
      </c>
      <c r="H1158" s="376">
        <v>0</v>
      </c>
      <c r="I1158" s="376">
        <v>1</v>
      </c>
    </row>
    <row r="1159" spans="1:9" x14ac:dyDescent="0.35">
      <c r="A1159" s="376" t="s">
        <v>1605</v>
      </c>
      <c r="B1159" s="376" t="s">
        <v>1609</v>
      </c>
      <c r="C1159" s="376" t="s">
        <v>644</v>
      </c>
      <c r="D1159" s="376">
        <v>2021</v>
      </c>
      <c r="E1159" s="376">
        <v>2030</v>
      </c>
      <c r="F1159" s="376">
        <v>0.23884589662749595</v>
      </c>
      <c r="G1159" s="376">
        <v>10426.102375692073</v>
      </c>
      <c r="H1159" s="376">
        <v>0</v>
      </c>
      <c r="I1159" s="376">
        <v>1</v>
      </c>
    </row>
    <row r="1160" spans="1:9" x14ac:dyDescent="0.35">
      <c r="A1160" s="376" t="s">
        <v>1605</v>
      </c>
      <c r="B1160" s="376" t="s">
        <v>1609</v>
      </c>
      <c r="C1160" s="376" t="s">
        <v>628</v>
      </c>
      <c r="D1160" s="376">
        <v>2021</v>
      </c>
      <c r="E1160" s="376">
        <v>2030</v>
      </c>
      <c r="F1160" s="376">
        <v>0.23884589662749595</v>
      </c>
      <c r="G1160" s="376">
        <v>10426.102375692073</v>
      </c>
      <c r="H1160" s="376">
        <v>0</v>
      </c>
      <c r="I1160" s="376">
        <v>1</v>
      </c>
    </row>
    <row r="1161" spans="1:9" x14ac:dyDescent="0.35">
      <c r="A1161" s="376" t="s">
        <v>1605</v>
      </c>
      <c r="B1161" s="376" t="s">
        <v>1609</v>
      </c>
      <c r="C1161" s="376" t="s">
        <v>1051</v>
      </c>
      <c r="D1161" s="376">
        <v>2021</v>
      </c>
      <c r="E1161" s="376">
        <v>2030</v>
      </c>
      <c r="F1161" s="376">
        <v>0.23884589662749595</v>
      </c>
      <c r="G1161" s="376">
        <v>10426.102375692073</v>
      </c>
      <c r="H1161" s="376">
        <v>0</v>
      </c>
      <c r="I1161" s="376">
        <v>1</v>
      </c>
    </row>
    <row r="1162" spans="1:9" x14ac:dyDescent="0.35">
      <c r="A1162" s="376" t="s">
        <v>1605</v>
      </c>
      <c r="B1162" s="376" t="s">
        <v>1609</v>
      </c>
      <c r="C1162" s="376" t="s">
        <v>1054</v>
      </c>
      <c r="D1162" s="376">
        <v>2021</v>
      </c>
      <c r="E1162" s="376">
        <v>2030</v>
      </c>
      <c r="F1162" s="376">
        <v>0.23884589662749595</v>
      </c>
      <c r="G1162" s="376">
        <v>10426.102375692073</v>
      </c>
      <c r="H1162" s="376">
        <v>0</v>
      </c>
      <c r="I1162" s="376">
        <v>1</v>
      </c>
    </row>
    <row r="1163" spans="1:9" x14ac:dyDescent="0.35">
      <c r="A1163" s="376" t="s">
        <v>1605</v>
      </c>
      <c r="B1163" s="376" t="s">
        <v>1609</v>
      </c>
      <c r="C1163" s="376" t="s">
        <v>1046</v>
      </c>
      <c r="D1163" s="376">
        <v>2021</v>
      </c>
      <c r="E1163" s="376">
        <v>2031</v>
      </c>
      <c r="F1163" s="376">
        <v>0.23884589662749595</v>
      </c>
      <c r="G1163" s="376">
        <v>10426.102375692073</v>
      </c>
      <c r="H1163" s="376">
        <v>0</v>
      </c>
      <c r="I1163" s="376">
        <v>1</v>
      </c>
    </row>
    <row r="1164" spans="1:9" x14ac:dyDescent="0.35">
      <c r="A1164" s="376" t="s">
        <v>1605</v>
      </c>
      <c r="B1164" s="376" t="s">
        <v>1609</v>
      </c>
      <c r="C1164" s="376" t="s">
        <v>644</v>
      </c>
      <c r="D1164" s="376">
        <v>2021</v>
      </c>
      <c r="E1164" s="376">
        <v>2031</v>
      </c>
      <c r="F1164" s="376">
        <v>0.23884589662749595</v>
      </c>
      <c r="G1164" s="376">
        <v>10426.102375692073</v>
      </c>
      <c r="H1164" s="376">
        <v>0</v>
      </c>
      <c r="I1164" s="376">
        <v>1</v>
      </c>
    </row>
    <row r="1165" spans="1:9" x14ac:dyDescent="0.35">
      <c r="A1165" s="376" t="s">
        <v>1605</v>
      </c>
      <c r="B1165" s="376" t="s">
        <v>1609</v>
      </c>
      <c r="C1165" s="376" t="s">
        <v>628</v>
      </c>
      <c r="D1165" s="376">
        <v>2021</v>
      </c>
      <c r="E1165" s="376">
        <v>2031</v>
      </c>
      <c r="F1165" s="376">
        <v>0.23884589662749595</v>
      </c>
      <c r="G1165" s="376">
        <v>10426.102375692073</v>
      </c>
      <c r="H1165" s="376">
        <v>0</v>
      </c>
      <c r="I1165" s="376">
        <v>1</v>
      </c>
    </row>
    <row r="1166" spans="1:9" x14ac:dyDescent="0.35">
      <c r="A1166" s="376" t="s">
        <v>1605</v>
      </c>
      <c r="B1166" s="376" t="s">
        <v>1609</v>
      </c>
      <c r="C1166" s="376" t="s">
        <v>1051</v>
      </c>
      <c r="D1166" s="376">
        <v>2021</v>
      </c>
      <c r="E1166" s="376">
        <v>2031</v>
      </c>
      <c r="F1166" s="376">
        <v>0.23884589662749595</v>
      </c>
      <c r="G1166" s="376">
        <v>10426.102375692073</v>
      </c>
      <c r="H1166" s="376">
        <v>0</v>
      </c>
      <c r="I1166" s="376">
        <v>1</v>
      </c>
    </row>
    <row r="1167" spans="1:9" x14ac:dyDescent="0.35">
      <c r="A1167" s="376" t="s">
        <v>1605</v>
      </c>
      <c r="B1167" s="376" t="s">
        <v>1609</v>
      </c>
      <c r="C1167" s="376" t="s">
        <v>1054</v>
      </c>
      <c r="D1167" s="376">
        <v>2021</v>
      </c>
      <c r="E1167" s="376">
        <v>2031</v>
      </c>
      <c r="F1167" s="376">
        <v>0.23884589662749595</v>
      </c>
      <c r="G1167" s="376">
        <v>10426.102375692073</v>
      </c>
      <c r="H1167" s="376">
        <v>0</v>
      </c>
      <c r="I1167" s="376">
        <v>1</v>
      </c>
    </row>
    <row r="1168" spans="1:9" x14ac:dyDescent="0.35">
      <c r="A1168" s="376" t="s">
        <v>1636</v>
      </c>
      <c r="B1168" s="376" t="s">
        <v>1609</v>
      </c>
      <c r="C1168" s="376" t="s">
        <v>1046</v>
      </c>
      <c r="D1168" s="376">
        <v>2021</v>
      </c>
      <c r="E1168" s="376">
        <v>2021</v>
      </c>
      <c r="F1168" s="376">
        <v>1</v>
      </c>
      <c r="G1168" s="376">
        <v>3817.0476478643659</v>
      </c>
      <c r="H1168" s="376">
        <v>0</v>
      </c>
      <c r="I1168" s="376">
        <v>1</v>
      </c>
    </row>
    <row r="1169" spans="1:9" x14ac:dyDescent="0.35">
      <c r="A1169" s="376" t="s">
        <v>1636</v>
      </c>
      <c r="B1169" s="376" t="s">
        <v>1609</v>
      </c>
      <c r="C1169" s="376" t="s">
        <v>644</v>
      </c>
      <c r="D1169" s="376">
        <v>2021</v>
      </c>
      <c r="E1169" s="376">
        <v>2021</v>
      </c>
      <c r="F1169" s="376">
        <v>1</v>
      </c>
      <c r="G1169" s="376">
        <v>3817.0476478643659</v>
      </c>
      <c r="H1169" s="376">
        <v>0</v>
      </c>
      <c r="I1169" s="376">
        <v>1</v>
      </c>
    </row>
    <row r="1170" spans="1:9" x14ac:dyDescent="0.35">
      <c r="A1170" s="376" t="s">
        <v>1636</v>
      </c>
      <c r="B1170" s="376" t="s">
        <v>1609</v>
      </c>
      <c r="C1170" s="376" t="s">
        <v>628</v>
      </c>
      <c r="D1170" s="376">
        <v>2021</v>
      </c>
      <c r="E1170" s="376">
        <v>2021</v>
      </c>
      <c r="F1170" s="376">
        <v>1</v>
      </c>
      <c r="G1170" s="376">
        <v>3817.0476478643659</v>
      </c>
      <c r="H1170" s="376">
        <v>0</v>
      </c>
      <c r="I1170" s="376">
        <v>1</v>
      </c>
    </row>
    <row r="1171" spans="1:9" x14ac:dyDescent="0.35">
      <c r="A1171" s="376" t="s">
        <v>1636</v>
      </c>
      <c r="B1171" s="376" t="s">
        <v>1609</v>
      </c>
      <c r="C1171" s="376" t="s">
        <v>1051</v>
      </c>
      <c r="D1171" s="376">
        <v>2021</v>
      </c>
      <c r="E1171" s="376">
        <v>2021</v>
      </c>
      <c r="F1171" s="376">
        <v>1</v>
      </c>
      <c r="G1171" s="376">
        <v>3817.0476478643659</v>
      </c>
      <c r="H1171" s="376">
        <v>0</v>
      </c>
      <c r="I1171" s="376">
        <v>1</v>
      </c>
    </row>
    <row r="1172" spans="1:9" x14ac:dyDescent="0.35">
      <c r="A1172" s="376" t="s">
        <v>1636</v>
      </c>
      <c r="B1172" s="376" t="s">
        <v>1609</v>
      </c>
      <c r="C1172" s="376" t="s">
        <v>1054</v>
      </c>
      <c r="D1172" s="376">
        <v>2021</v>
      </c>
      <c r="E1172" s="376">
        <v>2021</v>
      </c>
      <c r="F1172" s="376">
        <v>1</v>
      </c>
      <c r="G1172" s="376">
        <v>3817.0476478643659</v>
      </c>
      <c r="H1172" s="376">
        <v>0</v>
      </c>
      <c r="I1172" s="376">
        <v>1</v>
      </c>
    </row>
    <row r="1173" spans="1:9" x14ac:dyDescent="0.35">
      <c r="A1173" s="376" t="s">
        <v>1636</v>
      </c>
      <c r="B1173" s="376" t="s">
        <v>1609</v>
      </c>
      <c r="C1173" s="376" t="s">
        <v>1046</v>
      </c>
      <c r="D1173" s="376">
        <v>2021</v>
      </c>
      <c r="E1173" s="376">
        <v>2022</v>
      </c>
      <c r="F1173" s="376">
        <v>1</v>
      </c>
      <c r="G1173" s="376">
        <v>3817.0476478643659</v>
      </c>
      <c r="H1173" s="376">
        <v>0</v>
      </c>
      <c r="I1173" s="376">
        <v>1</v>
      </c>
    </row>
    <row r="1174" spans="1:9" x14ac:dyDescent="0.35">
      <c r="A1174" s="376" t="s">
        <v>1636</v>
      </c>
      <c r="B1174" s="376" t="s">
        <v>1609</v>
      </c>
      <c r="C1174" s="376" t="s">
        <v>644</v>
      </c>
      <c r="D1174" s="376">
        <v>2021</v>
      </c>
      <c r="E1174" s="376">
        <v>2022</v>
      </c>
      <c r="F1174" s="376">
        <v>1</v>
      </c>
      <c r="G1174" s="376">
        <v>3817.0476478643659</v>
      </c>
      <c r="H1174" s="376">
        <v>0</v>
      </c>
      <c r="I1174" s="376">
        <v>1</v>
      </c>
    </row>
    <row r="1175" spans="1:9" x14ac:dyDescent="0.35">
      <c r="A1175" s="376" t="s">
        <v>1636</v>
      </c>
      <c r="B1175" s="376" t="s">
        <v>1609</v>
      </c>
      <c r="C1175" s="376" t="s">
        <v>628</v>
      </c>
      <c r="D1175" s="376">
        <v>2021</v>
      </c>
      <c r="E1175" s="376">
        <v>2022</v>
      </c>
      <c r="F1175" s="376">
        <v>1</v>
      </c>
      <c r="G1175" s="376">
        <v>3817.0476478643659</v>
      </c>
      <c r="H1175" s="376">
        <v>0</v>
      </c>
      <c r="I1175" s="376">
        <v>1</v>
      </c>
    </row>
    <row r="1176" spans="1:9" x14ac:dyDescent="0.35">
      <c r="A1176" s="376" t="s">
        <v>1636</v>
      </c>
      <c r="B1176" s="376" t="s">
        <v>1609</v>
      </c>
      <c r="C1176" s="376" t="s">
        <v>1051</v>
      </c>
      <c r="D1176" s="376">
        <v>2021</v>
      </c>
      <c r="E1176" s="376">
        <v>2022</v>
      </c>
      <c r="F1176" s="376">
        <v>1</v>
      </c>
      <c r="G1176" s="376">
        <v>3817.0476478643659</v>
      </c>
      <c r="H1176" s="376">
        <v>0</v>
      </c>
      <c r="I1176" s="376">
        <v>1</v>
      </c>
    </row>
    <row r="1177" spans="1:9" x14ac:dyDescent="0.35">
      <c r="A1177" s="376" t="s">
        <v>1636</v>
      </c>
      <c r="B1177" s="376" t="s">
        <v>1609</v>
      </c>
      <c r="C1177" s="376" t="s">
        <v>1054</v>
      </c>
      <c r="D1177" s="376">
        <v>2021</v>
      </c>
      <c r="E1177" s="376">
        <v>2022</v>
      </c>
      <c r="F1177" s="376">
        <v>1</v>
      </c>
      <c r="G1177" s="376">
        <v>3817.0476478643659</v>
      </c>
      <c r="H1177" s="376">
        <v>0</v>
      </c>
      <c r="I1177" s="376">
        <v>1</v>
      </c>
    </row>
    <row r="1178" spans="1:9" x14ac:dyDescent="0.35">
      <c r="A1178" s="376" t="s">
        <v>1636</v>
      </c>
      <c r="B1178" s="376" t="s">
        <v>1609</v>
      </c>
      <c r="C1178" s="376" t="s">
        <v>1046</v>
      </c>
      <c r="D1178" s="376">
        <v>2021</v>
      </c>
      <c r="E1178" s="376">
        <v>2023</v>
      </c>
      <c r="F1178" s="376">
        <v>1</v>
      </c>
      <c r="G1178" s="376">
        <v>3817.0476478643659</v>
      </c>
      <c r="H1178" s="376">
        <v>0</v>
      </c>
      <c r="I1178" s="376">
        <v>1</v>
      </c>
    </row>
    <row r="1179" spans="1:9" x14ac:dyDescent="0.35">
      <c r="A1179" s="376" t="s">
        <v>1636</v>
      </c>
      <c r="B1179" s="376" t="s">
        <v>1609</v>
      </c>
      <c r="C1179" s="376" t="s">
        <v>644</v>
      </c>
      <c r="D1179" s="376">
        <v>2021</v>
      </c>
      <c r="E1179" s="376">
        <v>2023</v>
      </c>
      <c r="F1179" s="376">
        <v>1</v>
      </c>
      <c r="G1179" s="376">
        <v>3817.0476478643659</v>
      </c>
      <c r="H1179" s="376">
        <v>0</v>
      </c>
      <c r="I1179" s="376">
        <v>1</v>
      </c>
    </row>
    <row r="1180" spans="1:9" x14ac:dyDescent="0.35">
      <c r="A1180" s="376" t="s">
        <v>1636</v>
      </c>
      <c r="B1180" s="376" t="s">
        <v>1609</v>
      </c>
      <c r="C1180" s="376" t="s">
        <v>628</v>
      </c>
      <c r="D1180" s="376">
        <v>2021</v>
      </c>
      <c r="E1180" s="376">
        <v>2023</v>
      </c>
      <c r="F1180" s="376">
        <v>1</v>
      </c>
      <c r="G1180" s="376">
        <v>3817.0476478643659</v>
      </c>
      <c r="H1180" s="376">
        <v>0</v>
      </c>
      <c r="I1180" s="376">
        <v>1</v>
      </c>
    </row>
    <row r="1181" spans="1:9" x14ac:dyDescent="0.35">
      <c r="A1181" s="376" t="s">
        <v>1636</v>
      </c>
      <c r="B1181" s="376" t="s">
        <v>1609</v>
      </c>
      <c r="C1181" s="376" t="s">
        <v>1051</v>
      </c>
      <c r="D1181" s="376">
        <v>2021</v>
      </c>
      <c r="E1181" s="376">
        <v>2023</v>
      </c>
      <c r="F1181" s="376">
        <v>1</v>
      </c>
      <c r="G1181" s="376">
        <v>3817.0476478643659</v>
      </c>
      <c r="H1181" s="376">
        <v>0</v>
      </c>
      <c r="I1181" s="376">
        <v>1</v>
      </c>
    </row>
    <row r="1182" spans="1:9" x14ac:dyDescent="0.35">
      <c r="A1182" s="376" t="s">
        <v>1636</v>
      </c>
      <c r="B1182" s="376" t="s">
        <v>1609</v>
      </c>
      <c r="C1182" s="376" t="s">
        <v>1054</v>
      </c>
      <c r="D1182" s="376">
        <v>2021</v>
      </c>
      <c r="E1182" s="376">
        <v>2023</v>
      </c>
      <c r="F1182" s="376">
        <v>1</v>
      </c>
      <c r="G1182" s="376">
        <v>3817.0476478643659</v>
      </c>
      <c r="H1182" s="376">
        <v>0</v>
      </c>
      <c r="I1182" s="376">
        <v>1</v>
      </c>
    </row>
    <row r="1183" spans="1:9" x14ac:dyDescent="0.35">
      <c r="A1183" s="376" t="s">
        <v>1636</v>
      </c>
      <c r="B1183" s="376" t="s">
        <v>1609</v>
      </c>
      <c r="C1183" s="376" t="s">
        <v>1046</v>
      </c>
      <c r="D1183" s="376">
        <v>2021</v>
      </c>
      <c r="E1183" s="376">
        <v>2024</v>
      </c>
      <c r="F1183" s="376">
        <v>1</v>
      </c>
      <c r="G1183" s="376">
        <v>3817.0476478643659</v>
      </c>
      <c r="H1183" s="376">
        <v>0</v>
      </c>
      <c r="I1183" s="376">
        <v>1</v>
      </c>
    </row>
    <row r="1184" spans="1:9" x14ac:dyDescent="0.35">
      <c r="A1184" s="376" t="s">
        <v>1636</v>
      </c>
      <c r="B1184" s="376" t="s">
        <v>1609</v>
      </c>
      <c r="C1184" s="376" t="s">
        <v>644</v>
      </c>
      <c r="D1184" s="376">
        <v>2021</v>
      </c>
      <c r="E1184" s="376">
        <v>2024</v>
      </c>
      <c r="F1184" s="376">
        <v>1</v>
      </c>
      <c r="G1184" s="376">
        <v>3817.0476478643659</v>
      </c>
      <c r="H1184" s="376">
        <v>0</v>
      </c>
      <c r="I1184" s="376">
        <v>1</v>
      </c>
    </row>
    <row r="1185" spans="1:9" x14ac:dyDescent="0.35">
      <c r="A1185" s="376" t="s">
        <v>1636</v>
      </c>
      <c r="B1185" s="376" t="s">
        <v>1609</v>
      </c>
      <c r="C1185" s="376" t="s">
        <v>628</v>
      </c>
      <c r="D1185" s="376">
        <v>2021</v>
      </c>
      <c r="E1185" s="376">
        <v>2024</v>
      </c>
      <c r="F1185" s="376">
        <v>1</v>
      </c>
      <c r="G1185" s="376">
        <v>3817.0476478643659</v>
      </c>
      <c r="H1185" s="376">
        <v>0</v>
      </c>
      <c r="I1185" s="376">
        <v>1</v>
      </c>
    </row>
    <row r="1186" spans="1:9" x14ac:dyDescent="0.35">
      <c r="A1186" s="376" t="s">
        <v>1636</v>
      </c>
      <c r="B1186" s="376" t="s">
        <v>1609</v>
      </c>
      <c r="C1186" s="376" t="s">
        <v>1051</v>
      </c>
      <c r="D1186" s="376">
        <v>2021</v>
      </c>
      <c r="E1186" s="376">
        <v>2024</v>
      </c>
      <c r="F1186" s="376">
        <v>1</v>
      </c>
      <c r="G1186" s="376">
        <v>3817.0476478643659</v>
      </c>
      <c r="H1186" s="376">
        <v>0</v>
      </c>
      <c r="I1186" s="376">
        <v>1</v>
      </c>
    </row>
    <row r="1187" spans="1:9" x14ac:dyDescent="0.35">
      <c r="A1187" s="376" t="s">
        <v>1636</v>
      </c>
      <c r="B1187" s="376" t="s">
        <v>1609</v>
      </c>
      <c r="C1187" s="376" t="s">
        <v>1054</v>
      </c>
      <c r="D1187" s="376">
        <v>2021</v>
      </c>
      <c r="E1187" s="376">
        <v>2024</v>
      </c>
      <c r="F1187" s="376">
        <v>1</v>
      </c>
      <c r="G1187" s="376">
        <v>3817.0476478643659</v>
      </c>
      <c r="H1187" s="376">
        <v>0</v>
      </c>
      <c r="I1187" s="376">
        <v>1</v>
      </c>
    </row>
    <row r="1188" spans="1:9" x14ac:dyDescent="0.35">
      <c r="A1188" s="376" t="s">
        <v>1636</v>
      </c>
      <c r="B1188" s="376" t="s">
        <v>1609</v>
      </c>
      <c r="C1188" s="376" t="s">
        <v>1046</v>
      </c>
      <c r="D1188" s="376">
        <v>2021</v>
      </c>
      <c r="E1188" s="376">
        <v>2025</v>
      </c>
      <c r="F1188" s="376">
        <v>1</v>
      </c>
      <c r="G1188" s="376">
        <v>3817.0476478643659</v>
      </c>
      <c r="H1188" s="376">
        <v>0</v>
      </c>
      <c r="I1188" s="376">
        <v>1</v>
      </c>
    </row>
    <row r="1189" spans="1:9" x14ac:dyDescent="0.35">
      <c r="A1189" s="376" t="s">
        <v>1636</v>
      </c>
      <c r="B1189" s="376" t="s">
        <v>1609</v>
      </c>
      <c r="C1189" s="376" t="s">
        <v>644</v>
      </c>
      <c r="D1189" s="376">
        <v>2021</v>
      </c>
      <c r="E1189" s="376">
        <v>2025</v>
      </c>
      <c r="F1189" s="376">
        <v>1</v>
      </c>
      <c r="G1189" s="376">
        <v>3817.0476478643659</v>
      </c>
      <c r="H1189" s="376">
        <v>0</v>
      </c>
      <c r="I1189" s="376">
        <v>1</v>
      </c>
    </row>
    <row r="1190" spans="1:9" x14ac:dyDescent="0.35">
      <c r="A1190" s="376" t="s">
        <v>1636</v>
      </c>
      <c r="B1190" s="376" t="s">
        <v>1609</v>
      </c>
      <c r="C1190" s="376" t="s">
        <v>628</v>
      </c>
      <c r="D1190" s="376">
        <v>2021</v>
      </c>
      <c r="E1190" s="376">
        <v>2025</v>
      </c>
      <c r="F1190" s="376">
        <v>1</v>
      </c>
      <c r="G1190" s="376">
        <v>3817.0476478643659</v>
      </c>
      <c r="H1190" s="376">
        <v>0</v>
      </c>
      <c r="I1190" s="376">
        <v>1</v>
      </c>
    </row>
    <row r="1191" spans="1:9" x14ac:dyDescent="0.35">
      <c r="A1191" s="376" t="s">
        <v>1636</v>
      </c>
      <c r="B1191" s="376" t="s">
        <v>1609</v>
      </c>
      <c r="C1191" s="376" t="s">
        <v>1051</v>
      </c>
      <c r="D1191" s="376">
        <v>2021</v>
      </c>
      <c r="E1191" s="376">
        <v>2025</v>
      </c>
      <c r="F1191" s="376">
        <v>1</v>
      </c>
      <c r="G1191" s="376">
        <v>3817.0476478643659</v>
      </c>
      <c r="H1191" s="376">
        <v>0</v>
      </c>
      <c r="I1191" s="376">
        <v>1</v>
      </c>
    </row>
    <row r="1192" spans="1:9" x14ac:dyDescent="0.35">
      <c r="A1192" s="376" t="s">
        <v>1636</v>
      </c>
      <c r="B1192" s="376" t="s">
        <v>1609</v>
      </c>
      <c r="C1192" s="376" t="s">
        <v>1054</v>
      </c>
      <c r="D1192" s="376">
        <v>2021</v>
      </c>
      <c r="E1192" s="376">
        <v>2025</v>
      </c>
      <c r="F1192" s="376">
        <v>1</v>
      </c>
      <c r="G1192" s="376">
        <v>3817.0476478643659</v>
      </c>
      <c r="H1192" s="376">
        <v>0</v>
      </c>
      <c r="I1192" s="376">
        <v>1</v>
      </c>
    </row>
    <row r="1193" spans="1:9" x14ac:dyDescent="0.35">
      <c r="A1193" s="376" t="s">
        <v>1636</v>
      </c>
      <c r="B1193" s="376" t="s">
        <v>1609</v>
      </c>
      <c r="C1193" s="376" t="s">
        <v>1046</v>
      </c>
      <c r="D1193" s="376">
        <v>2021</v>
      </c>
      <c r="E1193" s="376">
        <v>2026</v>
      </c>
      <c r="F1193" s="376">
        <v>1</v>
      </c>
      <c r="G1193" s="376">
        <v>3817.0476478643659</v>
      </c>
      <c r="H1193" s="376">
        <v>0</v>
      </c>
      <c r="I1193" s="376">
        <v>1</v>
      </c>
    </row>
    <row r="1194" spans="1:9" x14ac:dyDescent="0.35">
      <c r="A1194" s="376" t="s">
        <v>1636</v>
      </c>
      <c r="B1194" s="376" t="s">
        <v>1609</v>
      </c>
      <c r="C1194" s="376" t="s">
        <v>644</v>
      </c>
      <c r="D1194" s="376">
        <v>2021</v>
      </c>
      <c r="E1194" s="376">
        <v>2026</v>
      </c>
      <c r="F1194" s="376">
        <v>1</v>
      </c>
      <c r="G1194" s="376">
        <v>3817.0476478643659</v>
      </c>
      <c r="H1194" s="376">
        <v>0</v>
      </c>
      <c r="I1194" s="376">
        <v>1</v>
      </c>
    </row>
    <row r="1195" spans="1:9" x14ac:dyDescent="0.35">
      <c r="A1195" s="376" t="s">
        <v>1636</v>
      </c>
      <c r="B1195" s="376" t="s">
        <v>1609</v>
      </c>
      <c r="C1195" s="376" t="s">
        <v>628</v>
      </c>
      <c r="D1195" s="376">
        <v>2021</v>
      </c>
      <c r="E1195" s="376">
        <v>2026</v>
      </c>
      <c r="F1195" s="376">
        <v>1</v>
      </c>
      <c r="G1195" s="376">
        <v>3817.0476478643659</v>
      </c>
      <c r="H1195" s="376">
        <v>0</v>
      </c>
      <c r="I1195" s="376">
        <v>1</v>
      </c>
    </row>
    <row r="1196" spans="1:9" x14ac:dyDescent="0.35">
      <c r="A1196" s="376" t="s">
        <v>1636</v>
      </c>
      <c r="B1196" s="376" t="s">
        <v>1609</v>
      </c>
      <c r="C1196" s="376" t="s">
        <v>1051</v>
      </c>
      <c r="D1196" s="376">
        <v>2021</v>
      </c>
      <c r="E1196" s="376">
        <v>2026</v>
      </c>
      <c r="F1196" s="376">
        <v>1</v>
      </c>
      <c r="G1196" s="376">
        <v>3817.0476478643659</v>
      </c>
      <c r="H1196" s="376">
        <v>0</v>
      </c>
      <c r="I1196" s="376">
        <v>1</v>
      </c>
    </row>
    <row r="1197" spans="1:9" x14ac:dyDescent="0.35">
      <c r="A1197" s="376" t="s">
        <v>1636</v>
      </c>
      <c r="B1197" s="376" t="s">
        <v>1609</v>
      </c>
      <c r="C1197" s="376" t="s">
        <v>1054</v>
      </c>
      <c r="D1197" s="376">
        <v>2021</v>
      </c>
      <c r="E1197" s="376">
        <v>2026</v>
      </c>
      <c r="F1197" s="376">
        <v>1</v>
      </c>
      <c r="G1197" s="376">
        <v>3817.0476478643659</v>
      </c>
      <c r="H1197" s="376">
        <v>0</v>
      </c>
      <c r="I1197" s="376">
        <v>1</v>
      </c>
    </row>
    <row r="1198" spans="1:9" x14ac:dyDescent="0.35">
      <c r="A1198" s="376" t="s">
        <v>1636</v>
      </c>
      <c r="B1198" s="376" t="s">
        <v>1609</v>
      </c>
      <c r="C1198" s="376" t="s">
        <v>1046</v>
      </c>
      <c r="D1198" s="376">
        <v>2021</v>
      </c>
      <c r="E1198" s="376">
        <v>2027</v>
      </c>
      <c r="F1198" s="376">
        <v>1</v>
      </c>
      <c r="G1198" s="376">
        <v>3817.0476478643659</v>
      </c>
      <c r="H1198" s="376">
        <v>0</v>
      </c>
      <c r="I1198" s="376">
        <v>1</v>
      </c>
    </row>
    <row r="1199" spans="1:9" x14ac:dyDescent="0.35">
      <c r="A1199" s="376" t="s">
        <v>1636</v>
      </c>
      <c r="B1199" s="376" t="s">
        <v>1609</v>
      </c>
      <c r="C1199" s="376" t="s">
        <v>644</v>
      </c>
      <c r="D1199" s="376">
        <v>2021</v>
      </c>
      <c r="E1199" s="376">
        <v>2027</v>
      </c>
      <c r="F1199" s="376">
        <v>1</v>
      </c>
      <c r="G1199" s="376">
        <v>3817.0476478643659</v>
      </c>
      <c r="H1199" s="376">
        <v>0</v>
      </c>
      <c r="I1199" s="376">
        <v>1</v>
      </c>
    </row>
    <row r="1200" spans="1:9" x14ac:dyDescent="0.35">
      <c r="A1200" s="376" t="s">
        <v>1636</v>
      </c>
      <c r="B1200" s="376" t="s">
        <v>1609</v>
      </c>
      <c r="C1200" s="376" t="s">
        <v>628</v>
      </c>
      <c r="D1200" s="376">
        <v>2021</v>
      </c>
      <c r="E1200" s="376">
        <v>2027</v>
      </c>
      <c r="F1200" s="376">
        <v>1</v>
      </c>
      <c r="G1200" s="376">
        <v>3817.0476478643659</v>
      </c>
      <c r="H1200" s="376">
        <v>0</v>
      </c>
      <c r="I1200" s="376">
        <v>1</v>
      </c>
    </row>
    <row r="1201" spans="1:9" x14ac:dyDescent="0.35">
      <c r="A1201" s="376" t="s">
        <v>1636</v>
      </c>
      <c r="B1201" s="376" t="s">
        <v>1609</v>
      </c>
      <c r="C1201" s="376" t="s">
        <v>1051</v>
      </c>
      <c r="D1201" s="376">
        <v>2021</v>
      </c>
      <c r="E1201" s="376">
        <v>2027</v>
      </c>
      <c r="F1201" s="376">
        <v>1</v>
      </c>
      <c r="G1201" s="376">
        <v>3817.0476478643659</v>
      </c>
      <c r="H1201" s="376">
        <v>0</v>
      </c>
      <c r="I1201" s="376">
        <v>1</v>
      </c>
    </row>
    <row r="1202" spans="1:9" x14ac:dyDescent="0.35">
      <c r="A1202" s="376" t="s">
        <v>1636</v>
      </c>
      <c r="B1202" s="376" t="s">
        <v>1609</v>
      </c>
      <c r="C1202" s="376" t="s">
        <v>1054</v>
      </c>
      <c r="D1202" s="376">
        <v>2021</v>
      </c>
      <c r="E1202" s="376">
        <v>2027</v>
      </c>
      <c r="F1202" s="376">
        <v>1</v>
      </c>
      <c r="G1202" s="376">
        <v>3817.0476478643659</v>
      </c>
      <c r="H1202" s="376">
        <v>0</v>
      </c>
      <c r="I1202" s="376">
        <v>1</v>
      </c>
    </row>
    <row r="1203" spans="1:9" x14ac:dyDescent="0.35">
      <c r="A1203" s="376" t="s">
        <v>1636</v>
      </c>
      <c r="B1203" s="376" t="s">
        <v>1609</v>
      </c>
      <c r="C1203" s="376" t="s">
        <v>1046</v>
      </c>
      <c r="D1203" s="376">
        <v>2021</v>
      </c>
      <c r="E1203" s="376">
        <v>2028</v>
      </c>
      <c r="F1203" s="376">
        <v>1</v>
      </c>
      <c r="G1203" s="376">
        <v>3817.0476478643659</v>
      </c>
      <c r="H1203" s="376">
        <v>0</v>
      </c>
      <c r="I1203" s="376">
        <v>1</v>
      </c>
    </row>
    <row r="1204" spans="1:9" x14ac:dyDescent="0.35">
      <c r="A1204" s="376" t="s">
        <v>1636</v>
      </c>
      <c r="B1204" s="376" t="s">
        <v>1609</v>
      </c>
      <c r="C1204" s="376" t="s">
        <v>644</v>
      </c>
      <c r="D1204" s="376">
        <v>2021</v>
      </c>
      <c r="E1204" s="376">
        <v>2028</v>
      </c>
      <c r="F1204" s="376">
        <v>1</v>
      </c>
      <c r="G1204" s="376">
        <v>3817.0476478643659</v>
      </c>
      <c r="H1204" s="376">
        <v>0</v>
      </c>
      <c r="I1204" s="376">
        <v>1</v>
      </c>
    </row>
    <row r="1205" spans="1:9" x14ac:dyDescent="0.35">
      <c r="A1205" s="376" t="s">
        <v>1636</v>
      </c>
      <c r="B1205" s="376" t="s">
        <v>1609</v>
      </c>
      <c r="C1205" s="376" t="s">
        <v>628</v>
      </c>
      <c r="D1205" s="376">
        <v>2021</v>
      </c>
      <c r="E1205" s="376">
        <v>2028</v>
      </c>
      <c r="F1205" s="376">
        <v>1</v>
      </c>
      <c r="G1205" s="376">
        <v>3817.0476478643659</v>
      </c>
      <c r="H1205" s="376">
        <v>0</v>
      </c>
      <c r="I1205" s="376">
        <v>1</v>
      </c>
    </row>
    <row r="1206" spans="1:9" x14ac:dyDescent="0.35">
      <c r="A1206" s="376" t="s">
        <v>1636</v>
      </c>
      <c r="B1206" s="376" t="s">
        <v>1609</v>
      </c>
      <c r="C1206" s="376" t="s">
        <v>1051</v>
      </c>
      <c r="D1206" s="376">
        <v>2021</v>
      </c>
      <c r="E1206" s="376">
        <v>2028</v>
      </c>
      <c r="F1206" s="376">
        <v>1</v>
      </c>
      <c r="G1206" s="376">
        <v>3817.0476478643659</v>
      </c>
      <c r="H1206" s="376">
        <v>0</v>
      </c>
      <c r="I1206" s="376">
        <v>1</v>
      </c>
    </row>
    <row r="1207" spans="1:9" x14ac:dyDescent="0.35">
      <c r="A1207" s="376" t="s">
        <v>1636</v>
      </c>
      <c r="B1207" s="376" t="s">
        <v>1609</v>
      </c>
      <c r="C1207" s="376" t="s">
        <v>1054</v>
      </c>
      <c r="D1207" s="376">
        <v>2021</v>
      </c>
      <c r="E1207" s="376">
        <v>2028</v>
      </c>
      <c r="F1207" s="376">
        <v>1</v>
      </c>
      <c r="G1207" s="376">
        <v>3817.0476478643659</v>
      </c>
      <c r="H1207" s="376">
        <v>0</v>
      </c>
      <c r="I1207" s="376">
        <v>1</v>
      </c>
    </row>
    <row r="1208" spans="1:9" x14ac:dyDescent="0.35">
      <c r="A1208" s="376" t="s">
        <v>1636</v>
      </c>
      <c r="B1208" s="376" t="s">
        <v>1609</v>
      </c>
      <c r="C1208" s="376" t="s">
        <v>1046</v>
      </c>
      <c r="D1208" s="376">
        <v>2021</v>
      </c>
      <c r="E1208" s="376">
        <v>2029</v>
      </c>
      <c r="F1208" s="376">
        <v>1</v>
      </c>
      <c r="G1208" s="376">
        <v>3817.0476478643659</v>
      </c>
      <c r="H1208" s="376">
        <v>0</v>
      </c>
      <c r="I1208" s="376">
        <v>1</v>
      </c>
    </row>
    <row r="1209" spans="1:9" x14ac:dyDescent="0.35">
      <c r="A1209" s="376" t="s">
        <v>1636</v>
      </c>
      <c r="B1209" s="376" t="s">
        <v>1609</v>
      </c>
      <c r="C1209" s="376" t="s">
        <v>644</v>
      </c>
      <c r="D1209" s="376">
        <v>2021</v>
      </c>
      <c r="E1209" s="376">
        <v>2029</v>
      </c>
      <c r="F1209" s="376">
        <v>1</v>
      </c>
      <c r="G1209" s="376">
        <v>3817.0476478643659</v>
      </c>
      <c r="H1209" s="376">
        <v>0</v>
      </c>
      <c r="I1209" s="376">
        <v>1</v>
      </c>
    </row>
    <row r="1210" spans="1:9" x14ac:dyDescent="0.35">
      <c r="A1210" s="376" t="s">
        <v>1636</v>
      </c>
      <c r="B1210" s="376" t="s">
        <v>1609</v>
      </c>
      <c r="C1210" s="376" t="s">
        <v>628</v>
      </c>
      <c r="D1210" s="376">
        <v>2021</v>
      </c>
      <c r="E1210" s="376">
        <v>2029</v>
      </c>
      <c r="F1210" s="376">
        <v>1</v>
      </c>
      <c r="G1210" s="376">
        <v>3817.0476478643659</v>
      </c>
      <c r="H1210" s="376">
        <v>0</v>
      </c>
      <c r="I1210" s="376">
        <v>1</v>
      </c>
    </row>
    <row r="1211" spans="1:9" x14ac:dyDescent="0.35">
      <c r="A1211" s="376" t="s">
        <v>1636</v>
      </c>
      <c r="B1211" s="376" t="s">
        <v>1609</v>
      </c>
      <c r="C1211" s="376" t="s">
        <v>1051</v>
      </c>
      <c r="D1211" s="376">
        <v>2021</v>
      </c>
      <c r="E1211" s="376">
        <v>2029</v>
      </c>
      <c r="F1211" s="376">
        <v>1</v>
      </c>
      <c r="G1211" s="376">
        <v>3817.0476478643659</v>
      </c>
      <c r="H1211" s="376">
        <v>0</v>
      </c>
      <c r="I1211" s="376">
        <v>1</v>
      </c>
    </row>
    <row r="1212" spans="1:9" x14ac:dyDescent="0.35">
      <c r="A1212" s="376" t="s">
        <v>1636</v>
      </c>
      <c r="B1212" s="376" t="s">
        <v>1609</v>
      </c>
      <c r="C1212" s="376" t="s">
        <v>1054</v>
      </c>
      <c r="D1212" s="376">
        <v>2021</v>
      </c>
      <c r="E1212" s="376">
        <v>2029</v>
      </c>
      <c r="F1212" s="376">
        <v>1</v>
      </c>
      <c r="G1212" s="376">
        <v>3817.0476478643659</v>
      </c>
      <c r="H1212" s="376">
        <v>0</v>
      </c>
      <c r="I1212" s="376">
        <v>1</v>
      </c>
    </row>
    <row r="1213" spans="1:9" x14ac:dyDescent="0.35">
      <c r="A1213" s="376" t="s">
        <v>1636</v>
      </c>
      <c r="B1213" s="376" t="s">
        <v>1609</v>
      </c>
      <c r="C1213" s="376" t="s">
        <v>1046</v>
      </c>
      <c r="D1213" s="376">
        <v>2021</v>
      </c>
      <c r="E1213" s="376">
        <v>2030</v>
      </c>
      <c r="F1213" s="376">
        <v>1</v>
      </c>
      <c r="G1213" s="376">
        <v>3817.0476478643659</v>
      </c>
      <c r="H1213" s="376">
        <v>0</v>
      </c>
      <c r="I1213" s="376">
        <v>1</v>
      </c>
    </row>
    <row r="1214" spans="1:9" x14ac:dyDescent="0.35">
      <c r="A1214" s="376" t="s">
        <v>1636</v>
      </c>
      <c r="B1214" s="376" t="s">
        <v>1609</v>
      </c>
      <c r="C1214" s="376" t="s">
        <v>644</v>
      </c>
      <c r="D1214" s="376">
        <v>2021</v>
      </c>
      <c r="E1214" s="376">
        <v>2030</v>
      </c>
      <c r="F1214" s="376">
        <v>1</v>
      </c>
      <c r="G1214" s="376">
        <v>3817.0476478643659</v>
      </c>
      <c r="H1214" s="376">
        <v>0</v>
      </c>
      <c r="I1214" s="376">
        <v>1</v>
      </c>
    </row>
    <row r="1215" spans="1:9" x14ac:dyDescent="0.35">
      <c r="A1215" s="376" t="s">
        <v>1636</v>
      </c>
      <c r="B1215" s="376" t="s">
        <v>1609</v>
      </c>
      <c r="C1215" s="376" t="s">
        <v>628</v>
      </c>
      <c r="D1215" s="376">
        <v>2021</v>
      </c>
      <c r="E1215" s="376">
        <v>2030</v>
      </c>
      <c r="F1215" s="376">
        <v>1</v>
      </c>
      <c r="G1215" s="376">
        <v>3817.0476478643659</v>
      </c>
      <c r="H1215" s="376">
        <v>0</v>
      </c>
      <c r="I1215" s="376">
        <v>1</v>
      </c>
    </row>
    <row r="1216" spans="1:9" x14ac:dyDescent="0.35">
      <c r="A1216" s="376" t="s">
        <v>1636</v>
      </c>
      <c r="B1216" s="376" t="s">
        <v>1609</v>
      </c>
      <c r="C1216" s="376" t="s">
        <v>1051</v>
      </c>
      <c r="D1216" s="376">
        <v>2021</v>
      </c>
      <c r="E1216" s="376">
        <v>2030</v>
      </c>
      <c r="F1216" s="376">
        <v>1</v>
      </c>
      <c r="G1216" s="376">
        <v>3817.0476478643659</v>
      </c>
      <c r="H1216" s="376">
        <v>0</v>
      </c>
      <c r="I1216" s="376">
        <v>1</v>
      </c>
    </row>
    <row r="1217" spans="1:9" x14ac:dyDescent="0.35">
      <c r="A1217" s="376" t="s">
        <v>1636</v>
      </c>
      <c r="B1217" s="376" t="s">
        <v>1609</v>
      </c>
      <c r="C1217" s="376" t="s">
        <v>1054</v>
      </c>
      <c r="D1217" s="376">
        <v>2021</v>
      </c>
      <c r="E1217" s="376">
        <v>2030</v>
      </c>
      <c r="F1217" s="376">
        <v>1</v>
      </c>
      <c r="G1217" s="376">
        <v>3817.0476478643659</v>
      </c>
      <c r="H1217" s="376">
        <v>0</v>
      </c>
      <c r="I1217" s="376">
        <v>1</v>
      </c>
    </row>
    <row r="1218" spans="1:9" x14ac:dyDescent="0.35">
      <c r="A1218" s="376" t="s">
        <v>1636</v>
      </c>
      <c r="B1218" s="376" t="s">
        <v>1609</v>
      </c>
      <c r="C1218" s="376" t="s">
        <v>1046</v>
      </c>
      <c r="D1218" s="376">
        <v>2021</v>
      </c>
      <c r="E1218" s="376">
        <v>2031</v>
      </c>
      <c r="F1218" s="376">
        <v>1</v>
      </c>
      <c r="G1218" s="376">
        <v>3817.0476478643659</v>
      </c>
      <c r="H1218" s="376">
        <v>0</v>
      </c>
      <c r="I1218" s="376">
        <v>1</v>
      </c>
    </row>
    <row r="1219" spans="1:9" x14ac:dyDescent="0.35">
      <c r="A1219" s="376" t="s">
        <v>1636</v>
      </c>
      <c r="B1219" s="376" t="s">
        <v>1609</v>
      </c>
      <c r="C1219" s="376" t="s">
        <v>644</v>
      </c>
      <c r="D1219" s="376">
        <v>2021</v>
      </c>
      <c r="E1219" s="376">
        <v>2031</v>
      </c>
      <c r="F1219" s="376">
        <v>1</v>
      </c>
      <c r="G1219" s="376">
        <v>3817.0476478643659</v>
      </c>
      <c r="H1219" s="376">
        <v>0</v>
      </c>
      <c r="I1219" s="376">
        <v>1</v>
      </c>
    </row>
    <row r="1220" spans="1:9" x14ac:dyDescent="0.35">
      <c r="A1220" s="376" t="s">
        <v>1636</v>
      </c>
      <c r="B1220" s="376" t="s">
        <v>1609</v>
      </c>
      <c r="C1220" s="376" t="s">
        <v>628</v>
      </c>
      <c r="D1220" s="376">
        <v>2021</v>
      </c>
      <c r="E1220" s="376">
        <v>2031</v>
      </c>
      <c r="F1220" s="376">
        <v>1</v>
      </c>
      <c r="G1220" s="376">
        <v>3817.0476478643659</v>
      </c>
      <c r="H1220" s="376">
        <v>0</v>
      </c>
      <c r="I1220" s="376">
        <v>1</v>
      </c>
    </row>
    <row r="1221" spans="1:9" x14ac:dyDescent="0.35">
      <c r="A1221" s="376" t="s">
        <v>1636</v>
      </c>
      <c r="B1221" s="376" t="s">
        <v>1609</v>
      </c>
      <c r="C1221" s="376" t="s">
        <v>1051</v>
      </c>
      <c r="D1221" s="376">
        <v>2021</v>
      </c>
      <c r="E1221" s="376">
        <v>2031</v>
      </c>
      <c r="F1221" s="376">
        <v>1</v>
      </c>
      <c r="G1221" s="376">
        <v>3817.0476478643659</v>
      </c>
      <c r="H1221" s="376">
        <v>0</v>
      </c>
      <c r="I1221" s="376">
        <v>1</v>
      </c>
    </row>
    <row r="1222" spans="1:9" x14ac:dyDescent="0.35">
      <c r="A1222" s="376" t="s">
        <v>1636</v>
      </c>
      <c r="B1222" s="376" t="s">
        <v>1609</v>
      </c>
      <c r="C1222" s="376" t="s">
        <v>1054</v>
      </c>
      <c r="D1222" s="376">
        <v>2021</v>
      </c>
      <c r="E1222" s="376">
        <v>2031</v>
      </c>
      <c r="F1222" s="376">
        <v>1</v>
      </c>
      <c r="G1222" s="376">
        <v>3817.0476478643659</v>
      </c>
      <c r="H1222" s="376">
        <v>0</v>
      </c>
      <c r="I1222" s="376">
        <v>1</v>
      </c>
    </row>
    <row r="1223" spans="1:9" x14ac:dyDescent="0.35">
      <c r="A1223" s="376" t="s">
        <v>1606</v>
      </c>
      <c r="B1223" s="376" t="s">
        <v>1609</v>
      </c>
      <c r="C1223" s="376" t="s">
        <v>1046</v>
      </c>
      <c r="D1223" s="376">
        <v>2021</v>
      </c>
      <c r="E1223" s="376">
        <v>2021</v>
      </c>
      <c r="F1223" s="376">
        <v>1</v>
      </c>
      <c r="G1223" s="376">
        <v>6176.8188824187309</v>
      </c>
      <c r="H1223" s="376">
        <v>0</v>
      </c>
      <c r="I1223" s="376">
        <v>1</v>
      </c>
    </row>
    <row r="1224" spans="1:9" x14ac:dyDescent="0.35">
      <c r="A1224" s="376" t="s">
        <v>1606</v>
      </c>
      <c r="B1224" s="376" t="s">
        <v>1609</v>
      </c>
      <c r="C1224" s="376" t="s">
        <v>644</v>
      </c>
      <c r="D1224" s="376">
        <v>2021</v>
      </c>
      <c r="E1224" s="376">
        <v>2021</v>
      </c>
      <c r="F1224" s="376">
        <v>1</v>
      </c>
      <c r="G1224" s="376">
        <v>6176.8188824187309</v>
      </c>
      <c r="H1224" s="376">
        <v>0</v>
      </c>
      <c r="I1224" s="376">
        <v>1</v>
      </c>
    </row>
    <row r="1225" spans="1:9" x14ac:dyDescent="0.35">
      <c r="A1225" s="376" t="s">
        <v>1606</v>
      </c>
      <c r="B1225" s="376" t="s">
        <v>1609</v>
      </c>
      <c r="C1225" s="376" t="s">
        <v>628</v>
      </c>
      <c r="D1225" s="376">
        <v>2021</v>
      </c>
      <c r="E1225" s="376">
        <v>2021</v>
      </c>
      <c r="F1225" s="376">
        <v>1</v>
      </c>
      <c r="G1225" s="376">
        <v>6176.8188824187309</v>
      </c>
      <c r="H1225" s="376">
        <v>0</v>
      </c>
      <c r="I1225" s="376">
        <v>1</v>
      </c>
    </row>
    <row r="1226" spans="1:9" x14ac:dyDescent="0.35">
      <c r="A1226" s="376" t="s">
        <v>1606</v>
      </c>
      <c r="B1226" s="376" t="s">
        <v>1609</v>
      </c>
      <c r="C1226" s="376" t="s">
        <v>1051</v>
      </c>
      <c r="D1226" s="376">
        <v>2021</v>
      </c>
      <c r="E1226" s="376">
        <v>2021</v>
      </c>
      <c r="F1226" s="376">
        <v>1</v>
      </c>
      <c r="G1226" s="376">
        <v>6176.8188824187309</v>
      </c>
      <c r="H1226" s="376">
        <v>0</v>
      </c>
      <c r="I1226" s="376">
        <v>1</v>
      </c>
    </row>
    <row r="1227" spans="1:9" x14ac:dyDescent="0.35">
      <c r="A1227" s="376" t="s">
        <v>1606</v>
      </c>
      <c r="B1227" s="376" t="s">
        <v>1609</v>
      </c>
      <c r="C1227" s="376" t="s">
        <v>1054</v>
      </c>
      <c r="D1227" s="376">
        <v>2021</v>
      </c>
      <c r="E1227" s="376">
        <v>2021</v>
      </c>
      <c r="F1227" s="376">
        <v>1</v>
      </c>
      <c r="G1227" s="376">
        <v>6176.8188824187309</v>
      </c>
      <c r="H1227" s="376">
        <v>0</v>
      </c>
      <c r="I1227" s="376">
        <v>1</v>
      </c>
    </row>
    <row r="1228" spans="1:9" x14ac:dyDescent="0.35">
      <c r="A1228" s="376" t="s">
        <v>1606</v>
      </c>
      <c r="B1228" s="376" t="s">
        <v>1609</v>
      </c>
      <c r="C1228" s="376" t="s">
        <v>1046</v>
      </c>
      <c r="D1228" s="376">
        <v>2021</v>
      </c>
      <c r="E1228" s="376">
        <v>2022</v>
      </c>
      <c r="F1228" s="376">
        <v>1</v>
      </c>
      <c r="G1228" s="376">
        <v>6176.8188824187309</v>
      </c>
      <c r="H1228" s="376">
        <v>0</v>
      </c>
      <c r="I1228" s="376">
        <v>1</v>
      </c>
    </row>
    <row r="1229" spans="1:9" x14ac:dyDescent="0.35">
      <c r="A1229" s="376" t="s">
        <v>1606</v>
      </c>
      <c r="B1229" s="376" t="s">
        <v>1609</v>
      </c>
      <c r="C1229" s="376" t="s">
        <v>644</v>
      </c>
      <c r="D1229" s="376">
        <v>2021</v>
      </c>
      <c r="E1229" s="376">
        <v>2022</v>
      </c>
      <c r="F1229" s="376">
        <v>1</v>
      </c>
      <c r="G1229" s="376">
        <v>6176.8188824187309</v>
      </c>
      <c r="H1229" s="376">
        <v>0</v>
      </c>
      <c r="I1229" s="376">
        <v>1</v>
      </c>
    </row>
    <row r="1230" spans="1:9" x14ac:dyDescent="0.35">
      <c r="A1230" s="376" t="s">
        <v>1606</v>
      </c>
      <c r="B1230" s="376" t="s">
        <v>1609</v>
      </c>
      <c r="C1230" s="376" t="s">
        <v>628</v>
      </c>
      <c r="D1230" s="376">
        <v>2021</v>
      </c>
      <c r="E1230" s="376">
        <v>2022</v>
      </c>
      <c r="F1230" s="376">
        <v>1</v>
      </c>
      <c r="G1230" s="376">
        <v>6176.8188824187309</v>
      </c>
      <c r="H1230" s="376">
        <v>0</v>
      </c>
      <c r="I1230" s="376">
        <v>1</v>
      </c>
    </row>
    <row r="1231" spans="1:9" x14ac:dyDescent="0.35">
      <c r="A1231" s="376" t="s">
        <v>1606</v>
      </c>
      <c r="B1231" s="376" t="s">
        <v>1609</v>
      </c>
      <c r="C1231" s="376" t="s">
        <v>1051</v>
      </c>
      <c r="D1231" s="376">
        <v>2021</v>
      </c>
      <c r="E1231" s="376">
        <v>2022</v>
      </c>
      <c r="F1231" s="376">
        <v>1</v>
      </c>
      <c r="G1231" s="376">
        <v>6176.8188824187309</v>
      </c>
      <c r="H1231" s="376">
        <v>0</v>
      </c>
      <c r="I1231" s="376">
        <v>1</v>
      </c>
    </row>
    <row r="1232" spans="1:9" x14ac:dyDescent="0.35">
      <c r="A1232" s="376" t="s">
        <v>1606</v>
      </c>
      <c r="B1232" s="376" t="s">
        <v>1609</v>
      </c>
      <c r="C1232" s="376" t="s">
        <v>1054</v>
      </c>
      <c r="D1232" s="376">
        <v>2021</v>
      </c>
      <c r="E1232" s="376">
        <v>2022</v>
      </c>
      <c r="F1232" s="376">
        <v>1</v>
      </c>
      <c r="G1232" s="376">
        <v>6176.8188824187309</v>
      </c>
      <c r="H1232" s="376">
        <v>0</v>
      </c>
      <c r="I1232" s="376">
        <v>1</v>
      </c>
    </row>
    <row r="1233" spans="1:9" x14ac:dyDescent="0.35">
      <c r="A1233" s="376" t="s">
        <v>1606</v>
      </c>
      <c r="B1233" s="376" t="s">
        <v>1609</v>
      </c>
      <c r="C1233" s="376" t="s">
        <v>1046</v>
      </c>
      <c r="D1233" s="376">
        <v>2021</v>
      </c>
      <c r="E1233" s="376">
        <v>2023</v>
      </c>
      <c r="F1233" s="376">
        <v>1</v>
      </c>
      <c r="G1233" s="376">
        <v>6176.8188824187309</v>
      </c>
      <c r="H1233" s="376">
        <v>0</v>
      </c>
      <c r="I1233" s="376">
        <v>1</v>
      </c>
    </row>
    <row r="1234" spans="1:9" x14ac:dyDescent="0.35">
      <c r="A1234" s="376" t="s">
        <v>1606</v>
      </c>
      <c r="B1234" s="376" t="s">
        <v>1609</v>
      </c>
      <c r="C1234" s="376" t="s">
        <v>644</v>
      </c>
      <c r="D1234" s="376">
        <v>2021</v>
      </c>
      <c r="E1234" s="376">
        <v>2023</v>
      </c>
      <c r="F1234" s="376">
        <v>1</v>
      </c>
      <c r="G1234" s="376">
        <v>6176.8188824187309</v>
      </c>
      <c r="H1234" s="376">
        <v>0</v>
      </c>
      <c r="I1234" s="376">
        <v>1</v>
      </c>
    </row>
    <row r="1235" spans="1:9" x14ac:dyDescent="0.35">
      <c r="A1235" s="376" t="s">
        <v>1606</v>
      </c>
      <c r="B1235" s="376" t="s">
        <v>1609</v>
      </c>
      <c r="C1235" s="376" t="s">
        <v>628</v>
      </c>
      <c r="D1235" s="376">
        <v>2021</v>
      </c>
      <c r="E1235" s="376">
        <v>2023</v>
      </c>
      <c r="F1235" s="376">
        <v>1</v>
      </c>
      <c r="G1235" s="376">
        <v>6176.8188824187309</v>
      </c>
      <c r="H1235" s="376">
        <v>0</v>
      </c>
      <c r="I1235" s="376">
        <v>1</v>
      </c>
    </row>
    <row r="1236" spans="1:9" x14ac:dyDescent="0.35">
      <c r="A1236" s="376" t="s">
        <v>1606</v>
      </c>
      <c r="B1236" s="376" t="s">
        <v>1609</v>
      </c>
      <c r="C1236" s="376" t="s">
        <v>1051</v>
      </c>
      <c r="D1236" s="376">
        <v>2021</v>
      </c>
      <c r="E1236" s="376">
        <v>2023</v>
      </c>
      <c r="F1236" s="376">
        <v>1</v>
      </c>
      <c r="G1236" s="376">
        <v>6176.8188824187309</v>
      </c>
      <c r="H1236" s="376">
        <v>0</v>
      </c>
      <c r="I1236" s="376">
        <v>1</v>
      </c>
    </row>
    <row r="1237" spans="1:9" x14ac:dyDescent="0.35">
      <c r="A1237" s="376" t="s">
        <v>1606</v>
      </c>
      <c r="B1237" s="376" t="s">
        <v>1609</v>
      </c>
      <c r="C1237" s="376" t="s">
        <v>1054</v>
      </c>
      <c r="D1237" s="376">
        <v>2021</v>
      </c>
      <c r="E1237" s="376">
        <v>2023</v>
      </c>
      <c r="F1237" s="376">
        <v>1</v>
      </c>
      <c r="G1237" s="376">
        <v>6176.8188824187309</v>
      </c>
      <c r="H1237" s="376">
        <v>0</v>
      </c>
      <c r="I1237" s="376">
        <v>1</v>
      </c>
    </row>
    <row r="1238" spans="1:9" x14ac:dyDescent="0.35">
      <c r="A1238" s="376" t="s">
        <v>1606</v>
      </c>
      <c r="B1238" s="376" t="s">
        <v>1609</v>
      </c>
      <c r="C1238" s="376" t="s">
        <v>1046</v>
      </c>
      <c r="D1238" s="376">
        <v>2021</v>
      </c>
      <c r="E1238" s="376">
        <v>2024</v>
      </c>
      <c r="F1238" s="376">
        <v>1</v>
      </c>
      <c r="G1238" s="376">
        <v>6176.8188824187309</v>
      </c>
      <c r="H1238" s="376">
        <v>0</v>
      </c>
      <c r="I1238" s="376">
        <v>1</v>
      </c>
    </row>
    <row r="1239" spans="1:9" x14ac:dyDescent="0.35">
      <c r="A1239" s="376" t="s">
        <v>1606</v>
      </c>
      <c r="B1239" s="376" t="s">
        <v>1609</v>
      </c>
      <c r="C1239" s="376" t="s">
        <v>644</v>
      </c>
      <c r="D1239" s="376">
        <v>2021</v>
      </c>
      <c r="E1239" s="376">
        <v>2024</v>
      </c>
      <c r="F1239" s="376">
        <v>1</v>
      </c>
      <c r="G1239" s="376">
        <v>6176.8188824187309</v>
      </c>
      <c r="H1239" s="376">
        <v>0</v>
      </c>
      <c r="I1239" s="376">
        <v>1</v>
      </c>
    </row>
    <row r="1240" spans="1:9" x14ac:dyDescent="0.35">
      <c r="A1240" s="376" t="s">
        <v>1606</v>
      </c>
      <c r="B1240" s="376" t="s">
        <v>1609</v>
      </c>
      <c r="C1240" s="376" t="s">
        <v>628</v>
      </c>
      <c r="D1240" s="376">
        <v>2021</v>
      </c>
      <c r="E1240" s="376">
        <v>2024</v>
      </c>
      <c r="F1240" s="376">
        <v>1</v>
      </c>
      <c r="G1240" s="376">
        <v>6176.8188824187309</v>
      </c>
      <c r="H1240" s="376">
        <v>0</v>
      </c>
      <c r="I1240" s="376">
        <v>1</v>
      </c>
    </row>
    <row r="1241" spans="1:9" x14ac:dyDescent="0.35">
      <c r="A1241" s="376" t="s">
        <v>1606</v>
      </c>
      <c r="B1241" s="376" t="s">
        <v>1609</v>
      </c>
      <c r="C1241" s="376" t="s">
        <v>1051</v>
      </c>
      <c r="D1241" s="376">
        <v>2021</v>
      </c>
      <c r="E1241" s="376">
        <v>2024</v>
      </c>
      <c r="F1241" s="376">
        <v>1</v>
      </c>
      <c r="G1241" s="376">
        <v>6176.8188824187309</v>
      </c>
      <c r="H1241" s="376">
        <v>0</v>
      </c>
      <c r="I1241" s="376">
        <v>1</v>
      </c>
    </row>
    <row r="1242" spans="1:9" x14ac:dyDescent="0.35">
      <c r="A1242" s="376" t="s">
        <v>1606</v>
      </c>
      <c r="B1242" s="376" t="s">
        <v>1609</v>
      </c>
      <c r="C1242" s="376" t="s">
        <v>1054</v>
      </c>
      <c r="D1242" s="376">
        <v>2021</v>
      </c>
      <c r="E1242" s="376">
        <v>2024</v>
      </c>
      <c r="F1242" s="376">
        <v>1</v>
      </c>
      <c r="G1242" s="376">
        <v>6176.8188824187309</v>
      </c>
      <c r="H1242" s="376">
        <v>0</v>
      </c>
      <c r="I1242" s="376">
        <v>1</v>
      </c>
    </row>
    <row r="1243" spans="1:9" x14ac:dyDescent="0.35">
      <c r="A1243" s="376" t="s">
        <v>1606</v>
      </c>
      <c r="B1243" s="376" t="s">
        <v>1609</v>
      </c>
      <c r="C1243" s="376" t="s">
        <v>1046</v>
      </c>
      <c r="D1243" s="376">
        <v>2021</v>
      </c>
      <c r="E1243" s="376">
        <v>2025</v>
      </c>
      <c r="F1243" s="376">
        <v>1</v>
      </c>
      <c r="G1243" s="376">
        <v>6176.8188824187309</v>
      </c>
      <c r="H1243" s="376">
        <v>0</v>
      </c>
      <c r="I1243" s="376">
        <v>1</v>
      </c>
    </row>
    <row r="1244" spans="1:9" x14ac:dyDescent="0.35">
      <c r="A1244" s="376" t="s">
        <v>1606</v>
      </c>
      <c r="B1244" s="376" t="s">
        <v>1609</v>
      </c>
      <c r="C1244" s="376" t="s">
        <v>644</v>
      </c>
      <c r="D1244" s="376">
        <v>2021</v>
      </c>
      <c r="E1244" s="376">
        <v>2025</v>
      </c>
      <c r="F1244" s="376">
        <v>1</v>
      </c>
      <c r="G1244" s="376">
        <v>6176.8188824187309</v>
      </c>
      <c r="H1244" s="376">
        <v>0</v>
      </c>
      <c r="I1244" s="376">
        <v>1</v>
      </c>
    </row>
    <row r="1245" spans="1:9" x14ac:dyDescent="0.35">
      <c r="A1245" s="376" t="s">
        <v>1606</v>
      </c>
      <c r="B1245" s="376" t="s">
        <v>1609</v>
      </c>
      <c r="C1245" s="376" t="s">
        <v>628</v>
      </c>
      <c r="D1245" s="376">
        <v>2021</v>
      </c>
      <c r="E1245" s="376">
        <v>2025</v>
      </c>
      <c r="F1245" s="376">
        <v>1</v>
      </c>
      <c r="G1245" s="376">
        <v>6176.8188824187309</v>
      </c>
      <c r="H1245" s="376">
        <v>0</v>
      </c>
      <c r="I1245" s="376">
        <v>1</v>
      </c>
    </row>
    <row r="1246" spans="1:9" x14ac:dyDescent="0.35">
      <c r="A1246" s="376" t="s">
        <v>1606</v>
      </c>
      <c r="B1246" s="376" t="s">
        <v>1609</v>
      </c>
      <c r="C1246" s="376" t="s">
        <v>1051</v>
      </c>
      <c r="D1246" s="376">
        <v>2021</v>
      </c>
      <c r="E1246" s="376">
        <v>2025</v>
      </c>
      <c r="F1246" s="376">
        <v>1</v>
      </c>
      <c r="G1246" s="376">
        <v>6176.8188824187309</v>
      </c>
      <c r="H1246" s="376">
        <v>0</v>
      </c>
      <c r="I1246" s="376">
        <v>1</v>
      </c>
    </row>
    <row r="1247" spans="1:9" x14ac:dyDescent="0.35">
      <c r="A1247" s="376" t="s">
        <v>1606</v>
      </c>
      <c r="B1247" s="376" t="s">
        <v>1609</v>
      </c>
      <c r="C1247" s="376" t="s">
        <v>1054</v>
      </c>
      <c r="D1247" s="376">
        <v>2021</v>
      </c>
      <c r="E1247" s="376">
        <v>2025</v>
      </c>
      <c r="F1247" s="376">
        <v>1</v>
      </c>
      <c r="G1247" s="376">
        <v>6176.8188824187309</v>
      </c>
      <c r="H1247" s="376">
        <v>0</v>
      </c>
      <c r="I1247" s="376">
        <v>1</v>
      </c>
    </row>
    <row r="1248" spans="1:9" x14ac:dyDescent="0.35">
      <c r="A1248" s="376" t="s">
        <v>1606</v>
      </c>
      <c r="B1248" s="376" t="s">
        <v>1609</v>
      </c>
      <c r="C1248" s="376" t="s">
        <v>1046</v>
      </c>
      <c r="D1248" s="376">
        <v>2021</v>
      </c>
      <c r="E1248" s="376">
        <v>2026</v>
      </c>
      <c r="F1248" s="376">
        <v>1</v>
      </c>
      <c r="G1248" s="376">
        <v>6176.8188824187309</v>
      </c>
      <c r="H1248" s="376">
        <v>0</v>
      </c>
      <c r="I1248" s="376">
        <v>1</v>
      </c>
    </row>
    <row r="1249" spans="1:9" x14ac:dyDescent="0.35">
      <c r="A1249" s="376" t="s">
        <v>1606</v>
      </c>
      <c r="B1249" s="376" t="s">
        <v>1609</v>
      </c>
      <c r="C1249" s="376" t="s">
        <v>644</v>
      </c>
      <c r="D1249" s="376">
        <v>2021</v>
      </c>
      <c r="E1249" s="376">
        <v>2026</v>
      </c>
      <c r="F1249" s="376">
        <v>1</v>
      </c>
      <c r="G1249" s="376">
        <v>6176.8188824187309</v>
      </c>
      <c r="H1249" s="376">
        <v>0</v>
      </c>
      <c r="I1249" s="376">
        <v>1</v>
      </c>
    </row>
    <row r="1250" spans="1:9" x14ac:dyDescent="0.35">
      <c r="A1250" s="376" t="s">
        <v>1606</v>
      </c>
      <c r="B1250" s="376" t="s">
        <v>1609</v>
      </c>
      <c r="C1250" s="376" t="s">
        <v>628</v>
      </c>
      <c r="D1250" s="376">
        <v>2021</v>
      </c>
      <c r="E1250" s="376">
        <v>2026</v>
      </c>
      <c r="F1250" s="376">
        <v>1</v>
      </c>
      <c r="G1250" s="376">
        <v>6176.8188824187309</v>
      </c>
      <c r="H1250" s="376">
        <v>0</v>
      </c>
      <c r="I1250" s="376">
        <v>1</v>
      </c>
    </row>
    <row r="1251" spans="1:9" x14ac:dyDescent="0.35">
      <c r="A1251" s="376" t="s">
        <v>1606</v>
      </c>
      <c r="B1251" s="376" t="s">
        <v>1609</v>
      </c>
      <c r="C1251" s="376" t="s">
        <v>1051</v>
      </c>
      <c r="D1251" s="376">
        <v>2021</v>
      </c>
      <c r="E1251" s="376">
        <v>2026</v>
      </c>
      <c r="F1251" s="376">
        <v>1</v>
      </c>
      <c r="G1251" s="376">
        <v>6176.8188824187309</v>
      </c>
      <c r="H1251" s="376">
        <v>0</v>
      </c>
      <c r="I1251" s="376">
        <v>1</v>
      </c>
    </row>
    <row r="1252" spans="1:9" x14ac:dyDescent="0.35">
      <c r="A1252" s="376" t="s">
        <v>1606</v>
      </c>
      <c r="B1252" s="376" t="s">
        <v>1609</v>
      </c>
      <c r="C1252" s="376" t="s">
        <v>1054</v>
      </c>
      <c r="D1252" s="376">
        <v>2021</v>
      </c>
      <c r="E1252" s="376">
        <v>2026</v>
      </c>
      <c r="F1252" s="376">
        <v>1</v>
      </c>
      <c r="G1252" s="376">
        <v>6176.8188824187309</v>
      </c>
      <c r="H1252" s="376">
        <v>0</v>
      </c>
      <c r="I1252" s="376">
        <v>1</v>
      </c>
    </row>
    <row r="1253" spans="1:9" x14ac:dyDescent="0.35">
      <c r="A1253" s="376" t="s">
        <v>1606</v>
      </c>
      <c r="B1253" s="376" t="s">
        <v>1609</v>
      </c>
      <c r="C1253" s="376" t="s">
        <v>1046</v>
      </c>
      <c r="D1253" s="376">
        <v>2021</v>
      </c>
      <c r="E1253" s="376">
        <v>2027</v>
      </c>
      <c r="F1253" s="376">
        <v>1</v>
      </c>
      <c r="G1253" s="376">
        <v>6176.8188824187309</v>
      </c>
      <c r="H1253" s="376">
        <v>0</v>
      </c>
      <c r="I1253" s="376">
        <v>1</v>
      </c>
    </row>
    <row r="1254" spans="1:9" x14ac:dyDescent="0.35">
      <c r="A1254" s="376" t="s">
        <v>1606</v>
      </c>
      <c r="B1254" s="376" t="s">
        <v>1609</v>
      </c>
      <c r="C1254" s="376" t="s">
        <v>644</v>
      </c>
      <c r="D1254" s="376">
        <v>2021</v>
      </c>
      <c r="E1254" s="376">
        <v>2027</v>
      </c>
      <c r="F1254" s="376">
        <v>1</v>
      </c>
      <c r="G1254" s="376">
        <v>6176.8188824187309</v>
      </c>
      <c r="H1254" s="376">
        <v>0</v>
      </c>
      <c r="I1254" s="376">
        <v>1</v>
      </c>
    </row>
    <row r="1255" spans="1:9" x14ac:dyDescent="0.35">
      <c r="A1255" s="376" t="s">
        <v>1606</v>
      </c>
      <c r="B1255" s="376" t="s">
        <v>1609</v>
      </c>
      <c r="C1255" s="376" t="s">
        <v>628</v>
      </c>
      <c r="D1255" s="376">
        <v>2021</v>
      </c>
      <c r="E1255" s="376">
        <v>2027</v>
      </c>
      <c r="F1255" s="376">
        <v>1</v>
      </c>
      <c r="G1255" s="376">
        <v>6176.8188824187309</v>
      </c>
      <c r="H1255" s="376">
        <v>0</v>
      </c>
      <c r="I1255" s="376">
        <v>1</v>
      </c>
    </row>
    <row r="1256" spans="1:9" x14ac:dyDescent="0.35">
      <c r="A1256" s="376" t="s">
        <v>1606</v>
      </c>
      <c r="B1256" s="376" t="s">
        <v>1609</v>
      </c>
      <c r="C1256" s="376" t="s">
        <v>1051</v>
      </c>
      <c r="D1256" s="376">
        <v>2021</v>
      </c>
      <c r="E1256" s="376">
        <v>2027</v>
      </c>
      <c r="F1256" s="376">
        <v>1</v>
      </c>
      <c r="G1256" s="376">
        <v>6176.8188824187309</v>
      </c>
      <c r="H1256" s="376">
        <v>0</v>
      </c>
      <c r="I1256" s="376">
        <v>1</v>
      </c>
    </row>
    <row r="1257" spans="1:9" x14ac:dyDescent="0.35">
      <c r="A1257" s="376" t="s">
        <v>1606</v>
      </c>
      <c r="B1257" s="376" t="s">
        <v>1609</v>
      </c>
      <c r="C1257" s="376" t="s">
        <v>1054</v>
      </c>
      <c r="D1257" s="376">
        <v>2021</v>
      </c>
      <c r="E1257" s="376">
        <v>2027</v>
      </c>
      <c r="F1257" s="376">
        <v>1</v>
      </c>
      <c r="G1257" s="376">
        <v>6176.8188824187309</v>
      </c>
      <c r="H1257" s="376">
        <v>0</v>
      </c>
      <c r="I1257" s="376">
        <v>1</v>
      </c>
    </row>
    <row r="1258" spans="1:9" x14ac:dyDescent="0.35">
      <c r="A1258" s="376" t="s">
        <v>1606</v>
      </c>
      <c r="B1258" s="376" t="s">
        <v>1609</v>
      </c>
      <c r="C1258" s="376" t="s">
        <v>1046</v>
      </c>
      <c r="D1258" s="376">
        <v>2021</v>
      </c>
      <c r="E1258" s="376">
        <v>2028</v>
      </c>
      <c r="F1258" s="376">
        <v>1</v>
      </c>
      <c r="G1258" s="376">
        <v>6176.8188824187309</v>
      </c>
      <c r="H1258" s="376">
        <v>0</v>
      </c>
      <c r="I1258" s="376">
        <v>1</v>
      </c>
    </row>
    <row r="1259" spans="1:9" x14ac:dyDescent="0.35">
      <c r="A1259" s="376" t="s">
        <v>1606</v>
      </c>
      <c r="B1259" s="376" t="s">
        <v>1609</v>
      </c>
      <c r="C1259" s="376" t="s">
        <v>644</v>
      </c>
      <c r="D1259" s="376">
        <v>2021</v>
      </c>
      <c r="E1259" s="376">
        <v>2028</v>
      </c>
      <c r="F1259" s="376">
        <v>1</v>
      </c>
      <c r="G1259" s="376">
        <v>6176.8188824187309</v>
      </c>
      <c r="H1259" s="376">
        <v>0</v>
      </c>
      <c r="I1259" s="376">
        <v>1</v>
      </c>
    </row>
    <row r="1260" spans="1:9" x14ac:dyDescent="0.35">
      <c r="A1260" s="376" t="s">
        <v>1606</v>
      </c>
      <c r="B1260" s="376" t="s">
        <v>1609</v>
      </c>
      <c r="C1260" s="376" t="s">
        <v>628</v>
      </c>
      <c r="D1260" s="376">
        <v>2021</v>
      </c>
      <c r="E1260" s="376">
        <v>2028</v>
      </c>
      <c r="F1260" s="376">
        <v>1</v>
      </c>
      <c r="G1260" s="376">
        <v>6176.8188824187309</v>
      </c>
      <c r="H1260" s="376">
        <v>0</v>
      </c>
      <c r="I1260" s="376">
        <v>1</v>
      </c>
    </row>
    <row r="1261" spans="1:9" x14ac:dyDescent="0.35">
      <c r="A1261" s="376" t="s">
        <v>1606</v>
      </c>
      <c r="B1261" s="376" t="s">
        <v>1609</v>
      </c>
      <c r="C1261" s="376" t="s">
        <v>1051</v>
      </c>
      <c r="D1261" s="376">
        <v>2021</v>
      </c>
      <c r="E1261" s="376">
        <v>2028</v>
      </c>
      <c r="F1261" s="376">
        <v>1</v>
      </c>
      <c r="G1261" s="376">
        <v>6176.8188824187309</v>
      </c>
      <c r="H1261" s="376">
        <v>0</v>
      </c>
      <c r="I1261" s="376">
        <v>1</v>
      </c>
    </row>
    <row r="1262" spans="1:9" x14ac:dyDescent="0.35">
      <c r="A1262" s="376" t="s">
        <v>1606</v>
      </c>
      <c r="B1262" s="376" t="s">
        <v>1609</v>
      </c>
      <c r="C1262" s="376" t="s">
        <v>1054</v>
      </c>
      <c r="D1262" s="376">
        <v>2021</v>
      </c>
      <c r="E1262" s="376">
        <v>2028</v>
      </c>
      <c r="F1262" s="376">
        <v>1</v>
      </c>
      <c r="G1262" s="376">
        <v>6176.8188824187309</v>
      </c>
      <c r="H1262" s="376">
        <v>0</v>
      </c>
      <c r="I1262" s="376">
        <v>1</v>
      </c>
    </row>
    <row r="1263" spans="1:9" x14ac:dyDescent="0.35">
      <c r="A1263" s="376" t="s">
        <v>1606</v>
      </c>
      <c r="B1263" s="376" t="s">
        <v>1609</v>
      </c>
      <c r="C1263" s="376" t="s">
        <v>1046</v>
      </c>
      <c r="D1263" s="376">
        <v>2021</v>
      </c>
      <c r="E1263" s="376">
        <v>2029</v>
      </c>
      <c r="F1263" s="376">
        <v>1</v>
      </c>
      <c r="G1263" s="376">
        <v>6176.8188824187309</v>
      </c>
      <c r="H1263" s="376">
        <v>0</v>
      </c>
      <c r="I1263" s="376">
        <v>1</v>
      </c>
    </row>
    <row r="1264" spans="1:9" x14ac:dyDescent="0.35">
      <c r="A1264" s="376" t="s">
        <v>1606</v>
      </c>
      <c r="B1264" s="376" t="s">
        <v>1609</v>
      </c>
      <c r="C1264" s="376" t="s">
        <v>644</v>
      </c>
      <c r="D1264" s="376">
        <v>2021</v>
      </c>
      <c r="E1264" s="376">
        <v>2029</v>
      </c>
      <c r="F1264" s="376">
        <v>1</v>
      </c>
      <c r="G1264" s="376">
        <v>6176.8188824187309</v>
      </c>
      <c r="H1264" s="376">
        <v>0</v>
      </c>
      <c r="I1264" s="376">
        <v>1</v>
      </c>
    </row>
    <row r="1265" spans="1:9" x14ac:dyDescent="0.35">
      <c r="A1265" s="376" t="s">
        <v>1606</v>
      </c>
      <c r="B1265" s="376" t="s">
        <v>1609</v>
      </c>
      <c r="C1265" s="376" t="s">
        <v>628</v>
      </c>
      <c r="D1265" s="376">
        <v>2021</v>
      </c>
      <c r="E1265" s="376">
        <v>2029</v>
      </c>
      <c r="F1265" s="376">
        <v>1</v>
      </c>
      <c r="G1265" s="376">
        <v>6176.8188824187309</v>
      </c>
      <c r="H1265" s="376">
        <v>0</v>
      </c>
      <c r="I1265" s="376">
        <v>1</v>
      </c>
    </row>
    <row r="1266" spans="1:9" x14ac:dyDescent="0.35">
      <c r="A1266" s="376" t="s">
        <v>1606</v>
      </c>
      <c r="B1266" s="376" t="s">
        <v>1609</v>
      </c>
      <c r="C1266" s="376" t="s">
        <v>1051</v>
      </c>
      <c r="D1266" s="376">
        <v>2021</v>
      </c>
      <c r="E1266" s="376">
        <v>2029</v>
      </c>
      <c r="F1266" s="376">
        <v>1</v>
      </c>
      <c r="G1266" s="376">
        <v>6176.8188824187309</v>
      </c>
      <c r="H1266" s="376">
        <v>0</v>
      </c>
      <c r="I1266" s="376">
        <v>1</v>
      </c>
    </row>
    <row r="1267" spans="1:9" x14ac:dyDescent="0.35">
      <c r="A1267" s="376" t="s">
        <v>1606</v>
      </c>
      <c r="B1267" s="376" t="s">
        <v>1609</v>
      </c>
      <c r="C1267" s="376" t="s">
        <v>1054</v>
      </c>
      <c r="D1267" s="376">
        <v>2021</v>
      </c>
      <c r="E1267" s="376">
        <v>2029</v>
      </c>
      <c r="F1267" s="376">
        <v>1</v>
      </c>
      <c r="G1267" s="376">
        <v>6176.8188824187309</v>
      </c>
      <c r="H1267" s="376">
        <v>0</v>
      </c>
      <c r="I1267" s="376">
        <v>1</v>
      </c>
    </row>
    <row r="1268" spans="1:9" x14ac:dyDescent="0.35">
      <c r="A1268" s="376" t="s">
        <v>1606</v>
      </c>
      <c r="B1268" s="376" t="s">
        <v>1609</v>
      </c>
      <c r="C1268" s="376" t="s">
        <v>1046</v>
      </c>
      <c r="D1268" s="376">
        <v>2021</v>
      </c>
      <c r="E1268" s="376">
        <v>2030</v>
      </c>
      <c r="F1268" s="376">
        <v>1</v>
      </c>
      <c r="G1268" s="376">
        <v>6176.8188824187309</v>
      </c>
      <c r="H1268" s="376">
        <v>0</v>
      </c>
      <c r="I1268" s="376">
        <v>1</v>
      </c>
    </row>
    <row r="1269" spans="1:9" x14ac:dyDescent="0.35">
      <c r="A1269" s="376" t="s">
        <v>1606</v>
      </c>
      <c r="B1269" s="376" t="s">
        <v>1609</v>
      </c>
      <c r="C1269" s="376" t="s">
        <v>644</v>
      </c>
      <c r="D1269" s="376">
        <v>2021</v>
      </c>
      <c r="E1269" s="376">
        <v>2030</v>
      </c>
      <c r="F1269" s="376">
        <v>1</v>
      </c>
      <c r="G1269" s="376">
        <v>6176.8188824187309</v>
      </c>
      <c r="H1269" s="376">
        <v>0</v>
      </c>
      <c r="I1269" s="376">
        <v>1</v>
      </c>
    </row>
    <row r="1270" spans="1:9" x14ac:dyDescent="0.35">
      <c r="A1270" s="376" t="s">
        <v>1606</v>
      </c>
      <c r="B1270" s="376" t="s">
        <v>1609</v>
      </c>
      <c r="C1270" s="376" t="s">
        <v>628</v>
      </c>
      <c r="D1270" s="376">
        <v>2021</v>
      </c>
      <c r="E1270" s="376">
        <v>2030</v>
      </c>
      <c r="F1270" s="376">
        <v>1</v>
      </c>
      <c r="G1270" s="376">
        <v>6176.8188824187309</v>
      </c>
      <c r="H1270" s="376">
        <v>0</v>
      </c>
      <c r="I1270" s="376">
        <v>1</v>
      </c>
    </row>
    <row r="1271" spans="1:9" x14ac:dyDescent="0.35">
      <c r="A1271" s="376" t="s">
        <v>1606</v>
      </c>
      <c r="B1271" s="376" t="s">
        <v>1609</v>
      </c>
      <c r="C1271" s="376" t="s">
        <v>1051</v>
      </c>
      <c r="D1271" s="376">
        <v>2021</v>
      </c>
      <c r="E1271" s="376">
        <v>2030</v>
      </c>
      <c r="F1271" s="376">
        <v>1</v>
      </c>
      <c r="G1271" s="376">
        <v>6176.8188824187309</v>
      </c>
      <c r="H1271" s="376">
        <v>0</v>
      </c>
      <c r="I1271" s="376">
        <v>1</v>
      </c>
    </row>
    <row r="1272" spans="1:9" x14ac:dyDescent="0.35">
      <c r="A1272" s="376" t="s">
        <v>1606</v>
      </c>
      <c r="B1272" s="376" t="s">
        <v>1609</v>
      </c>
      <c r="C1272" s="376" t="s">
        <v>1054</v>
      </c>
      <c r="D1272" s="376">
        <v>2021</v>
      </c>
      <c r="E1272" s="376">
        <v>2030</v>
      </c>
      <c r="F1272" s="376">
        <v>1</v>
      </c>
      <c r="G1272" s="376">
        <v>6176.8188824187309</v>
      </c>
      <c r="H1272" s="376">
        <v>0</v>
      </c>
      <c r="I1272" s="376">
        <v>1</v>
      </c>
    </row>
    <row r="1273" spans="1:9" x14ac:dyDescent="0.35">
      <c r="A1273" s="376" t="s">
        <v>1606</v>
      </c>
      <c r="B1273" s="376" t="s">
        <v>1609</v>
      </c>
      <c r="C1273" s="376" t="s">
        <v>1046</v>
      </c>
      <c r="D1273" s="376">
        <v>2021</v>
      </c>
      <c r="E1273" s="376">
        <v>2031</v>
      </c>
      <c r="F1273" s="376">
        <v>1</v>
      </c>
      <c r="G1273" s="376">
        <v>6176.8188824187309</v>
      </c>
      <c r="H1273" s="376">
        <v>0</v>
      </c>
      <c r="I1273" s="376">
        <v>1</v>
      </c>
    </row>
    <row r="1274" spans="1:9" x14ac:dyDescent="0.35">
      <c r="A1274" s="376" t="s">
        <v>1606</v>
      </c>
      <c r="B1274" s="376" t="s">
        <v>1609</v>
      </c>
      <c r="C1274" s="376" t="s">
        <v>644</v>
      </c>
      <c r="D1274" s="376">
        <v>2021</v>
      </c>
      <c r="E1274" s="376">
        <v>2031</v>
      </c>
      <c r="F1274" s="376">
        <v>1</v>
      </c>
      <c r="G1274" s="376">
        <v>6176.8188824187309</v>
      </c>
      <c r="H1274" s="376">
        <v>0</v>
      </c>
      <c r="I1274" s="376">
        <v>1</v>
      </c>
    </row>
    <row r="1275" spans="1:9" x14ac:dyDescent="0.35">
      <c r="A1275" s="376" t="s">
        <v>1606</v>
      </c>
      <c r="B1275" s="376" t="s">
        <v>1609</v>
      </c>
      <c r="C1275" s="376" t="s">
        <v>628</v>
      </c>
      <c r="D1275" s="376">
        <v>2021</v>
      </c>
      <c r="E1275" s="376">
        <v>2031</v>
      </c>
      <c r="F1275" s="376">
        <v>1</v>
      </c>
      <c r="G1275" s="376">
        <v>6176.8188824187309</v>
      </c>
      <c r="H1275" s="376">
        <v>0</v>
      </c>
      <c r="I1275" s="376">
        <v>1</v>
      </c>
    </row>
    <row r="1276" spans="1:9" x14ac:dyDescent="0.35">
      <c r="A1276" s="376" t="s">
        <v>1606</v>
      </c>
      <c r="B1276" s="376" t="s">
        <v>1609</v>
      </c>
      <c r="C1276" s="376" t="s">
        <v>1051</v>
      </c>
      <c r="D1276" s="376">
        <v>2021</v>
      </c>
      <c r="E1276" s="376">
        <v>2031</v>
      </c>
      <c r="F1276" s="376">
        <v>1</v>
      </c>
      <c r="G1276" s="376">
        <v>6176.8188824187309</v>
      </c>
      <c r="H1276" s="376">
        <v>0</v>
      </c>
      <c r="I1276" s="376">
        <v>1</v>
      </c>
    </row>
    <row r="1277" spans="1:9" x14ac:dyDescent="0.35">
      <c r="A1277" s="376" t="s">
        <v>1606</v>
      </c>
      <c r="B1277" s="376" t="s">
        <v>1609</v>
      </c>
      <c r="C1277" s="376" t="s">
        <v>1054</v>
      </c>
      <c r="D1277" s="376">
        <v>2021</v>
      </c>
      <c r="E1277" s="376">
        <v>2031</v>
      </c>
      <c r="F1277" s="376">
        <v>1</v>
      </c>
      <c r="G1277" s="376">
        <v>6176.8188824187309</v>
      </c>
      <c r="H1277" s="376">
        <v>0</v>
      </c>
      <c r="I1277" s="376">
        <v>1</v>
      </c>
    </row>
    <row r="1278" spans="1:9" x14ac:dyDescent="0.35">
      <c r="A1278" s="376" t="s">
        <v>1612</v>
      </c>
      <c r="B1278" s="376" t="s">
        <v>1609</v>
      </c>
      <c r="C1278" s="376" t="s">
        <v>1046</v>
      </c>
      <c r="D1278" s="376">
        <v>2022</v>
      </c>
      <c r="E1278" s="376">
        <v>2022</v>
      </c>
      <c r="F1278" s="376">
        <v>0.37384575124303709</v>
      </c>
      <c r="G1278" s="376">
        <v>9928.6887826901675</v>
      </c>
      <c r="H1278" s="376">
        <v>0.25839234885811596</v>
      </c>
      <c r="I1278" s="376">
        <v>0.85</v>
      </c>
    </row>
    <row r="1279" spans="1:9" x14ac:dyDescent="0.35">
      <c r="A1279" s="376" t="s">
        <v>1612</v>
      </c>
      <c r="B1279" s="376" t="s">
        <v>1609</v>
      </c>
      <c r="C1279" s="376" t="s">
        <v>644</v>
      </c>
      <c r="D1279" s="376">
        <v>2022</v>
      </c>
      <c r="E1279" s="376">
        <v>2022</v>
      </c>
      <c r="F1279" s="376">
        <v>0.37384575124303709</v>
      </c>
      <c r="G1279" s="376">
        <v>9928.6887826901675</v>
      </c>
      <c r="H1279" s="376">
        <v>0.25839234885811596</v>
      </c>
      <c r="I1279" s="376">
        <v>0.85</v>
      </c>
    </row>
    <row r="1280" spans="1:9" x14ac:dyDescent="0.35">
      <c r="A1280" s="376" t="s">
        <v>1612</v>
      </c>
      <c r="B1280" s="376" t="s">
        <v>1609</v>
      </c>
      <c r="C1280" s="376" t="s">
        <v>628</v>
      </c>
      <c r="D1280" s="376">
        <v>2022</v>
      </c>
      <c r="E1280" s="376">
        <v>2022</v>
      </c>
      <c r="F1280" s="376">
        <v>0.37384575124303709</v>
      </c>
      <c r="G1280" s="376">
        <v>9928.6887826901675</v>
      </c>
      <c r="H1280" s="376">
        <v>0.25839234885811596</v>
      </c>
      <c r="I1280" s="376">
        <v>0.85</v>
      </c>
    </row>
    <row r="1281" spans="1:9" x14ac:dyDescent="0.35">
      <c r="A1281" s="376" t="s">
        <v>1612</v>
      </c>
      <c r="B1281" s="376" t="s">
        <v>1609</v>
      </c>
      <c r="C1281" s="376" t="s">
        <v>1051</v>
      </c>
      <c r="D1281" s="376">
        <v>2022</v>
      </c>
      <c r="E1281" s="376">
        <v>2022</v>
      </c>
      <c r="F1281" s="376">
        <v>0.37384575124303709</v>
      </c>
      <c r="G1281" s="376">
        <v>9928.6887826901675</v>
      </c>
      <c r="H1281" s="376">
        <v>0.25839234885811596</v>
      </c>
      <c r="I1281" s="376">
        <v>0.85</v>
      </c>
    </row>
    <row r="1282" spans="1:9" x14ac:dyDescent="0.35">
      <c r="A1282" s="376" t="s">
        <v>1612</v>
      </c>
      <c r="B1282" s="376" t="s">
        <v>1609</v>
      </c>
      <c r="C1282" s="376" t="s">
        <v>1054</v>
      </c>
      <c r="D1282" s="376">
        <v>2022</v>
      </c>
      <c r="E1282" s="376">
        <v>2022</v>
      </c>
      <c r="F1282" s="376">
        <v>0.37384575124303709</v>
      </c>
      <c r="G1282" s="376">
        <v>9928.6887826901675</v>
      </c>
      <c r="H1282" s="376">
        <v>0.25839234885811596</v>
      </c>
      <c r="I1282" s="376">
        <v>0.85</v>
      </c>
    </row>
    <row r="1283" spans="1:9" x14ac:dyDescent="0.35">
      <c r="A1283" s="376" t="s">
        <v>1612</v>
      </c>
      <c r="B1283" s="376" t="s">
        <v>1609</v>
      </c>
      <c r="C1283" s="376" t="s">
        <v>1046</v>
      </c>
      <c r="D1283" s="376">
        <v>2022</v>
      </c>
      <c r="E1283" s="376">
        <v>2023</v>
      </c>
      <c r="F1283" s="376">
        <v>0.37384575124303709</v>
      </c>
      <c r="G1283" s="376">
        <v>9928.6887826901675</v>
      </c>
      <c r="H1283" s="376">
        <v>0.25839234885811596</v>
      </c>
      <c r="I1283" s="376">
        <v>0.85</v>
      </c>
    </row>
    <row r="1284" spans="1:9" x14ac:dyDescent="0.35">
      <c r="A1284" s="376" t="s">
        <v>1612</v>
      </c>
      <c r="B1284" s="376" t="s">
        <v>1609</v>
      </c>
      <c r="C1284" s="376" t="s">
        <v>644</v>
      </c>
      <c r="D1284" s="376">
        <v>2022</v>
      </c>
      <c r="E1284" s="376">
        <v>2023</v>
      </c>
      <c r="F1284" s="376">
        <v>0.37384575124303709</v>
      </c>
      <c r="G1284" s="376">
        <v>9928.6887826901675</v>
      </c>
      <c r="H1284" s="376">
        <v>0.25839234885811596</v>
      </c>
      <c r="I1284" s="376">
        <v>0.85</v>
      </c>
    </row>
    <row r="1285" spans="1:9" x14ac:dyDescent="0.35">
      <c r="A1285" s="376" t="s">
        <v>1612</v>
      </c>
      <c r="B1285" s="376" t="s">
        <v>1609</v>
      </c>
      <c r="C1285" s="376" t="s">
        <v>628</v>
      </c>
      <c r="D1285" s="376">
        <v>2022</v>
      </c>
      <c r="E1285" s="376">
        <v>2023</v>
      </c>
      <c r="F1285" s="376">
        <v>0.37384575124303709</v>
      </c>
      <c r="G1285" s="376">
        <v>9928.6887826901675</v>
      </c>
      <c r="H1285" s="376">
        <v>0.25839234885811596</v>
      </c>
      <c r="I1285" s="376">
        <v>0.85</v>
      </c>
    </row>
    <row r="1286" spans="1:9" x14ac:dyDescent="0.35">
      <c r="A1286" s="376" t="s">
        <v>1612</v>
      </c>
      <c r="B1286" s="376" t="s">
        <v>1609</v>
      </c>
      <c r="C1286" s="376" t="s">
        <v>1051</v>
      </c>
      <c r="D1286" s="376">
        <v>2022</v>
      </c>
      <c r="E1286" s="376">
        <v>2023</v>
      </c>
      <c r="F1286" s="376">
        <v>0.37384575124303709</v>
      </c>
      <c r="G1286" s="376">
        <v>9928.6887826901675</v>
      </c>
      <c r="H1286" s="376">
        <v>0.25839234885811596</v>
      </c>
      <c r="I1286" s="376">
        <v>0.85</v>
      </c>
    </row>
    <row r="1287" spans="1:9" x14ac:dyDescent="0.35">
      <c r="A1287" s="376" t="s">
        <v>1612</v>
      </c>
      <c r="B1287" s="376" t="s">
        <v>1609</v>
      </c>
      <c r="C1287" s="376" t="s">
        <v>1054</v>
      </c>
      <c r="D1287" s="376">
        <v>2022</v>
      </c>
      <c r="E1287" s="376">
        <v>2023</v>
      </c>
      <c r="F1287" s="376">
        <v>0.37384575124303709</v>
      </c>
      <c r="G1287" s="376">
        <v>9928.6887826901675</v>
      </c>
      <c r="H1287" s="376">
        <v>0.25839234885811596</v>
      </c>
      <c r="I1287" s="376">
        <v>0.85</v>
      </c>
    </row>
    <row r="1288" spans="1:9" x14ac:dyDescent="0.35">
      <c r="A1288" s="376" t="s">
        <v>1612</v>
      </c>
      <c r="B1288" s="376" t="s">
        <v>1609</v>
      </c>
      <c r="C1288" s="376" t="s">
        <v>1046</v>
      </c>
      <c r="D1288" s="376">
        <v>2022</v>
      </c>
      <c r="E1288" s="376">
        <v>2024</v>
      </c>
      <c r="F1288" s="376">
        <v>0.37384575124303709</v>
      </c>
      <c r="G1288" s="376">
        <v>9928.6887826901675</v>
      </c>
      <c r="H1288" s="376">
        <v>0.25839234885811596</v>
      </c>
      <c r="I1288" s="376">
        <v>0.85</v>
      </c>
    </row>
    <row r="1289" spans="1:9" x14ac:dyDescent="0.35">
      <c r="A1289" s="376" t="s">
        <v>1612</v>
      </c>
      <c r="B1289" s="376" t="s">
        <v>1609</v>
      </c>
      <c r="C1289" s="376" t="s">
        <v>644</v>
      </c>
      <c r="D1289" s="376">
        <v>2022</v>
      </c>
      <c r="E1289" s="376">
        <v>2024</v>
      </c>
      <c r="F1289" s="376">
        <v>0.37384575124303709</v>
      </c>
      <c r="G1289" s="376">
        <v>9928.6887826901675</v>
      </c>
      <c r="H1289" s="376">
        <v>0.25839234885811596</v>
      </c>
      <c r="I1289" s="376">
        <v>0.85</v>
      </c>
    </row>
    <row r="1290" spans="1:9" x14ac:dyDescent="0.35">
      <c r="A1290" s="376" t="s">
        <v>1612</v>
      </c>
      <c r="B1290" s="376" t="s">
        <v>1609</v>
      </c>
      <c r="C1290" s="376" t="s">
        <v>628</v>
      </c>
      <c r="D1290" s="376">
        <v>2022</v>
      </c>
      <c r="E1290" s="376">
        <v>2024</v>
      </c>
      <c r="F1290" s="376">
        <v>0.37384575124303709</v>
      </c>
      <c r="G1290" s="376">
        <v>9928.6887826901675</v>
      </c>
      <c r="H1290" s="376">
        <v>0.25839234885811596</v>
      </c>
      <c r="I1290" s="376">
        <v>0.85</v>
      </c>
    </row>
    <row r="1291" spans="1:9" x14ac:dyDescent="0.35">
      <c r="A1291" s="376" t="s">
        <v>1612</v>
      </c>
      <c r="B1291" s="376" t="s">
        <v>1609</v>
      </c>
      <c r="C1291" s="376" t="s">
        <v>1051</v>
      </c>
      <c r="D1291" s="376">
        <v>2022</v>
      </c>
      <c r="E1291" s="376">
        <v>2024</v>
      </c>
      <c r="F1291" s="376">
        <v>0.37384575124303709</v>
      </c>
      <c r="G1291" s="376">
        <v>9928.6887826901675</v>
      </c>
      <c r="H1291" s="376">
        <v>0.25839234885811596</v>
      </c>
      <c r="I1291" s="376">
        <v>0.85</v>
      </c>
    </row>
    <row r="1292" spans="1:9" x14ac:dyDescent="0.35">
      <c r="A1292" s="376" t="s">
        <v>1612</v>
      </c>
      <c r="B1292" s="376" t="s">
        <v>1609</v>
      </c>
      <c r="C1292" s="376" t="s">
        <v>1054</v>
      </c>
      <c r="D1292" s="376">
        <v>2022</v>
      </c>
      <c r="E1292" s="376">
        <v>2024</v>
      </c>
      <c r="F1292" s="376">
        <v>0.37384575124303709</v>
      </c>
      <c r="G1292" s="376">
        <v>9928.6887826901675</v>
      </c>
      <c r="H1292" s="376">
        <v>0.25839234885811596</v>
      </c>
      <c r="I1292" s="376">
        <v>0.85</v>
      </c>
    </row>
    <row r="1293" spans="1:9" x14ac:dyDescent="0.35">
      <c r="A1293" s="376" t="s">
        <v>1612</v>
      </c>
      <c r="B1293" s="376" t="s">
        <v>1609</v>
      </c>
      <c r="C1293" s="376" t="s">
        <v>1046</v>
      </c>
      <c r="D1293" s="376">
        <v>2022</v>
      </c>
      <c r="E1293" s="376">
        <v>2025</v>
      </c>
      <c r="F1293" s="376">
        <v>0.37384575124303709</v>
      </c>
      <c r="G1293" s="376">
        <v>9928.6887826901675</v>
      </c>
      <c r="H1293" s="376">
        <v>0.25839234885811596</v>
      </c>
      <c r="I1293" s="376">
        <v>0.85</v>
      </c>
    </row>
    <row r="1294" spans="1:9" x14ac:dyDescent="0.35">
      <c r="A1294" s="376" t="s">
        <v>1612</v>
      </c>
      <c r="B1294" s="376" t="s">
        <v>1609</v>
      </c>
      <c r="C1294" s="376" t="s">
        <v>644</v>
      </c>
      <c r="D1294" s="376">
        <v>2022</v>
      </c>
      <c r="E1294" s="376">
        <v>2025</v>
      </c>
      <c r="F1294" s="376">
        <v>0.37384575124303709</v>
      </c>
      <c r="G1294" s="376">
        <v>9928.6887826901675</v>
      </c>
      <c r="H1294" s="376">
        <v>0.25839234885811596</v>
      </c>
      <c r="I1294" s="376">
        <v>0.85</v>
      </c>
    </row>
    <row r="1295" spans="1:9" x14ac:dyDescent="0.35">
      <c r="A1295" s="376" t="s">
        <v>1612</v>
      </c>
      <c r="B1295" s="376" t="s">
        <v>1609</v>
      </c>
      <c r="C1295" s="376" t="s">
        <v>628</v>
      </c>
      <c r="D1295" s="376">
        <v>2022</v>
      </c>
      <c r="E1295" s="376">
        <v>2025</v>
      </c>
      <c r="F1295" s="376">
        <v>0.37384575124303709</v>
      </c>
      <c r="G1295" s="376">
        <v>9928.6887826901675</v>
      </c>
      <c r="H1295" s="376">
        <v>0.25839234885811596</v>
      </c>
      <c r="I1295" s="376">
        <v>0.85</v>
      </c>
    </row>
    <row r="1296" spans="1:9" x14ac:dyDescent="0.35">
      <c r="A1296" s="376" t="s">
        <v>1612</v>
      </c>
      <c r="B1296" s="376" t="s">
        <v>1609</v>
      </c>
      <c r="C1296" s="376" t="s">
        <v>1051</v>
      </c>
      <c r="D1296" s="376">
        <v>2022</v>
      </c>
      <c r="E1296" s="376">
        <v>2025</v>
      </c>
      <c r="F1296" s="376">
        <v>0.37384575124303709</v>
      </c>
      <c r="G1296" s="376">
        <v>9928.6887826901675</v>
      </c>
      <c r="H1296" s="376">
        <v>0.25839234885811596</v>
      </c>
      <c r="I1296" s="376">
        <v>0.85</v>
      </c>
    </row>
    <row r="1297" spans="1:9" x14ac:dyDescent="0.35">
      <c r="A1297" s="376" t="s">
        <v>1612</v>
      </c>
      <c r="B1297" s="376" t="s">
        <v>1609</v>
      </c>
      <c r="C1297" s="376" t="s">
        <v>1054</v>
      </c>
      <c r="D1297" s="376">
        <v>2022</v>
      </c>
      <c r="E1297" s="376">
        <v>2025</v>
      </c>
      <c r="F1297" s="376">
        <v>0.37384575124303709</v>
      </c>
      <c r="G1297" s="376">
        <v>9928.6887826901675</v>
      </c>
      <c r="H1297" s="376">
        <v>0.25839234885811596</v>
      </c>
      <c r="I1297" s="376">
        <v>0.85</v>
      </c>
    </row>
    <row r="1298" spans="1:9" x14ac:dyDescent="0.35">
      <c r="A1298" s="376" t="s">
        <v>1612</v>
      </c>
      <c r="B1298" s="376" t="s">
        <v>1609</v>
      </c>
      <c r="C1298" s="376" t="s">
        <v>1046</v>
      </c>
      <c r="D1298" s="376">
        <v>2022</v>
      </c>
      <c r="E1298" s="376">
        <v>2026</v>
      </c>
      <c r="F1298" s="376">
        <v>0.37384575124303709</v>
      </c>
      <c r="G1298" s="376">
        <v>9928.6887826901675</v>
      </c>
      <c r="H1298" s="376">
        <v>0.25839234885811596</v>
      </c>
      <c r="I1298" s="376">
        <v>0.85</v>
      </c>
    </row>
    <row r="1299" spans="1:9" x14ac:dyDescent="0.35">
      <c r="A1299" s="376" t="s">
        <v>1612</v>
      </c>
      <c r="B1299" s="376" t="s">
        <v>1609</v>
      </c>
      <c r="C1299" s="376" t="s">
        <v>644</v>
      </c>
      <c r="D1299" s="376">
        <v>2022</v>
      </c>
      <c r="E1299" s="376">
        <v>2026</v>
      </c>
      <c r="F1299" s="376">
        <v>0.37384575124303709</v>
      </c>
      <c r="G1299" s="376">
        <v>9928.6887826901675</v>
      </c>
      <c r="H1299" s="376">
        <v>0.25839234885811596</v>
      </c>
      <c r="I1299" s="376">
        <v>0.85</v>
      </c>
    </row>
    <row r="1300" spans="1:9" x14ac:dyDescent="0.35">
      <c r="A1300" s="376" t="s">
        <v>1612</v>
      </c>
      <c r="B1300" s="376" t="s">
        <v>1609</v>
      </c>
      <c r="C1300" s="376" t="s">
        <v>628</v>
      </c>
      <c r="D1300" s="376">
        <v>2022</v>
      </c>
      <c r="E1300" s="376">
        <v>2026</v>
      </c>
      <c r="F1300" s="376">
        <v>0.37384575124303709</v>
      </c>
      <c r="G1300" s="376">
        <v>9928.6887826901675</v>
      </c>
      <c r="H1300" s="376">
        <v>0.25839234885811596</v>
      </c>
      <c r="I1300" s="376">
        <v>0.85</v>
      </c>
    </row>
    <row r="1301" spans="1:9" x14ac:dyDescent="0.35">
      <c r="A1301" s="376" t="s">
        <v>1612</v>
      </c>
      <c r="B1301" s="376" t="s">
        <v>1609</v>
      </c>
      <c r="C1301" s="376" t="s">
        <v>1051</v>
      </c>
      <c r="D1301" s="376">
        <v>2022</v>
      </c>
      <c r="E1301" s="376">
        <v>2026</v>
      </c>
      <c r="F1301" s="376">
        <v>0.37384575124303709</v>
      </c>
      <c r="G1301" s="376">
        <v>9928.6887826901675</v>
      </c>
      <c r="H1301" s="376">
        <v>0.25839234885811596</v>
      </c>
      <c r="I1301" s="376">
        <v>0.85</v>
      </c>
    </row>
    <row r="1302" spans="1:9" x14ac:dyDescent="0.35">
      <c r="A1302" s="376" t="s">
        <v>1612</v>
      </c>
      <c r="B1302" s="376" t="s">
        <v>1609</v>
      </c>
      <c r="C1302" s="376" t="s">
        <v>1054</v>
      </c>
      <c r="D1302" s="376">
        <v>2022</v>
      </c>
      <c r="E1302" s="376">
        <v>2026</v>
      </c>
      <c r="F1302" s="376">
        <v>0.37384575124303709</v>
      </c>
      <c r="G1302" s="376">
        <v>9928.6887826901675</v>
      </c>
      <c r="H1302" s="376">
        <v>0.25839234885811596</v>
      </c>
      <c r="I1302" s="376">
        <v>0.85</v>
      </c>
    </row>
    <row r="1303" spans="1:9" x14ac:dyDescent="0.35">
      <c r="A1303" s="376" t="s">
        <v>1612</v>
      </c>
      <c r="B1303" s="376" t="s">
        <v>1609</v>
      </c>
      <c r="C1303" s="376" t="s">
        <v>1046</v>
      </c>
      <c r="D1303" s="376">
        <v>2022</v>
      </c>
      <c r="E1303" s="376">
        <v>2027</v>
      </c>
      <c r="F1303" s="376">
        <v>0.37384575124303709</v>
      </c>
      <c r="G1303" s="376">
        <v>9928.6887826901675</v>
      </c>
      <c r="H1303" s="376">
        <v>0.25839234885811596</v>
      </c>
      <c r="I1303" s="376">
        <v>0.85</v>
      </c>
    </row>
    <row r="1304" spans="1:9" x14ac:dyDescent="0.35">
      <c r="A1304" s="376" t="s">
        <v>1612</v>
      </c>
      <c r="B1304" s="376" t="s">
        <v>1609</v>
      </c>
      <c r="C1304" s="376" t="s">
        <v>644</v>
      </c>
      <c r="D1304" s="376">
        <v>2022</v>
      </c>
      <c r="E1304" s="376">
        <v>2027</v>
      </c>
      <c r="F1304" s="376">
        <v>0.37384575124303709</v>
      </c>
      <c r="G1304" s="376">
        <v>9928.6887826901675</v>
      </c>
      <c r="H1304" s="376">
        <v>0.25839234885811596</v>
      </c>
      <c r="I1304" s="376">
        <v>0.85</v>
      </c>
    </row>
    <row r="1305" spans="1:9" x14ac:dyDescent="0.35">
      <c r="A1305" s="376" t="s">
        <v>1612</v>
      </c>
      <c r="B1305" s="376" t="s">
        <v>1609</v>
      </c>
      <c r="C1305" s="376" t="s">
        <v>628</v>
      </c>
      <c r="D1305" s="376">
        <v>2022</v>
      </c>
      <c r="E1305" s="376">
        <v>2027</v>
      </c>
      <c r="F1305" s="376">
        <v>0.37384575124303709</v>
      </c>
      <c r="G1305" s="376">
        <v>9928.6887826901675</v>
      </c>
      <c r="H1305" s="376">
        <v>0.25839234885811596</v>
      </c>
      <c r="I1305" s="376">
        <v>0.85</v>
      </c>
    </row>
    <row r="1306" spans="1:9" x14ac:dyDescent="0.35">
      <c r="A1306" s="376" t="s">
        <v>1612</v>
      </c>
      <c r="B1306" s="376" t="s">
        <v>1609</v>
      </c>
      <c r="C1306" s="376" t="s">
        <v>1051</v>
      </c>
      <c r="D1306" s="376">
        <v>2022</v>
      </c>
      <c r="E1306" s="376">
        <v>2027</v>
      </c>
      <c r="F1306" s="376">
        <v>0.37384575124303709</v>
      </c>
      <c r="G1306" s="376">
        <v>9928.6887826901675</v>
      </c>
      <c r="H1306" s="376">
        <v>0.25839234885811596</v>
      </c>
      <c r="I1306" s="376">
        <v>0.85</v>
      </c>
    </row>
    <row r="1307" spans="1:9" x14ac:dyDescent="0.35">
      <c r="A1307" s="376" t="s">
        <v>1612</v>
      </c>
      <c r="B1307" s="376" t="s">
        <v>1609</v>
      </c>
      <c r="C1307" s="376" t="s">
        <v>1054</v>
      </c>
      <c r="D1307" s="376">
        <v>2022</v>
      </c>
      <c r="E1307" s="376">
        <v>2027</v>
      </c>
      <c r="F1307" s="376">
        <v>0.37384575124303709</v>
      </c>
      <c r="G1307" s="376">
        <v>9928.6887826901675</v>
      </c>
      <c r="H1307" s="376">
        <v>0.25839234885811596</v>
      </c>
      <c r="I1307" s="376">
        <v>0.85</v>
      </c>
    </row>
    <row r="1308" spans="1:9" x14ac:dyDescent="0.35">
      <c r="A1308" s="376" t="s">
        <v>1612</v>
      </c>
      <c r="B1308" s="376" t="s">
        <v>1609</v>
      </c>
      <c r="C1308" s="376" t="s">
        <v>1046</v>
      </c>
      <c r="D1308" s="376">
        <v>2022</v>
      </c>
      <c r="E1308" s="376">
        <v>2028</v>
      </c>
      <c r="F1308" s="376">
        <v>0.37384575124303709</v>
      </c>
      <c r="G1308" s="376">
        <v>9928.6887826901675</v>
      </c>
      <c r="H1308" s="376">
        <v>0.25839234885811596</v>
      </c>
      <c r="I1308" s="376">
        <v>0.85</v>
      </c>
    </row>
    <row r="1309" spans="1:9" x14ac:dyDescent="0.35">
      <c r="A1309" s="376" t="s">
        <v>1612</v>
      </c>
      <c r="B1309" s="376" t="s">
        <v>1609</v>
      </c>
      <c r="C1309" s="376" t="s">
        <v>644</v>
      </c>
      <c r="D1309" s="376">
        <v>2022</v>
      </c>
      <c r="E1309" s="376">
        <v>2028</v>
      </c>
      <c r="F1309" s="376">
        <v>0.37384575124303709</v>
      </c>
      <c r="G1309" s="376">
        <v>9928.6887826901675</v>
      </c>
      <c r="H1309" s="376">
        <v>0.25839234885811596</v>
      </c>
      <c r="I1309" s="376">
        <v>0.85</v>
      </c>
    </row>
    <row r="1310" spans="1:9" x14ac:dyDescent="0.35">
      <c r="A1310" s="376" t="s">
        <v>1612</v>
      </c>
      <c r="B1310" s="376" t="s">
        <v>1609</v>
      </c>
      <c r="C1310" s="376" t="s">
        <v>628</v>
      </c>
      <c r="D1310" s="376">
        <v>2022</v>
      </c>
      <c r="E1310" s="376">
        <v>2028</v>
      </c>
      <c r="F1310" s="376">
        <v>0.37384575124303709</v>
      </c>
      <c r="G1310" s="376">
        <v>9928.6887826901675</v>
      </c>
      <c r="H1310" s="376">
        <v>0.25839234885811596</v>
      </c>
      <c r="I1310" s="376">
        <v>0.85</v>
      </c>
    </row>
    <row r="1311" spans="1:9" x14ac:dyDescent="0.35">
      <c r="A1311" s="376" t="s">
        <v>1612</v>
      </c>
      <c r="B1311" s="376" t="s">
        <v>1609</v>
      </c>
      <c r="C1311" s="376" t="s">
        <v>1051</v>
      </c>
      <c r="D1311" s="376">
        <v>2022</v>
      </c>
      <c r="E1311" s="376">
        <v>2028</v>
      </c>
      <c r="F1311" s="376">
        <v>0.37384575124303709</v>
      </c>
      <c r="G1311" s="376">
        <v>9928.6887826901675</v>
      </c>
      <c r="H1311" s="376">
        <v>0.25839234885811596</v>
      </c>
      <c r="I1311" s="376">
        <v>0.85</v>
      </c>
    </row>
    <row r="1312" spans="1:9" x14ac:dyDescent="0.35">
      <c r="A1312" s="376" t="s">
        <v>1612</v>
      </c>
      <c r="B1312" s="376" t="s">
        <v>1609</v>
      </c>
      <c r="C1312" s="376" t="s">
        <v>1054</v>
      </c>
      <c r="D1312" s="376">
        <v>2022</v>
      </c>
      <c r="E1312" s="376">
        <v>2028</v>
      </c>
      <c r="F1312" s="376">
        <v>0.37384575124303709</v>
      </c>
      <c r="G1312" s="376">
        <v>9928.6887826901675</v>
      </c>
      <c r="H1312" s="376">
        <v>0.25839234885811596</v>
      </c>
      <c r="I1312" s="376">
        <v>0.85</v>
      </c>
    </row>
    <row r="1313" spans="1:9" x14ac:dyDescent="0.35">
      <c r="A1313" s="376" t="s">
        <v>1612</v>
      </c>
      <c r="B1313" s="376" t="s">
        <v>1609</v>
      </c>
      <c r="C1313" s="376" t="s">
        <v>1046</v>
      </c>
      <c r="D1313" s="376">
        <v>2022</v>
      </c>
      <c r="E1313" s="376">
        <v>2029</v>
      </c>
      <c r="F1313" s="376">
        <v>0.37384575124303709</v>
      </c>
      <c r="G1313" s="376">
        <v>9928.6887826901675</v>
      </c>
      <c r="H1313" s="376">
        <v>0.25839234885811596</v>
      </c>
      <c r="I1313" s="376">
        <v>0.85</v>
      </c>
    </row>
    <row r="1314" spans="1:9" x14ac:dyDescent="0.35">
      <c r="A1314" s="376" t="s">
        <v>1612</v>
      </c>
      <c r="B1314" s="376" t="s">
        <v>1609</v>
      </c>
      <c r="C1314" s="376" t="s">
        <v>644</v>
      </c>
      <c r="D1314" s="376">
        <v>2022</v>
      </c>
      <c r="E1314" s="376">
        <v>2029</v>
      </c>
      <c r="F1314" s="376">
        <v>0.37384575124303709</v>
      </c>
      <c r="G1314" s="376">
        <v>9928.6887826901675</v>
      </c>
      <c r="H1314" s="376">
        <v>0.25839234885811596</v>
      </c>
      <c r="I1314" s="376">
        <v>0.85</v>
      </c>
    </row>
    <row r="1315" spans="1:9" x14ac:dyDescent="0.35">
      <c r="A1315" s="376" t="s">
        <v>1612</v>
      </c>
      <c r="B1315" s="376" t="s">
        <v>1609</v>
      </c>
      <c r="C1315" s="376" t="s">
        <v>628</v>
      </c>
      <c r="D1315" s="376">
        <v>2022</v>
      </c>
      <c r="E1315" s="376">
        <v>2029</v>
      </c>
      <c r="F1315" s="376">
        <v>0.37384575124303709</v>
      </c>
      <c r="G1315" s="376">
        <v>9928.6887826901675</v>
      </c>
      <c r="H1315" s="376">
        <v>0.25839234885811596</v>
      </c>
      <c r="I1315" s="376">
        <v>0.85</v>
      </c>
    </row>
    <row r="1316" spans="1:9" x14ac:dyDescent="0.35">
      <c r="A1316" s="376" t="s">
        <v>1612</v>
      </c>
      <c r="B1316" s="376" t="s">
        <v>1609</v>
      </c>
      <c r="C1316" s="376" t="s">
        <v>1051</v>
      </c>
      <c r="D1316" s="376">
        <v>2022</v>
      </c>
      <c r="E1316" s="376">
        <v>2029</v>
      </c>
      <c r="F1316" s="376">
        <v>0.37384575124303709</v>
      </c>
      <c r="G1316" s="376">
        <v>9928.6887826901675</v>
      </c>
      <c r="H1316" s="376">
        <v>0.25839234885811596</v>
      </c>
      <c r="I1316" s="376">
        <v>0.85</v>
      </c>
    </row>
    <row r="1317" spans="1:9" x14ac:dyDescent="0.35">
      <c r="A1317" s="376" t="s">
        <v>1612</v>
      </c>
      <c r="B1317" s="376" t="s">
        <v>1609</v>
      </c>
      <c r="C1317" s="376" t="s">
        <v>1054</v>
      </c>
      <c r="D1317" s="376">
        <v>2022</v>
      </c>
      <c r="E1317" s="376">
        <v>2029</v>
      </c>
      <c r="F1317" s="376">
        <v>0.37384575124303709</v>
      </c>
      <c r="G1317" s="376">
        <v>9928.6887826901675</v>
      </c>
      <c r="H1317" s="376">
        <v>0.25839234885811596</v>
      </c>
      <c r="I1317" s="376">
        <v>0.85</v>
      </c>
    </row>
    <row r="1318" spans="1:9" x14ac:dyDescent="0.35">
      <c r="A1318" s="376" t="s">
        <v>1612</v>
      </c>
      <c r="B1318" s="376" t="s">
        <v>1609</v>
      </c>
      <c r="C1318" s="376" t="s">
        <v>1046</v>
      </c>
      <c r="D1318" s="376">
        <v>2022</v>
      </c>
      <c r="E1318" s="376">
        <v>2030</v>
      </c>
      <c r="F1318" s="376">
        <v>0.37384575124303709</v>
      </c>
      <c r="G1318" s="376">
        <v>9928.6887826901675</v>
      </c>
      <c r="H1318" s="376">
        <v>0.25839234885811596</v>
      </c>
      <c r="I1318" s="376">
        <v>0.85</v>
      </c>
    </row>
    <row r="1319" spans="1:9" x14ac:dyDescent="0.35">
      <c r="A1319" s="376" t="s">
        <v>1612</v>
      </c>
      <c r="B1319" s="376" t="s">
        <v>1609</v>
      </c>
      <c r="C1319" s="376" t="s">
        <v>644</v>
      </c>
      <c r="D1319" s="376">
        <v>2022</v>
      </c>
      <c r="E1319" s="376">
        <v>2030</v>
      </c>
      <c r="F1319" s="376">
        <v>0.37384575124303709</v>
      </c>
      <c r="G1319" s="376">
        <v>9928.6887826901675</v>
      </c>
      <c r="H1319" s="376">
        <v>0.25839234885811596</v>
      </c>
      <c r="I1319" s="376">
        <v>0.85</v>
      </c>
    </row>
    <row r="1320" spans="1:9" x14ac:dyDescent="0.35">
      <c r="A1320" s="376" t="s">
        <v>1612</v>
      </c>
      <c r="B1320" s="376" t="s">
        <v>1609</v>
      </c>
      <c r="C1320" s="376" t="s">
        <v>628</v>
      </c>
      <c r="D1320" s="376">
        <v>2022</v>
      </c>
      <c r="E1320" s="376">
        <v>2030</v>
      </c>
      <c r="F1320" s="376">
        <v>0.37384575124303709</v>
      </c>
      <c r="G1320" s="376">
        <v>9928.6887826901675</v>
      </c>
      <c r="H1320" s="376">
        <v>0.25839234885811596</v>
      </c>
      <c r="I1320" s="376">
        <v>0.85</v>
      </c>
    </row>
    <row r="1321" spans="1:9" x14ac:dyDescent="0.35">
      <c r="A1321" s="376" t="s">
        <v>1612</v>
      </c>
      <c r="B1321" s="376" t="s">
        <v>1609</v>
      </c>
      <c r="C1321" s="376" t="s">
        <v>1051</v>
      </c>
      <c r="D1321" s="376">
        <v>2022</v>
      </c>
      <c r="E1321" s="376">
        <v>2030</v>
      </c>
      <c r="F1321" s="376">
        <v>0.37384575124303709</v>
      </c>
      <c r="G1321" s="376">
        <v>9928.6887826901675</v>
      </c>
      <c r="H1321" s="376">
        <v>0.25839234885811596</v>
      </c>
      <c r="I1321" s="376">
        <v>0.85</v>
      </c>
    </row>
    <row r="1322" spans="1:9" x14ac:dyDescent="0.35">
      <c r="A1322" s="376" t="s">
        <v>1612</v>
      </c>
      <c r="B1322" s="376" t="s">
        <v>1609</v>
      </c>
      <c r="C1322" s="376" t="s">
        <v>1054</v>
      </c>
      <c r="D1322" s="376">
        <v>2022</v>
      </c>
      <c r="E1322" s="376">
        <v>2030</v>
      </c>
      <c r="F1322" s="376">
        <v>0.37384575124303709</v>
      </c>
      <c r="G1322" s="376">
        <v>9928.6887826901675</v>
      </c>
      <c r="H1322" s="376">
        <v>0.25839234885811596</v>
      </c>
      <c r="I1322" s="376">
        <v>0.85</v>
      </c>
    </row>
    <row r="1323" spans="1:9" x14ac:dyDescent="0.35">
      <c r="A1323" s="376" t="s">
        <v>1612</v>
      </c>
      <c r="B1323" s="376" t="s">
        <v>1609</v>
      </c>
      <c r="C1323" s="376" t="s">
        <v>1046</v>
      </c>
      <c r="D1323" s="376">
        <v>2022</v>
      </c>
      <c r="E1323" s="376">
        <v>2031</v>
      </c>
      <c r="F1323" s="376">
        <v>0.37384575124303709</v>
      </c>
      <c r="G1323" s="376">
        <v>9928.6887826901675</v>
      </c>
      <c r="H1323" s="376">
        <v>0.25839234885811596</v>
      </c>
      <c r="I1323" s="376">
        <v>0.85</v>
      </c>
    </row>
    <row r="1324" spans="1:9" x14ac:dyDescent="0.35">
      <c r="A1324" s="376" t="s">
        <v>1612</v>
      </c>
      <c r="B1324" s="376" t="s">
        <v>1609</v>
      </c>
      <c r="C1324" s="376" t="s">
        <v>644</v>
      </c>
      <c r="D1324" s="376">
        <v>2022</v>
      </c>
      <c r="E1324" s="376">
        <v>2031</v>
      </c>
      <c r="F1324" s="376">
        <v>0.37384575124303709</v>
      </c>
      <c r="G1324" s="376">
        <v>9928.6887826901675</v>
      </c>
      <c r="H1324" s="376">
        <v>0.25839234885811596</v>
      </c>
      <c r="I1324" s="376">
        <v>0.85</v>
      </c>
    </row>
    <row r="1325" spans="1:9" x14ac:dyDescent="0.35">
      <c r="A1325" s="376" t="s">
        <v>1612</v>
      </c>
      <c r="B1325" s="376" t="s">
        <v>1609</v>
      </c>
      <c r="C1325" s="376" t="s">
        <v>628</v>
      </c>
      <c r="D1325" s="376">
        <v>2022</v>
      </c>
      <c r="E1325" s="376">
        <v>2031</v>
      </c>
      <c r="F1325" s="376">
        <v>0.37384575124303709</v>
      </c>
      <c r="G1325" s="376">
        <v>9928.6887826901675</v>
      </c>
      <c r="H1325" s="376">
        <v>0.25839234885811596</v>
      </c>
      <c r="I1325" s="376">
        <v>0.85</v>
      </c>
    </row>
    <row r="1326" spans="1:9" x14ac:dyDescent="0.35">
      <c r="A1326" s="376" t="s">
        <v>1612</v>
      </c>
      <c r="B1326" s="376" t="s">
        <v>1609</v>
      </c>
      <c r="C1326" s="376" t="s">
        <v>1051</v>
      </c>
      <c r="D1326" s="376">
        <v>2022</v>
      </c>
      <c r="E1326" s="376">
        <v>2031</v>
      </c>
      <c r="F1326" s="376">
        <v>0.37384575124303709</v>
      </c>
      <c r="G1326" s="376">
        <v>9928.6887826901675</v>
      </c>
      <c r="H1326" s="376">
        <v>0.25839234885811596</v>
      </c>
      <c r="I1326" s="376">
        <v>0.85</v>
      </c>
    </row>
    <row r="1327" spans="1:9" x14ac:dyDescent="0.35">
      <c r="A1327" s="376" t="s">
        <v>1612</v>
      </c>
      <c r="B1327" s="376" t="s">
        <v>1609</v>
      </c>
      <c r="C1327" s="376" t="s">
        <v>1054</v>
      </c>
      <c r="D1327" s="376">
        <v>2022</v>
      </c>
      <c r="E1327" s="376">
        <v>2031</v>
      </c>
      <c r="F1327" s="376">
        <v>0.37384575124303709</v>
      </c>
      <c r="G1327" s="376">
        <v>9928.6887826901675</v>
      </c>
      <c r="H1327" s="376">
        <v>0.25839234885811596</v>
      </c>
      <c r="I1327" s="376">
        <v>0.85</v>
      </c>
    </row>
    <row r="1328" spans="1:9" x14ac:dyDescent="0.35">
      <c r="A1328" s="376" t="s">
        <v>1613</v>
      </c>
      <c r="B1328" s="376" t="s">
        <v>1609</v>
      </c>
      <c r="C1328" s="376" t="s">
        <v>1046</v>
      </c>
      <c r="D1328" s="376">
        <v>2022</v>
      </c>
      <c r="E1328" s="376">
        <v>2022</v>
      </c>
      <c r="F1328" s="376">
        <v>0.40444272241720852</v>
      </c>
      <c r="G1328" s="376">
        <v>8848.5269568257354</v>
      </c>
      <c r="H1328" s="376">
        <v>0.25601753086923207</v>
      </c>
      <c r="I1328" s="376">
        <v>0.85</v>
      </c>
    </row>
    <row r="1329" spans="1:9" x14ac:dyDescent="0.35">
      <c r="A1329" s="376" t="s">
        <v>1613</v>
      </c>
      <c r="B1329" s="376" t="s">
        <v>1609</v>
      </c>
      <c r="C1329" s="376" t="s">
        <v>644</v>
      </c>
      <c r="D1329" s="376">
        <v>2022</v>
      </c>
      <c r="E1329" s="376">
        <v>2022</v>
      </c>
      <c r="F1329" s="376">
        <v>0.40444272241720852</v>
      </c>
      <c r="G1329" s="376">
        <v>8848.5269568257354</v>
      </c>
      <c r="H1329" s="376">
        <v>0.25601753086923207</v>
      </c>
      <c r="I1329" s="376">
        <v>0.85</v>
      </c>
    </row>
    <row r="1330" spans="1:9" x14ac:dyDescent="0.35">
      <c r="A1330" s="376" t="s">
        <v>1613</v>
      </c>
      <c r="B1330" s="376" t="s">
        <v>1609</v>
      </c>
      <c r="C1330" s="376" t="s">
        <v>628</v>
      </c>
      <c r="D1330" s="376">
        <v>2022</v>
      </c>
      <c r="E1330" s="376">
        <v>2022</v>
      </c>
      <c r="F1330" s="376">
        <v>0.40444272241720852</v>
      </c>
      <c r="G1330" s="376">
        <v>8848.5269568257354</v>
      </c>
      <c r="H1330" s="376">
        <v>0.25601753086923207</v>
      </c>
      <c r="I1330" s="376">
        <v>0.85</v>
      </c>
    </row>
    <row r="1331" spans="1:9" x14ac:dyDescent="0.35">
      <c r="A1331" s="376" t="s">
        <v>1613</v>
      </c>
      <c r="B1331" s="376" t="s">
        <v>1609</v>
      </c>
      <c r="C1331" s="376" t="s">
        <v>1051</v>
      </c>
      <c r="D1331" s="376">
        <v>2022</v>
      </c>
      <c r="E1331" s="376">
        <v>2022</v>
      </c>
      <c r="F1331" s="376">
        <v>0.40444272241720852</v>
      </c>
      <c r="G1331" s="376">
        <v>8848.5269568257354</v>
      </c>
      <c r="H1331" s="376">
        <v>0.25601753086923207</v>
      </c>
      <c r="I1331" s="376">
        <v>0.85</v>
      </c>
    </row>
    <row r="1332" spans="1:9" x14ac:dyDescent="0.35">
      <c r="A1332" s="376" t="s">
        <v>1613</v>
      </c>
      <c r="B1332" s="376" t="s">
        <v>1609</v>
      </c>
      <c r="C1332" s="376" t="s">
        <v>1054</v>
      </c>
      <c r="D1332" s="376">
        <v>2022</v>
      </c>
      <c r="E1332" s="376">
        <v>2022</v>
      </c>
      <c r="F1332" s="376">
        <v>0.40444272241720852</v>
      </c>
      <c r="G1332" s="376">
        <v>8848.5269568257354</v>
      </c>
      <c r="H1332" s="376">
        <v>0.25601753086923207</v>
      </c>
      <c r="I1332" s="376">
        <v>0.85</v>
      </c>
    </row>
    <row r="1333" spans="1:9" x14ac:dyDescent="0.35">
      <c r="A1333" s="376" t="s">
        <v>1613</v>
      </c>
      <c r="B1333" s="376" t="s">
        <v>1609</v>
      </c>
      <c r="C1333" s="376" t="s">
        <v>1046</v>
      </c>
      <c r="D1333" s="376">
        <v>2022</v>
      </c>
      <c r="E1333" s="376">
        <v>2023</v>
      </c>
      <c r="F1333" s="376">
        <v>0.40444272241720852</v>
      </c>
      <c r="G1333" s="376">
        <v>8848.5269568257354</v>
      </c>
      <c r="H1333" s="376">
        <v>0.25601753086923207</v>
      </c>
      <c r="I1333" s="376">
        <v>0.85</v>
      </c>
    </row>
    <row r="1334" spans="1:9" x14ac:dyDescent="0.35">
      <c r="A1334" s="376" t="s">
        <v>1613</v>
      </c>
      <c r="B1334" s="376" t="s">
        <v>1609</v>
      </c>
      <c r="C1334" s="376" t="s">
        <v>644</v>
      </c>
      <c r="D1334" s="376">
        <v>2022</v>
      </c>
      <c r="E1334" s="376">
        <v>2023</v>
      </c>
      <c r="F1334" s="376">
        <v>0.40444272241720852</v>
      </c>
      <c r="G1334" s="376">
        <v>8848.5269568257354</v>
      </c>
      <c r="H1334" s="376">
        <v>0.25601753086923207</v>
      </c>
      <c r="I1334" s="376">
        <v>0.85</v>
      </c>
    </row>
    <row r="1335" spans="1:9" x14ac:dyDescent="0.35">
      <c r="A1335" s="376" t="s">
        <v>1613</v>
      </c>
      <c r="B1335" s="376" t="s">
        <v>1609</v>
      </c>
      <c r="C1335" s="376" t="s">
        <v>628</v>
      </c>
      <c r="D1335" s="376">
        <v>2022</v>
      </c>
      <c r="E1335" s="376">
        <v>2023</v>
      </c>
      <c r="F1335" s="376">
        <v>0.40444272241720852</v>
      </c>
      <c r="G1335" s="376">
        <v>8848.5269568257354</v>
      </c>
      <c r="H1335" s="376">
        <v>0.25601753086923207</v>
      </c>
      <c r="I1335" s="376">
        <v>0.85</v>
      </c>
    </row>
    <row r="1336" spans="1:9" x14ac:dyDescent="0.35">
      <c r="A1336" s="376" t="s">
        <v>1613</v>
      </c>
      <c r="B1336" s="376" t="s">
        <v>1609</v>
      </c>
      <c r="C1336" s="376" t="s">
        <v>1051</v>
      </c>
      <c r="D1336" s="376">
        <v>2022</v>
      </c>
      <c r="E1336" s="376">
        <v>2023</v>
      </c>
      <c r="F1336" s="376">
        <v>0.40444272241720852</v>
      </c>
      <c r="G1336" s="376">
        <v>8848.5269568257354</v>
      </c>
      <c r="H1336" s="376">
        <v>0.25601753086923207</v>
      </c>
      <c r="I1336" s="376">
        <v>0.85</v>
      </c>
    </row>
    <row r="1337" spans="1:9" x14ac:dyDescent="0.35">
      <c r="A1337" s="376" t="s">
        <v>1613</v>
      </c>
      <c r="B1337" s="376" t="s">
        <v>1609</v>
      </c>
      <c r="C1337" s="376" t="s">
        <v>1054</v>
      </c>
      <c r="D1337" s="376">
        <v>2022</v>
      </c>
      <c r="E1337" s="376">
        <v>2023</v>
      </c>
      <c r="F1337" s="376">
        <v>0.40444272241720852</v>
      </c>
      <c r="G1337" s="376">
        <v>8848.5269568257354</v>
      </c>
      <c r="H1337" s="376">
        <v>0.25601753086923207</v>
      </c>
      <c r="I1337" s="376">
        <v>0.85</v>
      </c>
    </row>
    <row r="1338" spans="1:9" x14ac:dyDescent="0.35">
      <c r="A1338" s="376" t="s">
        <v>1613</v>
      </c>
      <c r="B1338" s="376" t="s">
        <v>1609</v>
      </c>
      <c r="C1338" s="376" t="s">
        <v>1046</v>
      </c>
      <c r="D1338" s="376">
        <v>2022</v>
      </c>
      <c r="E1338" s="376">
        <v>2024</v>
      </c>
      <c r="F1338" s="376">
        <v>0.40444272241720852</v>
      </c>
      <c r="G1338" s="376">
        <v>8848.5269568257354</v>
      </c>
      <c r="H1338" s="376">
        <v>0.25601753086923207</v>
      </c>
      <c r="I1338" s="376">
        <v>0.85</v>
      </c>
    </row>
    <row r="1339" spans="1:9" x14ac:dyDescent="0.35">
      <c r="A1339" s="376" t="s">
        <v>1613</v>
      </c>
      <c r="B1339" s="376" t="s">
        <v>1609</v>
      </c>
      <c r="C1339" s="376" t="s">
        <v>644</v>
      </c>
      <c r="D1339" s="376">
        <v>2022</v>
      </c>
      <c r="E1339" s="376">
        <v>2024</v>
      </c>
      <c r="F1339" s="376">
        <v>0.40444272241720852</v>
      </c>
      <c r="G1339" s="376">
        <v>8848.5269568257354</v>
      </c>
      <c r="H1339" s="376">
        <v>0.25601753086923207</v>
      </c>
      <c r="I1339" s="376">
        <v>0.85</v>
      </c>
    </row>
    <row r="1340" spans="1:9" x14ac:dyDescent="0.35">
      <c r="A1340" s="376" t="s">
        <v>1613</v>
      </c>
      <c r="B1340" s="376" t="s">
        <v>1609</v>
      </c>
      <c r="C1340" s="376" t="s">
        <v>628</v>
      </c>
      <c r="D1340" s="376">
        <v>2022</v>
      </c>
      <c r="E1340" s="376">
        <v>2024</v>
      </c>
      <c r="F1340" s="376">
        <v>0.40444272241720852</v>
      </c>
      <c r="G1340" s="376">
        <v>8848.5269568257354</v>
      </c>
      <c r="H1340" s="376">
        <v>0.25601753086923207</v>
      </c>
      <c r="I1340" s="376">
        <v>0.85</v>
      </c>
    </row>
    <row r="1341" spans="1:9" x14ac:dyDescent="0.35">
      <c r="A1341" s="376" t="s">
        <v>1613</v>
      </c>
      <c r="B1341" s="376" t="s">
        <v>1609</v>
      </c>
      <c r="C1341" s="376" t="s">
        <v>1051</v>
      </c>
      <c r="D1341" s="376">
        <v>2022</v>
      </c>
      <c r="E1341" s="376">
        <v>2024</v>
      </c>
      <c r="F1341" s="376">
        <v>0.40444272241720852</v>
      </c>
      <c r="G1341" s="376">
        <v>8848.5269568257354</v>
      </c>
      <c r="H1341" s="376">
        <v>0.25601753086923207</v>
      </c>
      <c r="I1341" s="376">
        <v>0.85</v>
      </c>
    </row>
    <row r="1342" spans="1:9" x14ac:dyDescent="0.35">
      <c r="A1342" s="376" t="s">
        <v>1613</v>
      </c>
      <c r="B1342" s="376" t="s">
        <v>1609</v>
      </c>
      <c r="C1342" s="376" t="s">
        <v>1054</v>
      </c>
      <c r="D1342" s="376">
        <v>2022</v>
      </c>
      <c r="E1342" s="376">
        <v>2024</v>
      </c>
      <c r="F1342" s="376">
        <v>0.40444272241720852</v>
      </c>
      <c r="G1342" s="376">
        <v>8848.5269568257354</v>
      </c>
      <c r="H1342" s="376">
        <v>0.25601753086923207</v>
      </c>
      <c r="I1342" s="376">
        <v>0.85</v>
      </c>
    </row>
    <row r="1343" spans="1:9" x14ac:dyDescent="0.35">
      <c r="A1343" s="376" t="s">
        <v>1613</v>
      </c>
      <c r="B1343" s="376" t="s">
        <v>1609</v>
      </c>
      <c r="C1343" s="376" t="s">
        <v>1046</v>
      </c>
      <c r="D1343" s="376">
        <v>2022</v>
      </c>
      <c r="E1343" s="376">
        <v>2025</v>
      </c>
      <c r="F1343" s="376">
        <v>0.40444272241720852</v>
      </c>
      <c r="G1343" s="376">
        <v>8848.5269568257354</v>
      </c>
      <c r="H1343" s="376">
        <v>0.25601753086923207</v>
      </c>
      <c r="I1343" s="376">
        <v>0.85</v>
      </c>
    </row>
    <row r="1344" spans="1:9" x14ac:dyDescent="0.35">
      <c r="A1344" s="376" t="s">
        <v>1613</v>
      </c>
      <c r="B1344" s="376" t="s">
        <v>1609</v>
      </c>
      <c r="C1344" s="376" t="s">
        <v>644</v>
      </c>
      <c r="D1344" s="376">
        <v>2022</v>
      </c>
      <c r="E1344" s="376">
        <v>2025</v>
      </c>
      <c r="F1344" s="376">
        <v>0.40444272241720852</v>
      </c>
      <c r="G1344" s="376">
        <v>8848.5269568257354</v>
      </c>
      <c r="H1344" s="376">
        <v>0.25601753086923207</v>
      </c>
      <c r="I1344" s="376">
        <v>0.85</v>
      </c>
    </row>
    <row r="1345" spans="1:9" x14ac:dyDescent="0.35">
      <c r="A1345" s="376" t="s">
        <v>1613</v>
      </c>
      <c r="B1345" s="376" t="s">
        <v>1609</v>
      </c>
      <c r="C1345" s="376" t="s">
        <v>628</v>
      </c>
      <c r="D1345" s="376">
        <v>2022</v>
      </c>
      <c r="E1345" s="376">
        <v>2025</v>
      </c>
      <c r="F1345" s="376">
        <v>0.40444272241720852</v>
      </c>
      <c r="G1345" s="376">
        <v>8848.5269568257354</v>
      </c>
      <c r="H1345" s="376">
        <v>0.25601753086923207</v>
      </c>
      <c r="I1345" s="376">
        <v>0.85</v>
      </c>
    </row>
    <row r="1346" spans="1:9" x14ac:dyDescent="0.35">
      <c r="A1346" s="376" t="s">
        <v>1613</v>
      </c>
      <c r="B1346" s="376" t="s">
        <v>1609</v>
      </c>
      <c r="C1346" s="376" t="s">
        <v>1051</v>
      </c>
      <c r="D1346" s="376">
        <v>2022</v>
      </c>
      <c r="E1346" s="376">
        <v>2025</v>
      </c>
      <c r="F1346" s="376">
        <v>0.40444272241720852</v>
      </c>
      <c r="G1346" s="376">
        <v>8848.5269568257354</v>
      </c>
      <c r="H1346" s="376">
        <v>0.25601753086923207</v>
      </c>
      <c r="I1346" s="376">
        <v>0.85</v>
      </c>
    </row>
    <row r="1347" spans="1:9" x14ac:dyDescent="0.35">
      <c r="A1347" s="376" t="s">
        <v>1613</v>
      </c>
      <c r="B1347" s="376" t="s">
        <v>1609</v>
      </c>
      <c r="C1347" s="376" t="s">
        <v>1054</v>
      </c>
      <c r="D1347" s="376">
        <v>2022</v>
      </c>
      <c r="E1347" s="376">
        <v>2025</v>
      </c>
      <c r="F1347" s="376">
        <v>0.40444272241720852</v>
      </c>
      <c r="G1347" s="376">
        <v>8848.5269568257354</v>
      </c>
      <c r="H1347" s="376">
        <v>0.25601753086923207</v>
      </c>
      <c r="I1347" s="376">
        <v>0.85</v>
      </c>
    </row>
    <row r="1348" spans="1:9" x14ac:dyDescent="0.35">
      <c r="A1348" s="376" t="s">
        <v>1613</v>
      </c>
      <c r="B1348" s="376" t="s">
        <v>1609</v>
      </c>
      <c r="C1348" s="376" t="s">
        <v>1046</v>
      </c>
      <c r="D1348" s="376">
        <v>2022</v>
      </c>
      <c r="E1348" s="376">
        <v>2026</v>
      </c>
      <c r="F1348" s="376">
        <v>0.40444272241720852</v>
      </c>
      <c r="G1348" s="376">
        <v>8848.5269568257354</v>
      </c>
      <c r="H1348" s="376">
        <v>0.25601753086923207</v>
      </c>
      <c r="I1348" s="376">
        <v>0.85</v>
      </c>
    </row>
    <row r="1349" spans="1:9" x14ac:dyDescent="0.35">
      <c r="A1349" s="376" t="s">
        <v>1613</v>
      </c>
      <c r="B1349" s="376" t="s">
        <v>1609</v>
      </c>
      <c r="C1349" s="376" t="s">
        <v>644</v>
      </c>
      <c r="D1349" s="376">
        <v>2022</v>
      </c>
      <c r="E1349" s="376">
        <v>2026</v>
      </c>
      <c r="F1349" s="376">
        <v>0.40444272241720852</v>
      </c>
      <c r="G1349" s="376">
        <v>8848.5269568257354</v>
      </c>
      <c r="H1349" s="376">
        <v>0.25601753086923207</v>
      </c>
      <c r="I1349" s="376">
        <v>0.85</v>
      </c>
    </row>
    <row r="1350" spans="1:9" x14ac:dyDescent="0.35">
      <c r="A1350" s="376" t="s">
        <v>1613</v>
      </c>
      <c r="B1350" s="376" t="s">
        <v>1609</v>
      </c>
      <c r="C1350" s="376" t="s">
        <v>628</v>
      </c>
      <c r="D1350" s="376">
        <v>2022</v>
      </c>
      <c r="E1350" s="376">
        <v>2026</v>
      </c>
      <c r="F1350" s="376">
        <v>0.40444272241720852</v>
      </c>
      <c r="G1350" s="376">
        <v>8848.5269568257354</v>
      </c>
      <c r="H1350" s="376">
        <v>0.25601753086923207</v>
      </c>
      <c r="I1350" s="376">
        <v>0.85</v>
      </c>
    </row>
    <row r="1351" spans="1:9" x14ac:dyDescent="0.35">
      <c r="A1351" s="376" t="s">
        <v>1613</v>
      </c>
      <c r="B1351" s="376" t="s">
        <v>1609</v>
      </c>
      <c r="C1351" s="376" t="s">
        <v>1051</v>
      </c>
      <c r="D1351" s="376">
        <v>2022</v>
      </c>
      <c r="E1351" s="376">
        <v>2026</v>
      </c>
      <c r="F1351" s="376">
        <v>0.40444272241720852</v>
      </c>
      <c r="G1351" s="376">
        <v>8848.5269568257354</v>
      </c>
      <c r="H1351" s="376">
        <v>0.25601753086923207</v>
      </c>
      <c r="I1351" s="376">
        <v>0.85</v>
      </c>
    </row>
    <row r="1352" spans="1:9" x14ac:dyDescent="0.35">
      <c r="A1352" s="376" t="s">
        <v>1613</v>
      </c>
      <c r="B1352" s="376" t="s">
        <v>1609</v>
      </c>
      <c r="C1352" s="376" t="s">
        <v>1054</v>
      </c>
      <c r="D1352" s="376">
        <v>2022</v>
      </c>
      <c r="E1352" s="376">
        <v>2026</v>
      </c>
      <c r="F1352" s="376">
        <v>0.40444272241720852</v>
      </c>
      <c r="G1352" s="376">
        <v>8848.5269568257354</v>
      </c>
      <c r="H1352" s="376">
        <v>0.25601753086923207</v>
      </c>
      <c r="I1352" s="376">
        <v>0.85</v>
      </c>
    </row>
    <row r="1353" spans="1:9" x14ac:dyDescent="0.35">
      <c r="A1353" s="376" t="s">
        <v>1613</v>
      </c>
      <c r="B1353" s="376" t="s">
        <v>1609</v>
      </c>
      <c r="C1353" s="376" t="s">
        <v>1046</v>
      </c>
      <c r="D1353" s="376">
        <v>2022</v>
      </c>
      <c r="E1353" s="376">
        <v>2027</v>
      </c>
      <c r="F1353" s="376">
        <v>0.40444272241720852</v>
      </c>
      <c r="G1353" s="376">
        <v>8848.5269568257354</v>
      </c>
      <c r="H1353" s="376">
        <v>0.25601753086923207</v>
      </c>
      <c r="I1353" s="376">
        <v>0.85</v>
      </c>
    </row>
    <row r="1354" spans="1:9" x14ac:dyDescent="0.35">
      <c r="A1354" s="376" t="s">
        <v>1613</v>
      </c>
      <c r="B1354" s="376" t="s">
        <v>1609</v>
      </c>
      <c r="C1354" s="376" t="s">
        <v>644</v>
      </c>
      <c r="D1354" s="376">
        <v>2022</v>
      </c>
      <c r="E1354" s="376">
        <v>2027</v>
      </c>
      <c r="F1354" s="376">
        <v>0.40444272241720852</v>
      </c>
      <c r="G1354" s="376">
        <v>8848.5269568257354</v>
      </c>
      <c r="H1354" s="376">
        <v>0.25601753086923207</v>
      </c>
      <c r="I1354" s="376">
        <v>0.85</v>
      </c>
    </row>
    <row r="1355" spans="1:9" x14ac:dyDescent="0.35">
      <c r="A1355" s="376" t="s">
        <v>1613</v>
      </c>
      <c r="B1355" s="376" t="s">
        <v>1609</v>
      </c>
      <c r="C1355" s="376" t="s">
        <v>628</v>
      </c>
      <c r="D1355" s="376">
        <v>2022</v>
      </c>
      <c r="E1355" s="376">
        <v>2027</v>
      </c>
      <c r="F1355" s="376">
        <v>0.40444272241720852</v>
      </c>
      <c r="G1355" s="376">
        <v>8848.5269568257354</v>
      </c>
      <c r="H1355" s="376">
        <v>0.25601753086923207</v>
      </c>
      <c r="I1355" s="376">
        <v>0.85</v>
      </c>
    </row>
    <row r="1356" spans="1:9" x14ac:dyDescent="0.35">
      <c r="A1356" s="376" t="s">
        <v>1613</v>
      </c>
      <c r="B1356" s="376" t="s">
        <v>1609</v>
      </c>
      <c r="C1356" s="376" t="s">
        <v>1051</v>
      </c>
      <c r="D1356" s="376">
        <v>2022</v>
      </c>
      <c r="E1356" s="376">
        <v>2027</v>
      </c>
      <c r="F1356" s="376">
        <v>0.40444272241720852</v>
      </c>
      <c r="G1356" s="376">
        <v>8848.5269568257354</v>
      </c>
      <c r="H1356" s="376">
        <v>0.25601753086923207</v>
      </c>
      <c r="I1356" s="376">
        <v>0.85</v>
      </c>
    </row>
    <row r="1357" spans="1:9" x14ac:dyDescent="0.35">
      <c r="A1357" s="376" t="s">
        <v>1613</v>
      </c>
      <c r="B1357" s="376" t="s">
        <v>1609</v>
      </c>
      <c r="C1357" s="376" t="s">
        <v>1054</v>
      </c>
      <c r="D1357" s="376">
        <v>2022</v>
      </c>
      <c r="E1357" s="376">
        <v>2027</v>
      </c>
      <c r="F1357" s="376">
        <v>0.40444272241720852</v>
      </c>
      <c r="G1357" s="376">
        <v>8848.5269568257354</v>
      </c>
      <c r="H1357" s="376">
        <v>0.25601753086923207</v>
      </c>
      <c r="I1357" s="376">
        <v>0.85</v>
      </c>
    </row>
    <row r="1358" spans="1:9" x14ac:dyDescent="0.35">
      <c r="A1358" s="376" t="s">
        <v>1613</v>
      </c>
      <c r="B1358" s="376" t="s">
        <v>1609</v>
      </c>
      <c r="C1358" s="376" t="s">
        <v>1046</v>
      </c>
      <c r="D1358" s="376">
        <v>2022</v>
      </c>
      <c r="E1358" s="376">
        <v>2028</v>
      </c>
      <c r="F1358" s="376">
        <v>0.40444272241720852</v>
      </c>
      <c r="G1358" s="376">
        <v>8848.5269568257354</v>
      </c>
      <c r="H1358" s="376">
        <v>0.25601753086923207</v>
      </c>
      <c r="I1358" s="376">
        <v>0.85</v>
      </c>
    </row>
    <row r="1359" spans="1:9" x14ac:dyDescent="0.35">
      <c r="A1359" s="376" t="s">
        <v>1613</v>
      </c>
      <c r="B1359" s="376" t="s">
        <v>1609</v>
      </c>
      <c r="C1359" s="376" t="s">
        <v>644</v>
      </c>
      <c r="D1359" s="376">
        <v>2022</v>
      </c>
      <c r="E1359" s="376">
        <v>2028</v>
      </c>
      <c r="F1359" s="376">
        <v>0.40444272241720852</v>
      </c>
      <c r="G1359" s="376">
        <v>8848.5269568257354</v>
      </c>
      <c r="H1359" s="376">
        <v>0.25601753086923207</v>
      </c>
      <c r="I1359" s="376">
        <v>0.85</v>
      </c>
    </row>
    <row r="1360" spans="1:9" x14ac:dyDescent="0.35">
      <c r="A1360" s="376" t="s">
        <v>1613</v>
      </c>
      <c r="B1360" s="376" t="s">
        <v>1609</v>
      </c>
      <c r="C1360" s="376" t="s">
        <v>628</v>
      </c>
      <c r="D1360" s="376">
        <v>2022</v>
      </c>
      <c r="E1360" s="376">
        <v>2028</v>
      </c>
      <c r="F1360" s="376">
        <v>0.40444272241720852</v>
      </c>
      <c r="G1360" s="376">
        <v>8848.5269568257354</v>
      </c>
      <c r="H1360" s="376">
        <v>0.25601753086923207</v>
      </c>
      <c r="I1360" s="376">
        <v>0.85</v>
      </c>
    </row>
    <row r="1361" spans="1:9" x14ac:dyDescent="0.35">
      <c r="A1361" s="376" t="s">
        <v>1613</v>
      </c>
      <c r="B1361" s="376" t="s">
        <v>1609</v>
      </c>
      <c r="C1361" s="376" t="s">
        <v>1051</v>
      </c>
      <c r="D1361" s="376">
        <v>2022</v>
      </c>
      <c r="E1361" s="376">
        <v>2028</v>
      </c>
      <c r="F1361" s="376">
        <v>0.40444272241720852</v>
      </c>
      <c r="G1361" s="376">
        <v>8848.5269568257354</v>
      </c>
      <c r="H1361" s="376">
        <v>0.25601753086923207</v>
      </c>
      <c r="I1361" s="376">
        <v>0.85</v>
      </c>
    </row>
    <row r="1362" spans="1:9" x14ac:dyDescent="0.35">
      <c r="A1362" s="376" t="s">
        <v>1613</v>
      </c>
      <c r="B1362" s="376" t="s">
        <v>1609</v>
      </c>
      <c r="C1362" s="376" t="s">
        <v>1054</v>
      </c>
      <c r="D1362" s="376">
        <v>2022</v>
      </c>
      <c r="E1362" s="376">
        <v>2028</v>
      </c>
      <c r="F1362" s="376">
        <v>0.40444272241720852</v>
      </c>
      <c r="G1362" s="376">
        <v>8848.5269568257354</v>
      </c>
      <c r="H1362" s="376">
        <v>0.25601753086923207</v>
      </c>
      <c r="I1362" s="376">
        <v>0.85</v>
      </c>
    </row>
    <row r="1363" spans="1:9" x14ac:dyDescent="0.35">
      <c r="A1363" s="376" t="s">
        <v>1613</v>
      </c>
      <c r="B1363" s="376" t="s">
        <v>1609</v>
      </c>
      <c r="C1363" s="376" t="s">
        <v>1046</v>
      </c>
      <c r="D1363" s="376">
        <v>2022</v>
      </c>
      <c r="E1363" s="376">
        <v>2029</v>
      </c>
      <c r="F1363" s="376">
        <v>0.40444272241720852</v>
      </c>
      <c r="G1363" s="376">
        <v>8848.5269568257354</v>
      </c>
      <c r="H1363" s="376">
        <v>0.25601753086923207</v>
      </c>
      <c r="I1363" s="376">
        <v>0.85</v>
      </c>
    </row>
    <row r="1364" spans="1:9" x14ac:dyDescent="0.35">
      <c r="A1364" s="376" t="s">
        <v>1613</v>
      </c>
      <c r="B1364" s="376" t="s">
        <v>1609</v>
      </c>
      <c r="C1364" s="376" t="s">
        <v>644</v>
      </c>
      <c r="D1364" s="376">
        <v>2022</v>
      </c>
      <c r="E1364" s="376">
        <v>2029</v>
      </c>
      <c r="F1364" s="376">
        <v>0.40444272241720852</v>
      </c>
      <c r="G1364" s="376">
        <v>8848.5269568257354</v>
      </c>
      <c r="H1364" s="376">
        <v>0.25601753086923207</v>
      </c>
      <c r="I1364" s="376">
        <v>0.85</v>
      </c>
    </row>
    <row r="1365" spans="1:9" x14ac:dyDescent="0.35">
      <c r="A1365" s="376" t="s">
        <v>1613</v>
      </c>
      <c r="B1365" s="376" t="s">
        <v>1609</v>
      </c>
      <c r="C1365" s="376" t="s">
        <v>628</v>
      </c>
      <c r="D1365" s="376">
        <v>2022</v>
      </c>
      <c r="E1365" s="376">
        <v>2029</v>
      </c>
      <c r="F1365" s="376">
        <v>0.40444272241720852</v>
      </c>
      <c r="G1365" s="376">
        <v>8848.5269568257354</v>
      </c>
      <c r="H1365" s="376">
        <v>0.25601753086923207</v>
      </c>
      <c r="I1365" s="376">
        <v>0.85</v>
      </c>
    </row>
    <row r="1366" spans="1:9" x14ac:dyDescent="0.35">
      <c r="A1366" s="376" t="s">
        <v>1613</v>
      </c>
      <c r="B1366" s="376" t="s">
        <v>1609</v>
      </c>
      <c r="C1366" s="376" t="s">
        <v>1051</v>
      </c>
      <c r="D1366" s="376">
        <v>2022</v>
      </c>
      <c r="E1366" s="376">
        <v>2029</v>
      </c>
      <c r="F1366" s="376">
        <v>0.40444272241720852</v>
      </c>
      <c r="G1366" s="376">
        <v>8848.5269568257354</v>
      </c>
      <c r="H1366" s="376">
        <v>0.25601753086923207</v>
      </c>
      <c r="I1366" s="376">
        <v>0.85</v>
      </c>
    </row>
    <row r="1367" spans="1:9" x14ac:dyDescent="0.35">
      <c r="A1367" s="376" t="s">
        <v>1613</v>
      </c>
      <c r="B1367" s="376" t="s">
        <v>1609</v>
      </c>
      <c r="C1367" s="376" t="s">
        <v>1054</v>
      </c>
      <c r="D1367" s="376">
        <v>2022</v>
      </c>
      <c r="E1367" s="376">
        <v>2029</v>
      </c>
      <c r="F1367" s="376">
        <v>0.40444272241720852</v>
      </c>
      <c r="G1367" s="376">
        <v>8848.5269568257354</v>
      </c>
      <c r="H1367" s="376">
        <v>0.25601753086923207</v>
      </c>
      <c r="I1367" s="376">
        <v>0.85</v>
      </c>
    </row>
    <row r="1368" spans="1:9" x14ac:dyDescent="0.35">
      <c r="A1368" s="376" t="s">
        <v>1613</v>
      </c>
      <c r="B1368" s="376" t="s">
        <v>1609</v>
      </c>
      <c r="C1368" s="376" t="s">
        <v>1046</v>
      </c>
      <c r="D1368" s="376">
        <v>2022</v>
      </c>
      <c r="E1368" s="376">
        <v>2030</v>
      </c>
      <c r="F1368" s="376">
        <v>0.40444272241720852</v>
      </c>
      <c r="G1368" s="376">
        <v>8848.5269568257354</v>
      </c>
      <c r="H1368" s="376">
        <v>0.25601753086923207</v>
      </c>
      <c r="I1368" s="376">
        <v>0.85</v>
      </c>
    </row>
    <row r="1369" spans="1:9" x14ac:dyDescent="0.35">
      <c r="A1369" s="376" t="s">
        <v>1613</v>
      </c>
      <c r="B1369" s="376" t="s">
        <v>1609</v>
      </c>
      <c r="C1369" s="376" t="s">
        <v>644</v>
      </c>
      <c r="D1369" s="376">
        <v>2022</v>
      </c>
      <c r="E1369" s="376">
        <v>2030</v>
      </c>
      <c r="F1369" s="376">
        <v>0.40444272241720852</v>
      </c>
      <c r="G1369" s="376">
        <v>8848.5269568257354</v>
      </c>
      <c r="H1369" s="376">
        <v>0.25601753086923207</v>
      </c>
      <c r="I1369" s="376">
        <v>0.85</v>
      </c>
    </row>
    <row r="1370" spans="1:9" x14ac:dyDescent="0.35">
      <c r="A1370" s="376" t="s">
        <v>1613</v>
      </c>
      <c r="B1370" s="376" t="s">
        <v>1609</v>
      </c>
      <c r="C1370" s="376" t="s">
        <v>628</v>
      </c>
      <c r="D1370" s="376">
        <v>2022</v>
      </c>
      <c r="E1370" s="376">
        <v>2030</v>
      </c>
      <c r="F1370" s="376">
        <v>0.40444272241720852</v>
      </c>
      <c r="G1370" s="376">
        <v>8848.5269568257354</v>
      </c>
      <c r="H1370" s="376">
        <v>0.25601753086923207</v>
      </c>
      <c r="I1370" s="376">
        <v>0.85</v>
      </c>
    </row>
    <row r="1371" spans="1:9" x14ac:dyDescent="0.35">
      <c r="A1371" s="376" t="s">
        <v>1613</v>
      </c>
      <c r="B1371" s="376" t="s">
        <v>1609</v>
      </c>
      <c r="C1371" s="376" t="s">
        <v>1051</v>
      </c>
      <c r="D1371" s="376">
        <v>2022</v>
      </c>
      <c r="E1371" s="376">
        <v>2030</v>
      </c>
      <c r="F1371" s="376">
        <v>0.40444272241720852</v>
      </c>
      <c r="G1371" s="376">
        <v>8848.5269568257354</v>
      </c>
      <c r="H1371" s="376">
        <v>0.25601753086923207</v>
      </c>
      <c r="I1371" s="376">
        <v>0.85</v>
      </c>
    </row>
    <row r="1372" spans="1:9" x14ac:dyDescent="0.35">
      <c r="A1372" s="376" t="s">
        <v>1613</v>
      </c>
      <c r="B1372" s="376" t="s">
        <v>1609</v>
      </c>
      <c r="C1372" s="376" t="s">
        <v>1054</v>
      </c>
      <c r="D1372" s="376">
        <v>2022</v>
      </c>
      <c r="E1372" s="376">
        <v>2030</v>
      </c>
      <c r="F1372" s="376">
        <v>0.40444272241720852</v>
      </c>
      <c r="G1372" s="376">
        <v>8848.5269568257354</v>
      </c>
      <c r="H1372" s="376">
        <v>0.25601753086923207</v>
      </c>
      <c r="I1372" s="376">
        <v>0.85</v>
      </c>
    </row>
    <row r="1373" spans="1:9" x14ac:dyDescent="0.35">
      <c r="A1373" s="376" t="s">
        <v>1613</v>
      </c>
      <c r="B1373" s="376" t="s">
        <v>1609</v>
      </c>
      <c r="C1373" s="376" t="s">
        <v>1046</v>
      </c>
      <c r="D1373" s="376">
        <v>2022</v>
      </c>
      <c r="E1373" s="376">
        <v>2031</v>
      </c>
      <c r="F1373" s="376">
        <v>0.40444272241720852</v>
      </c>
      <c r="G1373" s="376">
        <v>8848.5269568257354</v>
      </c>
      <c r="H1373" s="376">
        <v>0.25601753086923207</v>
      </c>
      <c r="I1373" s="376">
        <v>0.85</v>
      </c>
    </row>
    <row r="1374" spans="1:9" x14ac:dyDescent="0.35">
      <c r="A1374" s="376" t="s">
        <v>1613</v>
      </c>
      <c r="B1374" s="376" t="s">
        <v>1609</v>
      </c>
      <c r="C1374" s="376" t="s">
        <v>644</v>
      </c>
      <c r="D1374" s="376">
        <v>2022</v>
      </c>
      <c r="E1374" s="376">
        <v>2031</v>
      </c>
      <c r="F1374" s="376">
        <v>0.40444272241720852</v>
      </c>
      <c r="G1374" s="376">
        <v>8848.5269568257354</v>
      </c>
      <c r="H1374" s="376">
        <v>0.25601753086923207</v>
      </c>
      <c r="I1374" s="376">
        <v>0.85</v>
      </c>
    </row>
    <row r="1375" spans="1:9" x14ac:dyDescent="0.35">
      <c r="A1375" s="376" t="s">
        <v>1613</v>
      </c>
      <c r="B1375" s="376" t="s">
        <v>1609</v>
      </c>
      <c r="C1375" s="376" t="s">
        <v>628</v>
      </c>
      <c r="D1375" s="376">
        <v>2022</v>
      </c>
      <c r="E1375" s="376">
        <v>2031</v>
      </c>
      <c r="F1375" s="376">
        <v>0.40444272241720852</v>
      </c>
      <c r="G1375" s="376">
        <v>8848.5269568257354</v>
      </c>
      <c r="H1375" s="376">
        <v>0.25601753086923207</v>
      </c>
      <c r="I1375" s="376">
        <v>0.85</v>
      </c>
    </row>
    <row r="1376" spans="1:9" x14ac:dyDescent="0.35">
      <c r="A1376" s="376" t="s">
        <v>1613</v>
      </c>
      <c r="B1376" s="376" t="s">
        <v>1609</v>
      </c>
      <c r="C1376" s="376" t="s">
        <v>1051</v>
      </c>
      <c r="D1376" s="376">
        <v>2022</v>
      </c>
      <c r="E1376" s="376">
        <v>2031</v>
      </c>
      <c r="F1376" s="376">
        <v>0.40444272241720852</v>
      </c>
      <c r="G1376" s="376">
        <v>8848.5269568257354</v>
      </c>
      <c r="H1376" s="376">
        <v>0.25601753086923207</v>
      </c>
      <c r="I1376" s="376">
        <v>0.85</v>
      </c>
    </row>
    <row r="1377" spans="1:9" x14ac:dyDescent="0.35">
      <c r="A1377" s="376" t="s">
        <v>1613</v>
      </c>
      <c r="B1377" s="376" t="s">
        <v>1609</v>
      </c>
      <c r="C1377" s="376" t="s">
        <v>1054</v>
      </c>
      <c r="D1377" s="376">
        <v>2022</v>
      </c>
      <c r="E1377" s="376">
        <v>2031</v>
      </c>
      <c r="F1377" s="376">
        <v>0.40444272241720852</v>
      </c>
      <c r="G1377" s="376">
        <v>8848.5269568257354</v>
      </c>
      <c r="H1377" s="376">
        <v>0.25601753086923207</v>
      </c>
      <c r="I1377" s="376">
        <v>0.85</v>
      </c>
    </row>
    <row r="1378" spans="1:9" x14ac:dyDescent="0.35">
      <c r="A1378" s="376" t="s">
        <v>1614</v>
      </c>
      <c r="B1378" s="376" t="s">
        <v>1609</v>
      </c>
      <c r="C1378" s="376" t="s">
        <v>1046</v>
      </c>
      <c r="D1378" s="376">
        <v>2022</v>
      </c>
      <c r="E1378" s="376">
        <v>2022</v>
      </c>
      <c r="F1378" s="376">
        <v>0.28070162831646173</v>
      </c>
      <c r="G1378" s="376">
        <v>6454.3984013550207</v>
      </c>
      <c r="H1378" s="376">
        <v>0.25601753086923207</v>
      </c>
      <c r="I1378" s="376">
        <v>0.85</v>
      </c>
    </row>
    <row r="1379" spans="1:9" x14ac:dyDescent="0.35">
      <c r="A1379" s="376" t="s">
        <v>1614</v>
      </c>
      <c r="B1379" s="376" t="s">
        <v>1609</v>
      </c>
      <c r="C1379" s="376" t="s">
        <v>644</v>
      </c>
      <c r="D1379" s="376">
        <v>2022</v>
      </c>
      <c r="E1379" s="376">
        <v>2022</v>
      </c>
      <c r="F1379" s="376">
        <v>0.28070162831646173</v>
      </c>
      <c r="G1379" s="376">
        <v>6454.3984013550207</v>
      </c>
      <c r="H1379" s="376">
        <v>0.25601753086923207</v>
      </c>
      <c r="I1379" s="376">
        <v>0.85</v>
      </c>
    </row>
    <row r="1380" spans="1:9" x14ac:dyDescent="0.35">
      <c r="A1380" s="376" t="s">
        <v>1614</v>
      </c>
      <c r="B1380" s="376" t="s">
        <v>1609</v>
      </c>
      <c r="C1380" s="376" t="s">
        <v>628</v>
      </c>
      <c r="D1380" s="376">
        <v>2022</v>
      </c>
      <c r="E1380" s="376">
        <v>2022</v>
      </c>
      <c r="F1380" s="376">
        <v>0.28070162831646173</v>
      </c>
      <c r="G1380" s="376">
        <v>6454.3984013550207</v>
      </c>
      <c r="H1380" s="376">
        <v>0.25601753086923207</v>
      </c>
      <c r="I1380" s="376">
        <v>0.85</v>
      </c>
    </row>
    <row r="1381" spans="1:9" x14ac:dyDescent="0.35">
      <c r="A1381" s="376" t="s">
        <v>1614</v>
      </c>
      <c r="B1381" s="376" t="s">
        <v>1609</v>
      </c>
      <c r="C1381" s="376" t="s">
        <v>1051</v>
      </c>
      <c r="D1381" s="376">
        <v>2022</v>
      </c>
      <c r="E1381" s="376">
        <v>2022</v>
      </c>
      <c r="F1381" s="376">
        <v>0.28070162831646173</v>
      </c>
      <c r="G1381" s="376">
        <v>6454.3984013550207</v>
      </c>
      <c r="H1381" s="376">
        <v>0.25601753086923207</v>
      </c>
      <c r="I1381" s="376">
        <v>0.85</v>
      </c>
    </row>
    <row r="1382" spans="1:9" x14ac:dyDescent="0.35">
      <c r="A1382" s="376" t="s">
        <v>1614</v>
      </c>
      <c r="B1382" s="376" t="s">
        <v>1609</v>
      </c>
      <c r="C1382" s="376" t="s">
        <v>1054</v>
      </c>
      <c r="D1382" s="376">
        <v>2022</v>
      </c>
      <c r="E1382" s="376">
        <v>2022</v>
      </c>
      <c r="F1382" s="376">
        <v>0.28070162831646173</v>
      </c>
      <c r="G1382" s="376">
        <v>6454.3984013550207</v>
      </c>
      <c r="H1382" s="376">
        <v>0.25601753086923207</v>
      </c>
      <c r="I1382" s="376">
        <v>0.85</v>
      </c>
    </row>
    <row r="1383" spans="1:9" x14ac:dyDescent="0.35">
      <c r="A1383" s="376" t="s">
        <v>1614</v>
      </c>
      <c r="B1383" s="376" t="s">
        <v>1609</v>
      </c>
      <c r="C1383" s="376" t="s">
        <v>1046</v>
      </c>
      <c r="D1383" s="376">
        <v>2022</v>
      </c>
      <c r="E1383" s="376">
        <v>2023</v>
      </c>
      <c r="F1383" s="376">
        <v>0.28070162831646173</v>
      </c>
      <c r="G1383" s="376">
        <v>6454.3984013550207</v>
      </c>
      <c r="H1383" s="376">
        <v>0.25601753086923207</v>
      </c>
      <c r="I1383" s="376">
        <v>0.85</v>
      </c>
    </row>
    <row r="1384" spans="1:9" x14ac:dyDescent="0.35">
      <c r="A1384" s="376" t="s">
        <v>1614</v>
      </c>
      <c r="B1384" s="376" t="s">
        <v>1609</v>
      </c>
      <c r="C1384" s="376" t="s">
        <v>644</v>
      </c>
      <c r="D1384" s="376">
        <v>2022</v>
      </c>
      <c r="E1384" s="376">
        <v>2023</v>
      </c>
      <c r="F1384" s="376">
        <v>0.28070162831646173</v>
      </c>
      <c r="G1384" s="376">
        <v>6454.3984013550207</v>
      </c>
      <c r="H1384" s="376">
        <v>0.25601753086923207</v>
      </c>
      <c r="I1384" s="376">
        <v>0.85</v>
      </c>
    </row>
    <row r="1385" spans="1:9" x14ac:dyDescent="0.35">
      <c r="A1385" s="376" t="s">
        <v>1614</v>
      </c>
      <c r="B1385" s="376" t="s">
        <v>1609</v>
      </c>
      <c r="C1385" s="376" t="s">
        <v>628</v>
      </c>
      <c r="D1385" s="376">
        <v>2022</v>
      </c>
      <c r="E1385" s="376">
        <v>2023</v>
      </c>
      <c r="F1385" s="376">
        <v>0.28070162831646173</v>
      </c>
      <c r="G1385" s="376">
        <v>6454.3984013550207</v>
      </c>
      <c r="H1385" s="376">
        <v>0.25601753086923207</v>
      </c>
      <c r="I1385" s="376">
        <v>0.85</v>
      </c>
    </row>
    <row r="1386" spans="1:9" x14ac:dyDescent="0.35">
      <c r="A1386" s="376" t="s">
        <v>1614</v>
      </c>
      <c r="B1386" s="376" t="s">
        <v>1609</v>
      </c>
      <c r="C1386" s="376" t="s">
        <v>1051</v>
      </c>
      <c r="D1386" s="376">
        <v>2022</v>
      </c>
      <c r="E1386" s="376">
        <v>2023</v>
      </c>
      <c r="F1386" s="376">
        <v>0.28070162831646173</v>
      </c>
      <c r="G1386" s="376">
        <v>6454.3984013550207</v>
      </c>
      <c r="H1386" s="376">
        <v>0.25601753086923207</v>
      </c>
      <c r="I1386" s="376">
        <v>0.85</v>
      </c>
    </row>
    <row r="1387" spans="1:9" x14ac:dyDescent="0.35">
      <c r="A1387" s="376" t="s">
        <v>1614</v>
      </c>
      <c r="B1387" s="376" t="s">
        <v>1609</v>
      </c>
      <c r="C1387" s="376" t="s">
        <v>1054</v>
      </c>
      <c r="D1387" s="376">
        <v>2022</v>
      </c>
      <c r="E1387" s="376">
        <v>2023</v>
      </c>
      <c r="F1387" s="376">
        <v>0.28070162831646173</v>
      </c>
      <c r="G1387" s="376">
        <v>6454.3984013550207</v>
      </c>
      <c r="H1387" s="376">
        <v>0.25601753086923207</v>
      </c>
      <c r="I1387" s="376">
        <v>0.85</v>
      </c>
    </row>
    <row r="1388" spans="1:9" x14ac:dyDescent="0.35">
      <c r="A1388" s="376" t="s">
        <v>1614</v>
      </c>
      <c r="B1388" s="376" t="s">
        <v>1609</v>
      </c>
      <c r="C1388" s="376" t="s">
        <v>1046</v>
      </c>
      <c r="D1388" s="376">
        <v>2022</v>
      </c>
      <c r="E1388" s="376">
        <v>2024</v>
      </c>
      <c r="F1388" s="376">
        <v>0.28070162831646173</v>
      </c>
      <c r="G1388" s="376">
        <v>6454.3984013550207</v>
      </c>
      <c r="H1388" s="376">
        <v>0.25601753086923207</v>
      </c>
      <c r="I1388" s="376">
        <v>0.85</v>
      </c>
    </row>
    <row r="1389" spans="1:9" x14ac:dyDescent="0.35">
      <c r="A1389" s="376" t="s">
        <v>1614</v>
      </c>
      <c r="B1389" s="376" t="s">
        <v>1609</v>
      </c>
      <c r="C1389" s="376" t="s">
        <v>644</v>
      </c>
      <c r="D1389" s="376">
        <v>2022</v>
      </c>
      <c r="E1389" s="376">
        <v>2024</v>
      </c>
      <c r="F1389" s="376">
        <v>0.28070162831646173</v>
      </c>
      <c r="G1389" s="376">
        <v>6454.3984013550207</v>
      </c>
      <c r="H1389" s="376">
        <v>0.25601753086923207</v>
      </c>
      <c r="I1389" s="376">
        <v>0.85</v>
      </c>
    </row>
    <row r="1390" spans="1:9" x14ac:dyDescent="0.35">
      <c r="A1390" s="376" t="s">
        <v>1614</v>
      </c>
      <c r="B1390" s="376" t="s">
        <v>1609</v>
      </c>
      <c r="C1390" s="376" t="s">
        <v>628</v>
      </c>
      <c r="D1390" s="376">
        <v>2022</v>
      </c>
      <c r="E1390" s="376">
        <v>2024</v>
      </c>
      <c r="F1390" s="376">
        <v>0.28070162831646173</v>
      </c>
      <c r="G1390" s="376">
        <v>6454.3984013550207</v>
      </c>
      <c r="H1390" s="376">
        <v>0.25601753086923207</v>
      </c>
      <c r="I1390" s="376">
        <v>0.85</v>
      </c>
    </row>
    <row r="1391" spans="1:9" x14ac:dyDescent="0.35">
      <c r="A1391" s="376" t="s">
        <v>1614</v>
      </c>
      <c r="B1391" s="376" t="s">
        <v>1609</v>
      </c>
      <c r="C1391" s="376" t="s">
        <v>1051</v>
      </c>
      <c r="D1391" s="376">
        <v>2022</v>
      </c>
      <c r="E1391" s="376">
        <v>2024</v>
      </c>
      <c r="F1391" s="376">
        <v>0.28070162831646173</v>
      </c>
      <c r="G1391" s="376">
        <v>6454.3984013550207</v>
      </c>
      <c r="H1391" s="376">
        <v>0.25601753086923207</v>
      </c>
      <c r="I1391" s="376">
        <v>0.85</v>
      </c>
    </row>
    <row r="1392" spans="1:9" x14ac:dyDescent="0.35">
      <c r="A1392" s="376" t="s">
        <v>1614</v>
      </c>
      <c r="B1392" s="376" t="s">
        <v>1609</v>
      </c>
      <c r="C1392" s="376" t="s">
        <v>1054</v>
      </c>
      <c r="D1392" s="376">
        <v>2022</v>
      </c>
      <c r="E1392" s="376">
        <v>2024</v>
      </c>
      <c r="F1392" s="376">
        <v>0.28070162831646173</v>
      </c>
      <c r="G1392" s="376">
        <v>6454.3984013550207</v>
      </c>
      <c r="H1392" s="376">
        <v>0.25601753086923207</v>
      </c>
      <c r="I1392" s="376">
        <v>0.85</v>
      </c>
    </row>
    <row r="1393" spans="1:9" x14ac:dyDescent="0.35">
      <c r="A1393" s="376" t="s">
        <v>1614</v>
      </c>
      <c r="B1393" s="376" t="s">
        <v>1609</v>
      </c>
      <c r="C1393" s="376" t="s">
        <v>1046</v>
      </c>
      <c r="D1393" s="376">
        <v>2022</v>
      </c>
      <c r="E1393" s="376">
        <v>2025</v>
      </c>
      <c r="F1393" s="376">
        <v>0.28070162831646173</v>
      </c>
      <c r="G1393" s="376">
        <v>6454.3984013550207</v>
      </c>
      <c r="H1393" s="376">
        <v>0.25601753086923207</v>
      </c>
      <c r="I1393" s="376">
        <v>0.85</v>
      </c>
    </row>
    <row r="1394" spans="1:9" x14ac:dyDescent="0.35">
      <c r="A1394" s="376" t="s">
        <v>1614</v>
      </c>
      <c r="B1394" s="376" t="s">
        <v>1609</v>
      </c>
      <c r="C1394" s="376" t="s">
        <v>644</v>
      </c>
      <c r="D1394" s="376">
        <v>2022</v>
      </c>
      <c r="E1394" s="376">
        <v>2025</v>
      </c>
      <c r="F1394" s="376">
        <v>0.28070162831646173</v>
      </c>
      <c r="G1394" s="376">
        <v>6454.3984013550207</v>
      </c>
      <c r="H1394" s="376">
        <v>0.25601753086923207</v>
      </c>
      <c r="I1394" s="376">
        <v>0.85</v>
      </c>
    </row>
    <row r="1395" spans="1:9" x14ac:dyDescent="0.35">
      <c r="A1395" s="376" t="s">
        <v>1614</v>
      </c>
      <c r="B1395" s="376" t="s">
        <v>1609</v>
      </c>
      <c r="C1395" s="376" t="s">
        <v>628</v>
      </c>
      <c r="D1395" s="376">
        <v>2022</v>
      </c>
      <c r="E1395" s="376">
        <v>2025</v>
      </c>
      <c r="F1395" s="376">
        <v>0.28070162831646173</v>
      </c>
      <c r="G1395" s="376">
        <v>6454.3984013550207</v>
      </c>
      <c r="H1395" s="376">
        <v>0.25601753086923207</v>
      </c>
      <c r="I1395" s="376">
        <v>0.85</v>
      </c>
    </row>
    <row r="1396" spans="1:9" x14ac:dyDescent="0.35">
      <c r="A1396" s="376" t="s">
        <v>1614</v>
      </c>
      <c r="B1396" s="376" t="s">
        <v>1609</v>
      </c>
      <c r="C1396" s="376" t="s">
        <v>1051</v>
      </c>
      <c r="D1396" s="376">
        <v>2022</v>
      </c>
      <c r="E1396" s="376">
        <v>2025</v>
      </c>
      <c r="F1396" s="376">
        <v>0.28070162831646173</v>
      </c>
      <c r="G1396" s="376">
        <v>6454.3984013550207</v>
      </c>
      <c r="H1396" s="376">
        <v>0.25601753086923207</v>
      </c>
      <c r="I1396" s="376">
        <v>0.85</v>
      </c>
    </row>
    <row r="1397" spans="1:9" x14ac:dyDescent="0.35">
      <c r="A1397" s="376" t="s">
        <v>1614</v>
      </c>
      <c r="B1397" s="376" t="s">
        <v>1609</v>
      </c>
      <c r="C1397" s="376" t="s">
        <v>1054</v>
      </c>
      <c r="D1397" s="376">
        <v>2022</v>
      </c>
      <c r="E1397" s="376">
        <v>2025</v>
      </c>
      <c r="F1397" s="376">
        <v>0.28070162831646173</v>
      </c>
      <c r="G1397" s="376">
        <v>6454.3984013550207</v>
      </c>
      <c r="H1397" s="376">
        <v>0.25601753086923207</v>
      </c>
      <c r="I1397" s="376">
        <v>0.85</v>
      </c>
    </row>
    <row r="1398" spans="1:9" x14ac:dyDescent="0.35">
      <c r="A1398" s="376" t="s">
        <v>1614</v>
      </c>
      <c r="B1398" s="376" t="s">
        <v>1609</v>
      </c>
      <c r="C1398" s="376" t="s">
        <v>1046</v>
      </c>
      <c r="D1398" s="376">
        <v>2022</v>
      </c>
      <c r="E1398" s="376">
        <v>2026</v>
      </c>
      <c r="F1398" s="376">
        <v>0.28070162831646173</v>
      </c>
      <c r="G1398" s="376">
        <v>6454.3984013550207</v>
      </c>
      <c r="H1398" s="376">
        <v>0.25601753086923207</v>
      </c>
      <c r="I1398" s="376">
        <v>0.85</v>
      </c>
    </row>
    <row r="1399" spans="1:9" x14ac:dyDescent="0.35">
      <c r="A1399" s="376" t="s">
        <v>1614</v>
      </c>
      <c r="B1399" s="376" t="s">
        <v>1609</v>
      </c>
      <c r="C1399" s="376" t="s">
        <v>644</v>
      </c>
      <c r="D1399" s="376">
        <v>2022</v>
      </c>
      <c r="E1399" s="376">
        <v>2026</v>
      </c>
      <c r="F1399" s="376">
        <v>0.28070162831646173</v>
      </c>
      <c r="G1399" s="376">
        <v>6454.3984013550207</v>
      </c>
      <c r="H1399" s="376">
        <v>0.25601753086923207</v>
      </c>
      <c r="I1399" s="376">
        <v>0.85</v>
      </c>
    </row>
    <row r="1400" spans="1:9" x14ac:dyDescent="0.35">
      <c r="A1400" s="376" t="s">
        <v>1614</v>
      </c>
      <c r="B1400" s="376" t="s">
        <v>1609</v>
      </c>
      <c r="C1400" s="376" t="s">
        <v>628</v>
      </c>
      <c r="D1400" s="376">
        <v>2022</v>
      </c>
      <c r="E1400" s="376">
        <v>2026</v>
      </c>
      <c r="F1400" s="376">
        <v>0.28070162831646173</v>
      </c>
      <c r="G1400" s="376">
        <v>6454.3984013550207</v>
      </c>
      <c r="H1400" s="376">
        <v>0.25601753086923207</v>
      </c>
      <c r="I1400" s="376">
        <v>0.85</v>
      </c>
    </row>
    <row r="1401" spans="1:9" x14ac:dyDescent="0.35">
      <c r="A1401" s="376" t="s">
        <v>1614</v>
      </c>
      <c r="B1401" s="376" t="s">
        <v>1609</v>
      </c>
      <c r="C1401" s="376" t="s">
        <v>1051</v>
      </c>
      <c r="D1401" s="376">
        <v>2022</v>
      </c>
      <c r="E1401" s="376">
        <v>2026</v>
      </c>
      <c r="F1401" s="376">
        <v>0.28070162831646173</v>
      </c>
      <c r="G1401" s="376">
        <v>6454.3984013550207</v>
      </c>
      <c r="H1401" s="376">
        <v>0.25601753086923207</v>
      </c>
      <c r="I1401" s="376">
        <v>0.85</v>
      </c>
    </row>
    <row r="1402" spans="1:9" x14ac:dyDescent="0.35">
      <c r="A1402" s="376" t="s">
        <v>1614</v>
      </c>
      <c r="B1402" s="376" t="s">
        <v>1609</v>
      </c>
      <c r="C1402" s="376" t="s">
        <v>1054</v>
      </c>
      <c r="D1402" s="376">
        <v>2022</v>
      </c>
      <c r="E1402" s="376">
        <v>2026</v>
      </c>
      <c r="F1402" s="376">
        <v>0.28070162831646173</v>
      </c>
      <c r="G1402" s="376">
        <v>6454.3984013550207</v>
      </c>
      <c r="H1402" s="376">
        <v>0.25601753086923207</v>
      </c>
      <c r="I1402" s="376">
        <v>0.85</v>
      </c>
    </row>
    <row r="1403" spans="1:9" x14ac:dyDescent="0.35">
      <c r="A1403" s="376" t="s">
        <v>1614</v>
      </c>
      <c r="B1403" s="376" t="s">
        <v>1609</v>
      </c>
      <c r="C1403" s="376" t="s">
        <v>1046</v>
      </c>
      <c r="D1403" s="376">
        <v>2022</v>
      </c>
      <c r="E1403" s="376">
        <v>2027</v>
      </c>
      <c r="F1403" s="376">
        <v>0.28070162831646173</v>
      </c>
      <c r="G1403" s="376">
        <v>6454.3984013550207</v>
      </c>
      <c r="H1403" s="376">
        <v>0.25601753086923207</v>
      </c>
      <c r="I1403" s="376">
        <v>0.85</v>
      </c>
    </row>
    <row r="1404" spans="1:9" x14ac:dyDescent="0.35">
      <c r="A1404" s="376" t="s">
        <v>1614</v>
      </c>
      <c r="B1404" s="376" t="s">
        <v>1609</v>
      </c>
      <c r="C1404" s="376" t="s">
        <v>644</v>
      </c>
      <c r="D1404" s="376">
        <v>2022</v>
      </c>
      <c r="E1404" s="376">
        <v>2027</v>
      </c>
      <c r="F1404" s="376">
        <v>0.28070162831646173</v>
      </c>
      <c r="G1404" s="376">
        <v>6454.3984013550207</v>
      </c>
      <c r="H1404" s="376">
        <v>0.25601753086923207</v>
      </c>
      <c r="I1404" s="376">
        <v>0.85</v>
      </c>
    </row>
    <row r="1405" spans="1:9" x14ac:dyDescent="0.35">
      <c r="A1405" s="376" t="s">
        <v>1614</v>
      </c>
      <c r="B1405" s="376" t="s">
        <v>1609</v>
      </c>
      <c r="C1405" s="376" t="s">
        <v>628</v>
      </c>
      <c r="D1405" s="376">
        <v>2022</v>
      </c>
      <c r="E1405" s="376">
        <v>2027</v>
      </c>
      <c r="F1405" s="376">
        <v>0.28070162831646173</v>
      </c>
      <c r="G1405" s="376">
        <v>6454.3984013550207</v>
      </c>
      <c r="H1405" s="376">
        <v>0.25601753086923207</v>
      </c>
      <c r="I1405" s="376">
        <v>0.85</v>
      </c>
    </row>
    <row r="1406" spans="1:9" x14ac:dyDescent="0.35">
      <c r="A1406" s="376" t="s">
        <v>1614</v>
      </c>
      <c r="B1406" s="376" t="s">
        <v>1609</v>
      </c>
      <c r="C1406" s="376" t="s">
        <v>1051</v>
      </c>
      <c r="D1406" s="376">
        <v>2022</v>
      </c>
      <c r="E1406" s="376">
        <v>2027</v>
      </c>
      <c r="F1406" s="376">
        <v>0.28070162831646173</v>
      </c>
      <c r="G1406" s="376">
        <v>6454.3984013550207</v>
      </c>
      <c r="H1406" s="376">
        <v>0.25601753086923207</v>
      </c>
      <c r="I1406" s="376">
        <v>0.85</v>
      </c>
    </row>
    <row r="1407" spans="1:9" x14ac:dyDescent="0.35">
      <c r="A1407" s="376" t="s">
        <v>1614</v>
      </c>
      <c r="B1407" s="376" t="s">
        <v>1609</v>
      </c>
      <c r="C1407" s="376" t="s">
        <v>1054</v>
      </c>
      <c r="D1407" s="376">
        <v>2022</v>
      </c>
      <c r="E1407" s="376">
        <v>2027</v>
      </c>
      <c r="F1407" s="376">
        <v>0.28070162831646173</v>
      </c>
      <c r="G1407" s="376">
        <v>6454.3984013550207</v>
      </c>
      <c r="H1407" s="376">
        <v>0.25601753086923207</v>
      </c>
      <c r="I1407" s="376">
        <v>0.85</v>
      </c>
    </row>
    <row r="1408" spans="1:9" x14ac:dyDescent="0.35">
      <c r="A1408" s="376" t="s">
        <v>1614</v>
      </c>
      <c r="B1408" s="376" t="s">
        <v>1609</v>
      </c>
      <c r="C1408" s="376" t="s">
        <v>1046</v>
      </c>
      <c r="D1408" s="376">
        <v>2022</v>
      </c>
      <c r="E1408" s="376">
        <v>2028</v>
      </c>
      <c r="F1408" s="376">
        <v>0.28070162831646173</v>
      </c>
      <c r="G1408" s="376">
        <v>6454.3984013550207</v>
      </c>
      <c r="H1408" s="376">
        <v>0.25601753086923207</v>
      </c>
      <c r="I1408" s="376">
        <v>0.85</v>
      </c>
    </row>
    <row r="1409" spans="1:9" x14ac:dyDescent="0.35">
      <c r="A1409" s="376" t="s">
        <v>1614</v>
      </c>
      <c r="B1409" s="376" t="s">
        <v>1609</v>
      </c>
      <c r="C1409" s="376" t="s">
        <v>644</v>
      </c>
      <c r="D1409" s="376">
        <v>2022</v>
      </c>
      <c r="E1409" s="376">
        <v>2028</v>
      </c>
      <c r="F1409" s="376">
        <v>0.28070162831646173</v>
      </c>
      <c r="G1409" s="376">
        <v>6454.3984013550207</v>
      </c>
      <c r="H1409" s="376">
        <v>0.25601753086923207</v>
      </c>
      <c r="I1409" s="376">
        <v>0.85</v>
      </c>
    </row>
    <row r="1410" spans="1:9" x14ac:dyDescent="0.35">
      <c r="A1410" s="376" t="s">
        <v>1614</v>
      </c>
      <c r="B1410" s="376" t="s">
        <v>1609</v>
      </c>
      <c r="C1410" s="376" t="s">
        <v>628</v>
      </c>
      <c r="D1410" s="376">
        <v>2022</v>
      </c>
      <c r="E1410" s="376">
        <v>2028</v>
      </c>
      <c r="F1410" s="376">
        <v>0.28070162831646173</v>
      </c>
      <c r="G1410" s="376">
        <v>6454.3984013550207</v>
      </c>
      <c r="H1410" s="376">
        <v>0.25601753086923207</v>
      </c>
      <c r="I1410" s="376">
        <v>0.85</v>
      </c>
    </row>
    <row r="1411" spans="1:9" x14ac:dyDescent="0.35">
      <c r="A1411" s="376" t="s">
        <v>1614</v>
      </c>
      <c r="B1411" s="376" t="s">
        <v>1609</v>
      </c>
      <c r="C1411" s="376" t="s">
        <v>1051</v>
      </c>
      <c r="D1411" s="376">
        <v>2022</v>
      </c>
      <c r="E1411" s="376">
        <v>2028</v>
      </c>
      <c r="F1411" s="376">
        <v>0.28070162831646173</v>
      </c>
      <c r="G1411" s="376">
        <v>6454.3984013550207</v>
      </c>
      <c r="H1411" s="376">
        <v>0.25601753086923207</v>
      </c>
      <c r="I1411" s="376">
        <v>0.85</v>
      </c>
    </row>
    <row r="1412" spans="1:9" x14ac:dyDescent="0.35">
      <c r="A1412" s="376" t="s">
        <v>1614</v>
      </c>
      <c r="B1412" s="376" t="s">
        <v>1609</v>
      </c>
      <c r="C1412" s="376" t="s">
        <v>1054</v>
      </c>
      <c r="D1412" s="376">
        <v>2022</v>
      </c>
      <c r="E1412" s="376">
        <v>2028</v>
      </c>
      <c r="F1412" s="376">
        <v>0.28070162831646173</v>
      </c>
      <c r="G1412" s="376">
        <v>6454.3984013550207</v>
      </c>
      <c r="H1412" s="376">
        <v>0.25601753086923207</v>
      </c>
      <c r="I1412" s="376">
        <v>0.85</v>
      </c>
    </row>
    <row r="1413" spans="1:9" x14ac:dyDescent="0.35">
      <c r="A1413" s="376" t="s">
        <v>1614</v>
      </c>
      <c r="B1413" s="376" t="s">
        <v>1609</v>
      </c>
      <c r="C1413" s="376" t="s">
        <v>1046</v>
      </c>
      <c r="D1413" s="376">
        <v>2022</v>
      </c>
      <c r="E1413" s="376">
        <v>2029</v>
      </c>
      <c r="F1413" s="376">
        <v>0.28070162831646173</v>
      </c>
      <c r="G1413" s="376">
        <v>6454.3984013550207</v>
      </c>
      <c r="H1413" s="376">
        <v>0.25601753086923207</v>
      </c>
      <c r="I1413" s="376">
        <v>0.85</v>
      </c>
    </row>
    <row r="1414" spans="1:9" x14ac:dyDescent="0.35">
      <c r="A1414" s="376" t="s">
        <v>1614</v>
      </c>
      <c r="B1414" s="376" t="s">
        <v>1609</v>
      </c>
      <c r="C1414" s="376" t="s">
        <v>644</v>
      </c>
      <c r="D1414" s="376">
        <v>2022</v>
      </c>
      <c r="E1414" s="376">
        <v>2029</v>
      </c>
      <c r="F1414" s="376">
        <v>0.28070162831646173</v>
      </c>
      <c r="G1414" s="376">
        <v>6454.3984013550207</v>
      </c>
      <c r="H1414" s="376">
        <v>0.25601753086923207</v>
      </c>
      <c r="I1414" s="376">
        <v>0.85</v>
      </c>
    </row>
    <row r="1415" spans="1:9" x14ac:dyDescent="0.35">
      <c r="A1415" s="376" t="s">
        <v>1614</v>
      </c>
      <c r="B1415" s="376" t="s">
        <v>1609</v>
      </c>
      <c r="C1415" s="376" t="s">
        <v>628</v>
      </c>
      <c r="D1415" s="376">
        <v>2022</v>
      </c>
      <c r="E1415" s="376">
        <v>2029</v>
      </c>
      <c r="F1415" s="376">
        <v>0.28070162831646173</v>
      </c>
      <c r="G1415" s="376">
        <v>6454.3984013550207</v>
      </c>
      <c r="H1415" s="376">
        <v>0.25601753086923207</v>
      </c>
      <c r="I1415" s="376">
        <v>0.85</v>
      </c>
    </row>
    <row r="1416" spans="1:9" x14ac:dyDescent="0.35">
      <c r="A1416" s="376" t="s">
        <v>1614</v>
      </c>
      <c r="B1416" s="376" t="s">
        <v>1609</v>
      </c>
      <c r="C1416" s="376" t="s">
        <v>1051</v>
      </c>
      <c r="D1416" s="376">
        <v>2022</v>
      </c>
      <c r="E1416" s="376">
        <v>2029</v>
      </c>
      <c r="F1416" s="376">
        <v>0.28070162831646173</v>
      </c>
      <c r="G1416" s="376">
        <v>6454.3984013550207</v>
      </c>
      <c r="H1416" s="376">
        <v>0.25601753086923207</v>
      </c>
      <c r="I1416" s="376">
        <v>0.85</v>
      </c>
    </row>
    <row r="1417" spans="1:9" x14ac:dyDescent="0.35">
      <c r="A1417" s="376" t="s">
        <v>1614</v>
      </c>
      <c r="B1417" s="376" t="s">
        <v>1609</v>
      </c>
      <c r="C1417" s="376" t="s">
        <v>1054</v>
      </c>
      <c r="D1417" s="376">
        <v>2022</v>
      </c>
      <c r="E1417" s="376">
        <v>2029</v>
      </c>
      <c r="F1417" s="376">
        <v>0.28070162831646173</v>
      </c>
      <c r="G1417" s="376">
        <v>6454.3984013550207</v>
      </c>
      <c r="H1417" s="376">
        <v>0.25601753086923207</v>
      </c>
      <c r="I1417" s="376">
        <v>0.85</v>
      </c>
    </row>
    <row r="1418" spans="1:9" x14ac:dyDescent="0.35">
      <c r="A1418" s="376" t="s">
        <v>1614</v>
      </c>
      <c r="B1418" s="376" t="s">
        <v>1609</v>
      </c>
      <c r="C1418" s="376" t="s">
        <v>1046</v>
      </c>
      <c r="D1418" s="376">
        <v>2022</v>
      </c>
      <c r="E1418" s="376">
        <v>2030</v>
      </c>
      <c r="F1418" s="376">
        <v>0.28070162831646173</v>
      </c>
      <c r="G1418" s="376">
        <v>6454.3984013550207</v>
      </c>
      <c r="H1418" s="376">
        <v>0.25601753086923207</v>
      </c>
      <c r="I1418" s="376">
        <v>0.85</v>
      </c>
    </row>
    <row r="1419" spans="1:9" x14ac:dyDescent="0.35">
      <c r="A1419" s="376" t="s">
        <v>1614</v>
      </c>
      <c r="B1419" s="376" t="s">
        <v>1609</v>
      </c>
      <c r="C1419" s="376" t="s">
        <v>644</v>
      </c>
      <c r="D1419" s="376">
        <v>2022</v>
      </c>
      <c r="E1419" s="376">
        <v>2030</v>
      </c>
      <c r="F1419" s="376">
        <v>0.28070162831646173</v>
      </c>
      <c r="G1419" s="376">
        <v>6454.3984013550207</v>
      </c>
      <c r="H1419" s="376">
        <v>0.25601753086923207</v>
      </c>
      <c r="I1419" s="376">
        <v>0.85</v>
      </c>
    </row>
    <row r="1420" spans="1:9" x14ac:dyDescent="0.35">
      <c r="A1420" s="376" t="s">
        <v>1614</v>
      </c>
      <c r="B1420" s="376" t="s">
        <v>1609</v>
      </c>
      <c r="C1420" s="376" t="s">
        <v>628</v>
      </c>
      <c r="D1420" s="376">
        <v>2022</v>
      </c>
      <c r="E1420" s="376">
        <v>2030</v>
      </c>
      <c r="F1420" s="376">
        <v>0.28070162831646173</v>
      </c>
      <c r="G1420" s="376">
        <v>6454.3984013550207</v>
      </c>
      <c r="H1420" s="376">
        <v>0.25601753086923207</v>
      </c>
      <c r="I1420" s="376">
        <v>0.85</v>
      </c>
    </row>
    <row r="1421" spans="1:9" x14ac:dyDescent="0.35">
      <c r="A1421" s="376" t="s">
        <v>1614</v>
      </c>
      <c r="B1421" s="376" t="s">
        <v>1609</v>
      </c>
      <c r="C1421" s="376" t="s">
        <v>1051</v>
      </c>
      <c r="D1421" s="376">
        <v>2022</v>
      </c>
      <c r="E1421" s="376">
        <v>2030</v>
      </c>
      <c r="F1421" s="376">
        <v>0.28070162831646173</v>
      </c>
      <c r="G1421" s="376">
        <v>6454.3984013550207</v>
      </c>
      <c r="H1421" s="376">
        <v>0.25601753086923207</v>
      </c>
      <c r="I1421" s="376">
        <v>0.85</v>
      </c>
    </row>
    <row r="1422" spans="1:9" x14ac:dyDescent="0.35">
      <c r="A1422" s="376" t="s">
        <v>1614</v>
      </c>
      <c r="B1422" s="376" t="s">
        <v>1609</v>
      </c>
      <c r="C1422" s="376" t="s">
        <v>1054</v>
      </c>
      <c r="D1422" s="376">
        <v>2022</v>
      </c>
      <c r="E1422" s="376">
        <v>2030</v>
      </c>
      <c r="F1422" s="376">
        <v>0.28070162831646173</v>
      </c>
      <c r="G1422" s="376">
        <v>6454.3984013550207</v>
      </c>
      <c r="H1422" s="376">
        <v>0.25601753086923207</v>
      </c>
      <c r="I1422" s="376">
        <v>0.85</v>
      </c>
    </row>
    <row r="1423" spans="1:9" x14ac:dyDescent="0.35">
      <c r="A1423" s="376" t="s">
        <v>1614</v>
      </c>
      <c r="B1423" s="376" t="s">
        <v>1609</v>
      </c>
      <c r="C1423" s="376" t="s">
        <v>1046</v>
      </c>
      <c r="D1423" s="376">
        <v>2022</v>
      </c>
      <c r="E1423" s="376">
        <v>2031</v>
      </c>
      <c r="F1423" s="376">
        <v>0.28070162831646173</v>
      </c>
      <c r="G1423" s="376">
        <v>6454.3984013550207</v>
      </c>
      <c r="H1423" s="376">
        <v>0.25601753086923207</v>
      </c>
      <c r="I1423" s="376">
        <v>0.85</v>
      </c>
    </row>
    <row r="1424" spans="1:9" x14ac:dyDescent="0.35">
      <c r="A1424" s="376" t="s">
        <v>1614</v>
      </c>
      <c r="B1424" s="376" t="s">
        <v>1609</v>
      </c>
      <c r="C1424" s="376" t="s">
        <v>644</v>
      </c>
      <c r="D1424" s="376">
        <v>2022</v>
      </c>
      <c r="E1424" s="376">
        <v>2031</v>
      </c>
      <c r="F1424" s="376">
        <v>0.28070162831646173</v>
      </c>
      <c r="G1424" s="376">
        <v>6454.3984013550207</v>
      </c>
      <c r="H1424" s="376">
        <v>0.25601753086923207</v>
      </c>
      <c r="I1424" s="376">
        <v>0.85</v>
      </c>
    </row>
    <row r="1425" spans="1:9" x14ac:dyDescent="0.35">
      <c r="A1425" s="376" t="s">
        <v>1614</v>
      </c>
      <c r="B1425" s="376" t="s">
        <v>1609</v>
      </c>
      <c r="C1425" s="376" t="s">
        <v>628</v>
      </c>
      <c r="D1425" s="376">
        <v>2022</v>
      </c>
      <c r="E1425" s="376">
        <v>2031</v>
      </c>
      <c r="F1425" s="376">
        <v>0.28070162831646173</v>
      </c>
      <c r="G1425" s="376">
        <v>6454.3984013550207</v>
      </c>
      <c r="H1425" s="376">
        <v>0.25601753086923207</v>
      </c>
      <c r="I1425" s="376">
        <v>0.85</v>
      </c>
    </row>
    <row r="1426" spans="1:9" x14ac:dyDescent="0.35">
      <c r="A1426" s="376" t="s">
        <v>1614</v>
      </c>
      <c r="B1426" s="376" t="s">
        <v>1609</v>
      </c>
      <c r="C1426" s="376" t="s">
        <v>1051</v>
      </c>
      <c r="D1426" s="376">
        <v>2022</v>
      </c>
      <c r="E1426" s="376">
        <v>2031</v>
      </c>
      <c r="F1426" s="376">
        <v>0.28070162831646173</v>
      </c>
      <c r="G1426" s="376">
        <v>6454.3984013550207</v>
      </c>
      <c r="H1426" s="376">
        <v>0.25601753086923207</v>
      </c>
      <c r="I1426" s="376">
        <v>0.85</v>
      </c>
    </row>
    <row r="1427" spans="1:9" x14ac:dyDescent="0.35">
      <c r="A1427" s="376" t="s">
        <v>1614</v>
      </c>
      <c r="B1427" s="376" t="s">
        <v>1609</v>
      </c>
      <c r="C1427" s="376" t="s">
        <v>1054</v>
      </c>
      <c r="D1427" s="376">
        <v>2022</v>
      </c>
      <c r="E1427" s="376">
        <v>2031</v>
      </c>
      <c r="F1427" s="376">
        <v>0.28070162831646173</v>
      </c>
      <c r="G1427" s="376">
        <v>6454.3984013550207</v>
      </c>
      <c r="H1427" s="376">
        <v>0.25601753086923207</v>
      </c>
      <c r="I1427" s="376">
        <v>0.85</v>
      </c>
    </row>
    <row r="1428" spans="1:9" x14ac:dyDescent="0.35">
      <c r="A1428" s="376" t="s">
        <v>1604</v>
      </c>
      <c r="B1428" s="376" t="s">
        <v>1609</v>
      </c>
      <c r="C1428" s="376" t="s">
        <v>1046</v>
      </c>
      <c r="D1428" s="376">
        <v>2022</v>
      </c>
      <c r="E1428" s="376">
        <v>2022</v>
      </c>
      <c r="F1428" s="376">
        <v>1</v>
      </c>
      <c r="G1428" s="376">
        <v>10872.741503138899</v>
      </c>
      <c r="H1428" s="376">
        <v>0</v>
      </c>
      <c r="I1428" s="376">
        <v>1</v>
      </c>
    </row>
    <row r="1429" spans="1:9" x14ac:dyDescent="0.35">
      <c r="A1429" s="376" t="s">
        <v>1604</v>
      </c>
      <c r="B1429" s="376" t="s">
        <v>1609</v>
      </c>
      <c r="C1429" s="376" t="s">
        <v>644</v>
      </c>
      <c r="D1429" s="376">
        <v>2022</v>
      </c>
      <c r="E1429" s="376">
        <v>2022</v>
      </c>
      <c r="F1429" s="376">
        <v>1</v>
      </c>
      <c r="G1429" s="376">
        <v>10872.741503138899</v>
      </c>
      <c r="H1429" s="376">
        <v>0</v>
      </c>
      <c r="I1429" s="376">
        <v>1</v>
      </c>
    </row>
    <row r="1430" spans="1:9" x14ac:dyDescent="0.35">
      <c r="A1430" s="376" t="s">
        <v>1604</v>
      </c>
      <c r="B1430" s="376" t="s">
        <v>1609</v>
      </c>
      <c r="C1430" s="376" t="s">
        <v>628</v>
      </c>
      <c r="D1430" s="376">
        <v>2022</v>
      </c>
      <c r="E1430" s="376">
        <v>2022</v>
      </c>
      <c r="F1430" s="376">
        <v>1</v>
      </c>
      <c r="G1430" s="376">
        <v>10872.741503138899</v>
      </c>
      <c r="H1430" s="376">
        <v>0</v>
      </c>
      <c r="I1430" s="376">
        <v>1</v>
      </c>
    </row>
    <row r="1431" spans="1:9" x14ac:dyDescent="0.35">
      <c r="A1431" s="376" t="s">
        <v>1604</v>
      </c>
      <c r="B1431" s="376" t="s">
        <v>1609</v>
      </c>
      <c r="C1431" s="376" t="s">
        <v>1051</v>
      </c>
      <c r="D1431" s="376">
        <v>2022</v>
      </c>
      <c r="E1431" s="376">
        <v>2022</v>
      </c>
      <c r="F1431" s="376">
        <v>1</v>
      </c>
      <c r="G1431" s="376">
        <v>10872.741503138899</v>
      </c>
      <c r="H1431" s="376">
        <v>0</v>
      </c>
      <c r="I1431" s="376">
        <v>1</v>
      </c>
    </row>
    <row r="1432" spans="1:9" x14ac:dyDescent="0.35">
      <c r="A1432" s="376" t="s">
        <v>1604</v>
      </c>
      <c r="B1432" s="376" t="s">
        <v>1609</v>
      </c>
      <c r="C1432" s="376" t="s">
        <v>1054</v>
      </c>
      <c r="D1432" s="376">
        <v>2022</v>
      </c>
      <c r="E1432" s="376">
        <v>2022</v>
      </c>
      <c r="F1432" s="376">
        <v>1</v>
      </c>
      <c r="G1432" s="376">
        <v>10872.741503138899</v>
      </c>
      <c r="H1432" s="376">
        <v>0</v>
      </c>
      <c r="I1432" s="376">
        <v>1</v>
      </c>
    </row>
    <row r="1433" spans="1:9" x14ac:dyDescent="0.35">
      <c r="A1433" s="376" t="s">
        <v>1604</v>
      </c>
      <c r="B1433" s="376" t="s">
        <v>1609</v>
      </c>
      <c r="C1433" s="376" t="s">
        <v>1046</v>
      </c>
      <c r="D1433" s="376">
        <v>2022</v>
      </c>
      <c r="E1433" s="376">
        <v>2023</v>
      </c>
      <c r="F1433" s="376">
        <v>1</v>
      </c>
      <c r="G1433" s="376">
        <v>10872.741503138899</v>
      </c>
      <c r="H1433" s="376">
        <v>0</v>
      </c>
      <c r="I1433" s="376">
        <v>1</v>
      </c>
    </row>
    <row r="1434" spans="1:9" x14ac:dyDescent="0.35">
      <c r="A1434" s="376" t="s">
        <v>1604</v>
      </c>
      <c r="B1434" s="376" t="s">
        <v>1609</v>
      </c>
      <c r="C1434" s="376" t="s">
        <v>644</v>
      </c>
      <c r="D1434" s="376">
        <v>2022</v>
      </c>
      <c r="E1434" s="376">
        <v>2023</v>
      </c>
      <c r="F1434" s="376">
        <v>1</v>
      </c>
      <c r="G1434" s="376">
        <v>10872.741503138899</v>
      </c>
      <c r="H1434" s="376">
        <v>0</v>
      </c>
      <c r="I1434" s="376">
        <v>1</v>
      </c>
    </row>
    <row r="1435" spans="1:9" x14ac:dyDescent="0.35">
      <c r="A1435" s="376" t="s">
        <v>1604</v>
      </c>
      <c r="B1435" s="376" t="s">
        <v>1609</v>
      </c>
      <c r="C1435" s="376" t="s">
        <v>628</v>
      </c>
      <c r="D1435" s="376">
        <v>2022</v>
      </c>
      <c r="E1435" s="376">
        <v>2023</v>
      </c>
      <c r="F1435" s="376">
        <v>1</v>
      </c>
      <c r="G1435" s="376">
        <v>10872.741503138899</v>
      </c>
      <c r="H1435" s="376">
        <v>0</v>
      </c>
      <c r="I1435" s="376">
        <v>1</v>
      </c>
    </row>
    <row r="1436" spans="1:9" x14ac:dyDescent="0.35">
      <c r="A1436" s="376" t="s">
        <v>1604</v>
      </c>
      <c r="B1436" s="376" t="s">
        <v>1609</v>
      </c>
      <c r="C1436" s="376" t="s">
        <v>1051</v>
      </c>
      <c r="D1436" s="376">
        <v>2022</v>
      </c>
      <c r="E1436" s="376">
        <v>2023</v>
      </c>
      <c r="F1436" s="376">
        <v>1</v>
      </c>
      <c r="G1436" s="376">
        <v>10872.741503138899</v>
      </c>
      <c r="H1436" s="376">
        <v>0</v>
      </c>
      <c r="I1436" s="376">
        <v>1</v>
      </c>
    </row>
    <row r="1437" spans="1:9" x14ac:dyDescent="0.35">
      <c r="A1437" s="376" t="s">
        <v>1604</v>
      </c>
      <c r="B1437" s="376" t="s">
        <v>1609</v>
      </c>
      <c r="C1437" s="376" t="s">
        <v>1054</v>
      </c>
      <c r="D1437" s="376">
        <v>2022</v>
      </c>
      <c r="E1437" s="376">
        <v>2023</v>
      </c>
      <c r="F1437" s="376">
        <v>1</v>
      </c>
      <c r="G1437" s="376">
        <v>10872.741503138899</v>
      </c>
      <c r="H1437" s="376">
        <v>0</v>
      </c>
      <c r="I1437" s="376">
        <v>1</v>
      </c>
    </row>
    <row r="1438" spans="1:9" x14ac:dyDescent="0.35">
      <c r="A1438" s="376" t="s">
        <v>1604</v>
      </c>
      <c r="B1438" s="376" t="s">
        <v>1609</v>
      </c>
      <c r="C1438" s="376" t="s">
        <v>1046</v>
      </c>
      <c r="D1438" s="376">
        <v>2022</v>
      </c>
      <c r="E1438" s="376">
        <v>2024</v>
      </c>
      <c r="F1438" s="376">
        <v>1</v>
      </c>
      <c r="G1438" s="376">
        <v>10872.741503138899</v>
      </c>
      <c r="H1438" s="376">
        <v>0</v>
      </c>
      <c r="I1438" s="376">
        <v>1</v>
      </c>
    </row>
    <row r="1439" spans="1:9" x14ac:dyDescent="0.35">
      <c r="A1439" s="376" t="s">
        <v>1604</v>
      </c>
      <c r="B1439" s="376" t="s">
        <v>1609</v>
      </c>
      <c r="C1439" s="376" t="s">
        <v>644</v>
      </c>
      <c r="D1439" s="376">
        <v>2022</v>
      </c>
      <c r="E1439" s="376">
        <v>2024</v>
      </c>
      <c r="F1439" s="376">
        <v>1</v>
      </c>
      <c r="G1439" s="376">
        <v>10872.741503138899</v>
      </c>
      <c r="H1439" s="376">
        <v>0</v>
      </c>
      <c r="I1439" s="376">
        <v>1</v>
      </c>
    </row>
    <row r="1440" spans="1:9" x14ac:dyDescent="0.35">
      <c r="A1440" s="376" t="s">
        <v>1604</v>
      </c>
      <c r="B1440" s="376" t="s">
        <v>1609</v>
      </c>
      <c r="C1440" s="376" t="s">
        <v>628</v>
      </c>
      <c r="D1440" s="376">
        <v>2022</v>
      </c>
      <c r="E1440" s="376">
        <v>2024</v>
      </c>
      <c r="F1440" s="376">
        <v>1</v>
      </c>
      <c r="G1440" s="376">
        <v>10872.741503138899</v>
      </c>
      <c r="H1440" s="376">
        <v>0</v>
      </c>
      <c r="I1440" s="376">
        <v>1</v>
      </c>
    </row>
    <row r="1441" spans="1:9" x14ac:dyDescent="0.35">
      <c r="A1441" s="376" t="s">
        <v>1604</v>
      </c>
      <c r="B1441" s="376" t="s">
        <v>1609</v>
      </c>
      <c r="C1441" s="376" t="s">
        <v>1051</v>
      </c>
      <c r="D1441" s="376">
        <v>2022</v>
      </c>
      <c r="E1441" s="376">
        <v>2024</v>
      </c>
      <c r="F1441" s="376">
        <v>1</v>
      </c>
      <c r="G1441" s="376">
        <v>10872.741503138899</v>
      </c>
      <c r="H1441" s="376">
        <v>0</v>
      </c>
      <c r="I1441" s="376">
        <v>1</v>
      </c>
    </row>
    <row r="1442" spans="1:9" x14ac:dyDescent="0.35">
      <c r="A1442" s="376" t="s">
        <v>1604</v>
      </c>
      <c r="B1442" s="376" t="s">
        <v>1609</v>
      </c>
      <c r="C1442" s="376" t="s">
        <v>1054</v>
      </c>
      <c r="D1442" s="376">
        <v>2022</v>
      </c>
      <c r="E1442" s="376">
        <v>2024</v>
      </c>
      <c r="F1442" s="376">
        <v>1</v>
      </c>
      <c r="G1442" s="376">
        <v>10872.741503138899</v>
      </c>
      <c r="H1442" s="376">
        <v>0</v>
      </c>
      <c r="I1442" s="376">
        <v>1</v>
      </c>
    </row>
    <row r="1443" spans="1:9" x14ac:dyDescent="0.35">
      <c r="A1443" s="376" t="s">
        <v>1604</v>
      </c>
      <c r="B1443" s="376" t="s">
        <v>1609</v>
      </c>
      <c r="C1443" s="376" t="s">
        <v>1046</v>
      </c>
      <c r="D1443" s="376">
        <v>2022</v>
      </c>
      <c r="E1443" s="376">
        <v>2025</v>
      </c>
      <c r="F1443" s="376">
        <v>1</v>
      </c>
      <c r="G1443" s="376">
        <v>10872.741503138899</v>
      </c>
      <c r="H1443" s="376">
        <v>0</v>
      </c>
      <c r="I1443" s="376">
        <v>1</v>
      </c>
    </row>
    <row r="1444" spans="1:9" x14ac:dyDescent="0.35">
      <c r="A1444" s="376" t="s">
        <v>1604</v>
      </c>
      <c r="B1444" s="376" t="s">
        <v>1609</v>
      </c>
      <c r="C1444" s="376" t="s">
        <v>644</v>
      </c>
      <c r="D1444" s="376">
        <v>2022</v>
      </c>
      <c r="E1444" s="376">
        <v>2025</v>
      </c>
      <c r="F1444" s="376">
        <v>1</v>
      </c>
      <c r="G1444" s="376">
        <v>10872.741503138899</v>
      </c>
      <c r="H1444" s="376">
        <v>0</v>
      </c>
      <c r="I1444" s="376">
        <v>1</v>
      </c>
    </row>
    <row r="1445" spans="1:9" x14ac:dyDescent="0.35">
      <c r="A1445" s="376" t="s">
        <v>1604</v>
      </c>
      <c r="B1445" s="376" t="s">
        <v>1609</v>
      </c>
      <c r="C1445" s="376" t="s">
        <v>628</v>
      </c>
      <c r="D1445" s="376">
        <v>2022</v>
      </c>
      <c r="E1445" s="376">
        <v>2025</v>
      </c>
      <c r="F1445" s="376">
        <v>1</v>
      </c>
      <c r="G1445" s="376">
        <v>10872.741503138899</v>
      </c>
      <c r="H1445" s="376">
        <v>0</v>
      </c>
      <c r="I1445" s="376">
        <v>1</v>
      </c>
    </row>
    <row r="1446" spans="1:9" x14ac:dyDescent="0.35">
      <c r="A1446" s="376" t="s">
        <v>1604</v>
      </c>
      <c r="B1446" s="376" t="s">
        <v>1609</v>
      </c>
      <c r="C1446" s="376" t="s">
        <v>1051</v>
      </c>
      <c r="D1446" s="376">
        <v>2022</v>
      </c>
      <c r="E1446" s="376">
        <v>2025</v>
      </c>
      <c r="F1446" s="376">
        <v>1</v>
      </c>
      <c r="G1446" s="376">
        <v>10872.741503138899</v>
      </c>
      <c r="H1446" s="376">
        <v>0</v>
      </c>
      <c r="I1446" s="376">
        <v>1</v>
      </c>
    </row>
    <row r="1447" spans="1:9" x14ac:dyDescent="0.35">
      <c r="A1447" s="376" t="s">
        <v>1604</v>
      </c>
      <c r="B1447" s="376" t="s">
        <v>1609</v>
      </c>
      <c r="C1447" s="376" t="s">
        <v>1054</v>
      </c>
      <c r="D1447" s="376">
        <v>2022</v>
      </c>
      <c r="E1447" s="376">
        <v>2025</v>
      </c>
      <c r="F1447" s="376">
        <v>1</v>
      </c>
      <c r="G1447" s="376">
        <v>10872.741503138899</v>
      </c>
      <c r="H1447" s="376">
        <v>0</v>
      </c>
      <c r="I1447" s="376">
        <v>1</v>
      </c>
    </row>
    <row r="1448" spans="1:9" x14ac:dyDescent="0.35">
      <c r="A1448" s="376" t="s">
        <v>1604</v>
      </c>
      <c r="B1448" s="376" t="s">
        <v>1609</v>
      </c>
      <c r="C1448" s="376" t="s">
        <v>1046</v>
      </c>
      <c r="D1448" s="376">
        <v>2022</v>
      </c>
      <c r="E1448" s="376">
        <v>2026</v>
      </c>
      <c r="F1448" s="376">
        <v>1</v>
      </c>
      <c r="G1448" s="376">
        <v>10872.741503138899</v>
      </c>
      <c r="H1448" s="376">
        <v>0</v>
      </c>
      <c r="I1448" s="376">
        <v>1</v>
      </c>
    </row>
    <row r="1449" spans="1:9" x14ac:dyDescent="0.35">
      <c r="A1449" s="376" t="s">
        <v>1604</v>
      </c>
      <c r="B1449" s="376" t="s">
        <v>1609</v>
      </c>
      <c r="C1449" s="376" t="s">
        <v>644</v>
      </c>
      <c r="D1449" s="376">
        <v>2022</v>
      </c>
      <c r="E1449" s="376">
        <v>2026</v>
      </c>
      <c r="F1449" s="376">
        <v>1</v>
      </c>
      <c r="G1449" s="376">
        <v>10872.741503138899</v>
      </c>
      <c r="H1449" s="376">
        <v>0</v>
      </c>
      <c r="I1449" s="376">
        <v>1</v>
      </c>
    </row>
    <row r="1450" spans="1:9" x14ac:dyDescent="0.35">
      <c r="A1450" s="376" t="s">
        <v>1604</v>
      </c>
      <c r="B1450" s="376" t="s">
        <v>1609</v>
      </c>
      <c r="C1450" s="376" t="s">
        <v>628</v>
      </c>
      <c r="D1450" s="376">
        <v>2022</v>
      </c>
      <c r="E1450" s="376">
        <v>2026</v>
      </c>
      <c r="F1450" s="376">
        <v>1</v>
      </c>
      <c r="G1450" s="376">
        <v>10872.741503138899</v>
      </c>
      <c r="H1450" s="376">
        <v>0</v>
      </c>
      <c r="I1450" s="376">
        <v>1</v>
      </c>
    </row>
    <row r="1451" spans="1:9" x14ac:dyDescent="0.35">
      <c r="A1451" s="376" t="s">
        <v>1604</v>
      </c>
      <c r="B1451" s="376" t="s">
        <v>1609</v>
      </c>
      <c r="C1451" s="376" t="s">
        <v>1051</v>
      </c>
      <c r="D1451" s="376">
        <v>2022</v>
      </c>
      <c r="E1451" s="376">
        <v>2026</v>
      </c>
      <c r="F1451" s="376">
        <v>1</v>
      </c>
      <c r="G1451" s="376">
        <v>10872.741503138899</v>
      </c>
      <c r="H1451" s="376">
        <v>0</v>
      </c>
      <c r="I1451" s="376">
        <v>1</v>
      </c>
    </row>
    <row r="1452" spans="1:9" x14ac:dyDescent="0.35">
      <c r="A1452" s="376" t="s">
        <v>1604</v>
      </c>
      <c r="B1452" s="376" t="s">
        <v>1609</v>
      </c>
      <c r="C1452" s="376" t="s">
        <v>1054</v>
      </c>
      <c r="D1452" s="376">
        <v>2022</v>
      </c>
      <c r="E1452" s="376">
        <v>2026</v>
      </c>
      <c r="F1452" s="376">
        <v>1</v>
      </c>
      <c r="G1452" s="376">
        <v>10872.741503138899</v>
      </c>
      <c r="H1452" s="376">
        <v>0</v>
      </c>
      <c r="I1452" s="376">
        <v>1</v>
      </c>
    </row>
    <row r="1453" spans="1:9" x14ac:dyDescent="0.35">
      <c r="A1453" s="376" t="s">
        <v>1604</v>
      </c>
      <c r="B1453" s="376" t="s">
        <v>1609</v>
      </c>
      <c r="C1453" s="376" t="s">
        <v>1046</v>
      </c>
      <c r="D1453" s="376">
        <v>2022</v>
      </c>
      <c r="E1453" s="376">
        <v>2027</v>
      </c>
      <c r="F1453" s="376">
        <v>1</v>
      </c>
      <c r="G1453" s="376">
        <v>10872.741503138899</v>
      </c>
      <c r="H1453" s="376">
        <v>0</v>
      </c>
      <c r="I1453" s="376">
        <v>1</v>
      </c>
    </row>
    <row r="1454" spans="1:9" x14ac:dyDescent="0.35">
      <c r="A1454" s="376" t="s">
        <v>1604</v>
      </c>
      <c r="B1454" s="376" t="s">
        <v>1609</v>
      </c>
      <c r="C1454" s="376" t="s">
        <v>644</v>
      </c>
      <c r="D1454" s="376">
        <v>2022</v>
      </c>
      <c r="E1454" s="376">
        <v>2027</v>
      </c>
      <c r="F1454" s="376">
        <v>1</v>
      </c>
      <c r="G1454" s="376">
        <v>10872.741503138899</v>
      </c>
      <c r="H1454" s="376">
        <v>0</v>
      </c>
      <c r="I1454" s="376">
        <v>1</v>
      </c>
    </row>
    <row r="1455" spans="1:9" x14ac:dyDescent="0.35">
      <c r="A1455" s="376" t="s">
        <v>1604</v>
      </c>
      <c r="B1455" s="376" t="s">
        <v>1609</v>
      </c>
      <c r="C1455" s="376" t="s">
        <v>628</v>
      </c>
      <c r="D1455" s="376">
        <v>2022</v>
      </c>
      <c r="E1455" s="376">
        <v>2027</v>
      </c>
      <c r="F1455" s="376">
        <v>1</v>
      </c>
      <c r="G1455" s="376">
        <v>10872.741503138899</v>
      </c>
      <c r="H1455" s="376">
        <v>0</v>
      </c>
      <c r="I1455" s="376">
        <v>1</v>
      </c>
    </row>
    <row r="1456" spans="1:9" x14ac:dyDescent="0.35">
      <c r="A1456" s="376" t="s">
        <v>1604</v>
      </c>
      <c r="B1456" s="376" t="s">
        <v>1609</v>
      </c>
      <c r="C1456" s="376" t="s">
        <v>1051</v>
      </c>
      <c r="D1456" s="376">
        <v>2022</v>
      </c>
      <c r="E1456" s="376">
        <v>2027</v>
      </c>
      <c r="F1456" s="376">
        <v>1</v>
      </c>
      <c r="G1456" s="376">
        <v>10872.741503138899</v>
      </c>
      <c r="H1456" s="376">
        <v>0</v>
      </c>
      <c r="I1456" s="376">
        <v>1</v>
      </c>
    </row>
    <row r="1457" spans="1:9" x14ac:dyDescent="0.35">
      <c r="A1457" s="376" t="s">
        <v>1604</v>
      </c>
      <c r="B1457" s="376" t="s">
        <v>1609</v>
      </c>
      <c r="C1457" s="376" t="s">
        <v>1054</v>
      </c>
      <c r="D1457" s="376">
        <v>2022</v>
      </c>
      <c r="E1457" s="376">
        <v>2027</v>
      </c>
      <c r="F1457" s="376">
        <v>1</v>
      </c>
      <c r="G1457" s="376">
        <v>10872.741503138899</v>
      </c>
      <c r="H1457" s="376">
        <v>0</v>
      </c>
      <c r="I1457" s="376">
        <v>1</v>
      </c>
    </row>
    <row r="1458" spans="1:9" x14ac:dyDescent="0.35">
      <c r="A1458" s="376" t="s">
        <v>1604</v>
      </c>
      <c r="B1458" s="376" t="s">
        <v>1609</v>
      </c>
      <c r="C1458" s="376" t="s">
        <v>1046</v>
      </c>
      <c r="D1458" s="376">
        <v>2022</v>
      </c>
      <c r="E1458" s="376">
        <v>2028</v>
      </c>
      <c r="F1458" s="376">
        <v>1</v>
      </c>
      <c r="G1458" s="376">
        <v>10872.741503138899</v>
      </c>
      <c r="H1458" s="376">
        <v>0</v>
      </c>
      <c r="I1458" s="376">
        <v>1</v>
      </c>
    </row>
    <row r="1459" spans="1:9" x14ac:dyDescent="0.35">
      <c r="A1459" s="376" t="s">
        <v>1604</v>
      </c>
      <c r="B1459" s="376" t="s">
        <v>1609</v>
      </c>
      <c r="C1459" s="376" t="s">
        <v>644</v>
      </c>
      <c r="D1459" s="376">
        <v>2022</v>
      </c>
      <c r="E1459" s="376">
        <v>2028</v>
      </c>
      <c r="F1459" s="376">
        <v>1</v>
      </c>
      <c r="G1459" s="376">
        <v>10872.741503138899</v>
      </c>
      <c r="H1459" s="376">
        <v>0</v>
      </c>
      <c r="I1459" s="376">
        <v>1</v>
      </c>
    </row>
    <row r="1460" spans="1:9" x14ac:dyDescent="0.35">
      <c r="A1460" s="376" t="s">
        <v>1604</v>
      </c>
      <c r="B1460" s="376" t="s">
        <v>1609</v>
      </c>
      <c r="C1460" s="376" t="s">
        <v>628</v>
      </c>
      <c r="D1460" s="376">
        <v>2022</v>
      </c>
      <c r="E1460" s="376">
        <v>2028</v>
      </c>
      <c r="F1460" s="376">
        <v>1</v>
      </c>
      <c r="G1460" s="376">
        <v>10872.741503138899</v>
      </c>
      <c r="H1460" s="376">
        <v>0</v>
      </c>
      <c r="I1460" s="376">
        <v>1</v>
      </c>
    </row>
    <row r="1461" spans="1:9" x14ac:dyDescent="0.35">
      <c r="A1461" s="376" t="s">
        <v>1604</v>
      </c>
      <c r="B1461" s="376" t="s">
        <v>1609</v>
      </c>
      <c r="C1461" s="376" t="s">
        <v>1051</v>
      </c>
      <c r="D1461" s="376">
        <v>2022</v>
      </c>
      <c r="E1461" s="376">
        <v>2028</v>
      </c>
      <c r="F1461" s="376">
        <v>1</v>
      </c>
      <c r="G1461" s="376">
        <v>10872.741503138899</v>
      </c>
      <c r="H1461" s="376">
        <v>0</v>
      </c>
      <c r="I1461" s="376">
        <v>1</v>
      </c>
    </row>
    <row r="1462" spans="1:9" x14ac:dyDescent="0.35">
      <c r="A1462" s="376" t="s">
        <v>1604</v>
      </c>
      <c r="B1462" s="376" t="s">
        <v>1609</v>
      </c>
      <c r="C1462" s="376" t="s">
        <v>1054</v>
      </c>
      <c r="D1462" s="376">
        <v>2022</v>
      </c>
      <c r="E1462" s="376">
        <v>2028</v>
      </c>
      <c r="F1462" s="376">
        <v>1</v>
      </c>
      <c r="G1462" s="376">
        <v>10872.741503138899</v>
      </c>
      <c r="H1462" s="376">
        <v>0</v>
      </c>
      <c r="I1462" s="376">
        <v>1</v>
      </c>
    </row>
    <row r="1463" spans="1:9" x14ac:dyDescent="0.35">
      <c r="A1463" s="376" t="s">
        <v>1604</v>
      </c>
      <c r="B1463" s="376" t="s">
        <v>1609</v>
      </c>
      <c r="C1463" s="376" t="s">
        <v>1046</v>
      </c>
      <c r="D1463" s="376">
        <v>2022</v>
      </c>
      <c r="E1463" s="376">
        <v>2029</v>
      </c>
      <c r="F1463" s="376">
        <v>1</v>
      </c>
      <c r="G1463" s="376">
        <v>10872.741503138899</v>
      </c>
      <c r="H1463" s="376">
        <v>0</v>
      </c>
      <c r="I1463" s="376">
        <v>1</v>
      </c>
    </row>
    <row r="1464" spans="1:9" x14ac:dyDescent="0.35">
      <c r="A1464" s="376" t="s">
        <v>1604</v>
      </c>
      <c r="B1464" s="376" t="s">
        <v>1609</v>
      </c>
      <c r="C1464" s="376" t="s">
        <v>644</v>
      </c>
      <c r="D1464" s="376">
        <v>2022</v>
      </c>
      <c r="E1464" s="376">
        <v>2029</v>
      </c>
      <c r="F1464" s="376">
        <v>1</v>
      </c>
      <c r="G1464" s="376">
        <v>10872.741503138899</v>
      </c>
      <c r="H1464" s="376">
        <v>0</v>
      </c>
      <c r="I1464" s="376">
        <v>1</v>
      </c>
    </row>
    <row r="1465" spans="1:9" x14ac:dyDescent="0.35">
      <c r="A1465" s="376" t="s">
        <v>1604</v>
      </c>
      <c r="B1465" s="376" t="s">
        <v>1609</v>
      </c>
      <c r="C1465" s="376" t="s">
        <v>628</v>
      </c>
      <c r="D1465" s="376">
        <v>2022</v>
      </c>
      <c r="E1465" s="376">
        <v>2029</v>
      </c>
      <c r="F1465" s="376">
        <v>1</v>
      </c>
      <c r="G1465" s="376">
        <v>10872.741503138899</v>
      </c>
      <c r="H1465" s="376">
        <v>0</v>
      </c>
      <c r="I1465" s="376">
        <v>1</v>
      </c>
    </row>
    <row r="1466" spans="1:9" x14ac:dyDescent="0.35">
      <c r="A1466" s="376" t="s">
        <v>1604</v>
      </c>
      <c r="B1466" s="376" t="s">
        <v>1609</v>
      </c>
      <c r="C1466" s="376" t="s">
        <v>1051</v>
      </c>
      <c r="D1466" s="376">
        <v>2022</v>
      </c>
      <c r="E1466" s="376">
        <v>2029</v>
      </c>
      <c r="F1466" s="376">
        <v>1</v>
      </c>
      <c r="G1466" s="376">
        <v>10872.741503138899</v>
      </c>
      <c r="H1466" s="376">
        <v>0</v>
      </c>
      <c r="I1466" s="376">
        <v>1</v>
      </c>
    </row>
    <row r="1467" spans="1:9" x14ac:dyDescent="0.35">
      <c r="A1467" s="376" t="s">
        <v>1604</v>
      </c>
      <c r="B1467" s="376" t="s">
        <v>1609</v>
      </c>
      <c r="C1467" s="376" t="s">
        <v>1054</v>
      </c>
      <c r="D1467" s="376">
        <v>2022</v>
      </c>
      <c r="E1467" s="376">
        <v>2029</v>
      </c>
      <c r="F1467" s="376">
        <v>1</v>
      </c>
      <c r="G1467" s="376">
        <v>10872.741503138899</v>
      </c>
      <c r="H1467" s="376">
        <v>0</v>
      </c>
      <c r="I1467" s="376">
        <v>1</v>
      </c>
    </row>
    <row r="1468" spans="1:9" x14ac:dyDescent="0.35">
      <c r="A1468" s="376" t="s">
        <v>1604</v>
      </c>
      <c r="B1468" s="376" t="s">
        <v>1609</v>
      </c>
      <c r="C1468" s="376" t="s">
        <v>1046</v>
      </c>
      <c r="D1468" s="376">
        <v>2022</v>
      </c>
      <c r="E1468" s="376">
        <v>2030</v>
      </c>
      <c r="F1468" s="376">
        <v>1</v>
      </c>
      <c r="G1468" s="376">
        <v>10872.741503138899</v>
      </c>
      <c r="H1468" s="376">
        <v>0</v>
      </c>
      <c r="I1468" s="376">
        <v>1</v>
      </c>
    </row>
    <row r="1469" spans="1:9" x14ac:dyDescent="0.35">
      <c r="A1469" s="376" t="s">
        <v>1604</v>
      </c>
      <c r="B1469" s="376" t="s">
        <v>1609</v>
      </c>
      <c r="C1469" s="376" t="s">
        <v>644</v>
      </c>
      <c r="D1469" s="376">
        <v>2022</v>
      </c>
      <c r="E1469" s="376">
        <v>2030</v>
      </c>
      <c r="F1469" s="376">
        <v>1</v>
      </c>
      <c r="G1469" s="376">
        <v>10872.741503138899</v>
      </c>
      <c r="H1469" s="376">
        <v>0</v>
      </c>
      <c r="I1469" s="376">
        <v>1</v>
      </c>
    </row>
    <row r="1470" spans="1:9" x14ac:dyDescent="0.35">
      <c r="A1470" s="376" t="s">
        <v>1604</v>
      </c>
      <c r="B1470" s="376" t="s">
        <v>1609</v>
      </c>
      <c r="C1470" s="376" t="s">
        <v>628</v>
      </c>
      <c r="D1470" s="376">
        <v>2022</v>
      </c>
      <c r="E1470" s="376">
        <v>2030</v>
      </c>
      <c r="F1470" s="376">
        <v>1</v>
      </c>
      <c r="G1470" s="376">
        <v>10872.741503138899</v>
      </c>
      <c r="H1470" s="376">
        <v>0</v>
      </c>
      <c r="I1470" s="376">
        <v>1</v>
      </c>
    </row>
    <row r="1471" spans="1:9" x14ac:dyDescent="0.35">
      <c r="A1471" s="376" t="s">
        <v>1604</v>
      </c>
      <c r="B1471" s="376" t="s">
        <v>1609</v>
      </c>
      <c r="C1471" s="376" t="s">
        <v>1051</v>
      </c>
      <c r="D1471" s="376">
        <v>2022</v>
      </c>
      <c r="E1471" s="376">
        <v>2030</v>
      </c>
      <c r="F1471" s="376">
        <v>1</v>
      </c>
      <c r="G1471" s="376">
        <v>10872.741503138899</v>
      </c>
      <c r="H1471" s="376">
        <v>0</v>
      </c>
      <c r="I1471" s="376">
        <v>1</v>
      </c>
    </row>
    <row r="1472" spans="1:9" x14ac:dyDescent="0.35">
      <c r="A1472" s="376" t="s">
        <v>1604</v>
      </c>
      <c r="B1472" s="376" t="s">
        <v>1609</v>
      </c>
      <c r="C1472" s="376" t="s">
        <v>1054</v>
      </c>
      <c r="D1472" s="376">
        <v>2022</v>
      </c>
      <c r="E1472" s="376">
        <v>2030</v>
      </c>
      <c r="F1472" s="376">
        <v>1</v>
      </c>
      <c r="G1472" s="376">
        <v>10872.741503138899</v>
      </c>
      <c r="H1472" s="376">
        <v>0</v>
      </c>
      <c r="I1472" s="376">
        <v>1</v>
      </c>
    </row>
    <row r="1473" spans="1:9" x14ac:dyDescent="0.35">
      <c r="A1473" s="376" t="s">
        <v>1604</v>
      </c>
      <c r="B1473" s="376" t="s">
        <v>1609</v>
      </c>
      <c r="C1473" s="376" t="s">
        <v>1046</v>
      </c>
      <c r="D1473" s="376">
        <v>2022</v>
      </c>
      <c r="E1473" s="376">
        <v>2031</v>
      </c>
      <c r="F1473" s="376">
        <v>1</v>
      </c>
      <c r="G1473" s="376">
        <v>10872.741503138899</v>
      </c>
      <c r="H1473" s="376">
        <v>0</v>
      </c>
      <c r="I1473" s="376">
        <v>1</v>
      </c>
    </row>
    <row r="1474" spans="1:9" x14ac:dyDescent="0.35">
      <c r="A1474" s="376" t="s">
        <v>1604</v>
      </c>
      <c r="B1474" s="376" t="s">
        <v>1609</v>
      </c>
      <c r="C1474" s="376" t="s">
        <v>644</v>
      </c>
      <c r="D1474" s="376">
        <v>2022</v>
      </c>
      <c r="E1474" s="376">
        <v>2031</v>
      </c>
      <c r="F1474" s="376">
        <v>1</v>
      </c>
      <c r="G1474" s="376">
        <v>10872.741503138899</v>
      </c>
      <c r="H1474" s="376">
        <v>0</v>
      </c>
      <c r="I1474" s="376">
        <v>1</v>
      </c>
    </row>
    <row r="1475" spans="1:9" x14ac:dyDescent="0.35">
      <c r="A1475" s="376" t="s">
        <v>1604</v>
      </c>
      <c r="B1475" s="376" t="s">
        <v>1609</v>
      </c>
      <c r="C1475" s="376" t="s">
        <v>628</v>
      </c>
      <c r="D1475" s="376">
        <v>2022</v>
      </c>
      <c r="E1475" s="376">
        <v>2031</v>
      </c>
      <c r="F1475" s="376">
        <v>1</v>
      </c>
      <c r="G1475" s="376">
        <v>10872.741503138899</v>
      </c>
      <c r="H1475" s="376">
        <v>0</v>
      </c>
      <c r="I1475" s="376">
        <v>1</v>
      </c>
    </row>
    <row r="1476" spans="1:9" x14ac:dyDescent="0.35">
      <c r="A1476" s="376" t="s">
        <v>1604</v>
      </c>
      <c r="B1476" s="376" t="s">
        <v>1609</v>
      </c>
      <c r="C1476" s="376" t="s">
        <v>1051</v>
      </c>
      <c r="D1476" s="376">
        <v>2022</v>
      </c>
      <c r="E1476" s="376">
        <v>2031</v>
      </c>
      <c r="F1476" s="376">
        <v>1</v>
      </c>
      <c r="G1476" s="376">
        <v>10872.741503138899</v>
      </c>
      <c r="H1476" s="376">
        <v>0</v>
      </c>
      <c r="I1476" s="376">
        <v>1</v>
      </c>
    </row>
    <row r="1477" spans="1:9" x14ac:dyDescent="0.35">
      <c r="A1477" s="376" t="s">
        <v>1604</v>
      </c>
      <c r="B1477" s="376" t="s">
        <v>1609</v>
      </c>
      <c r="C1477" s="376" t="s">
        <v>1054</v>
      </c>
      <c r="D1477" s="376">
        <v>2022</v>
      </c>
      <c r="E1477" s="376">
        <v>2031</v>
      </c>
      <c r="F1477" s="376">
        <v>1</v>
      </c>
      <c r="G1477" s="376">
        <v>10872.741503138899</v>
      </c>
      <c r="H1477" s="376">
        <v>0</v>
      </c>
      <c r="I1477" s="376">
        <v>1</v>
      </c>
    </row>
    <row r="1478" spans="1:9" x14ac:dyDescent="0.35">
      <c r="A1478" s="376" t="s">
        <v>1615</v>
      </c>
      <c r="B1478" s="376" t="s">
        <v>1609</v>
      </c>
      <c r="C1478" s="376" t="s">
        <v>1046</v>
      </c>
      <c r="D1478" s="376">
        <v>2022</v>
      </c>
      <c r="E1478" s="376">
        <v>2022</v>
      </c>
      <c r="F1478" s="376">
        <v>1</v>
      </c>
      <c r="G1478" s="376">
        <v>20148.813739673951</v>
      </c>
      <c r="H1478" s="376">
        <v>0</v>
      </c>
      <c r="I1478" s="376">
        <v>0.65716939790195539</v>
      </c>
    </row>
    <row r="1479" spans="1:9" x14ac:dyDescent="0.35">
      <c r="A1479" s="376" t="s">
        <v>1615</v>
      </c>
      <c r="B1479" s="376" t="s">
        <v>1609</v>
      </c>
      <c r="C1479" s="376" t="s">
        <v>644</v>
      </c>
      <c r="D1479" s="376">
        <v>2022</v>
      </c>
      <c r="E1479" s="376">
        <v>2022</v>
      </c>
      <c r="F1479" s="376">
        <v>1</v>
      </c>
      <c r="G1479" s="376">
        <v>20148.813739673951</v>
      </c>
      <c r="H1479" s="376">
        <v>0</v>
      </c>
      <c r="I1479" s="376">
        <v>0.65716939790195539</v>
      </c>
    </row>
    <row r="1480" spans="1:9" x14ac:dyDescent="0.35">
      <c r="A1480" s="376" t="s">
        <v>1615</v>
      </c>
      <c r="B1480" s="376" t="s">
        <v>1609</v>
      </c>
      <c r="C1480" s="376" t="s">
        <v>628</v>
      </c>
      <c r="D1480" s="376">
        <v>2022</v>
      </c>
      <c r="E1480" s="376">
        <v>2022</v>
      </c>
      <c r="F1480" s="376">
        <v>1</v>
      </c>
      <c r="G1480" s="376">
        <v>20148.813739673951</v>
      </c>
      <c r="H1480" s="376">
        <v>0</v>
      </c>
      <c r="I1480" s="376">
        <v>0.65716939790195539</v>
      </c>
    </row>
    <row r="1481" spans="1:9" x14ac:dyDescent="0.35">
      <c r="A1481" s="376" t="s">
        <v>1615</v>
      </c>
      <c r="B1481" s="376" t="s">
        <v>1609</v>
      </c>
      <c r="C1481" s="376" t="s">
        <v>1051</v>
      </c>
      <c r="D1481" s="376">
        <v>2022</v>
      </c>
      <c r="E1481" s="376">
        <v>2022</v>
      </c>
      <c r="F1481" s="376">
        <v>1</v>
      </c>
      <c r="G1481" s="376">
        <v>20148.813739673951</v>
      </c>
      <c r="H1481" s="376">
        <v>0</v>
      </c>
      <c r="I1481" s="376">
        <v>0.65716939790195539</v>
      </c>
    </row>
    <row r="1482" spans="1:9" x14ac:dyDescent="0.35">
      <c r="A1482" s="376" t="s">
        <v>1615</v>
      </c>
      <c r="B1482" s="376" t="s">
        <v>1609</v>
      </c>
      <c r="C1482" s="376" t="s">
        <v>1054</v>
      </c>
      <c r="D1482" s="376">
        <v>2022</v>
      </c>
      <c r="E1482" s="376">
        <v>2022</v>
      </c>
      <c r="F1482" s="376">
        <v>1</v>
      </c>
      <c r="G1482" s="376">
        <v>20148.813739673951</v>
      </c>
      <c r="H1482" s="376">
        <v>0</v>
      </c>
      <c r="I1482" s="376">
        <v>0.65716939790195539</v>
      </c>
    </row>
    <row r="1483" spans="1:9" x14ac:dyDescent="0.35">
      <c r="A1483" s="376" t="s">
        <v>1615</v>
      </c>
      <c r="B1483" s="376" t="s">
        <v>1609</v>
      </c>
      <c r="C1483" s="376" t="s">
        <v>1046</v>
      </c>
      <c r="D1483" s="376">
        <v>2022</v>
      </c>
      <c r="E1483" s="376">
        <v>2023</v>
      </c>
      <c r="F1483" s="376">
        <v>1</v>
      </c>
      <c r="G1483" s="376">
        <v>20148.813739673951</v>
      </c>
      <c r="H1483" s="376">
        <v>0</v>
      </c>
      <c r="I1483" s="376">
        <v>0.65716939790195539</v>
      </c>
    </row>
    <row r="1484" spans="1:9" x14ac:dyDescent="0.35">
      <c r="A1484" s="376" t="s">
        <v>1615</v>
      </c>
      <c r="B1484" s="376" t="s">
        <v>1609</v>
      </c>
      <c r="C1484" s="376" t="s">
        <v>644</v>
      </c>
      <c r="D1484" s="376">
        <v>2022</v>
      </c>
      <c r="E1484" s="376">
        <v>2023</v>
      </c>
      <c r="F1484" s="376">
        <v>1</v>
      </c>
      <c r="G1484" s="376">
        <v>20148.813739673951</v>
      </c>
      <c r="H1484" s="376">
        <v>0</v>
      </c>
      <c r="I1484" s="376">
        <v>0.65716939790195539</v>
      </c>
    </row>
    <row r="1485" spans="1:9" x14ac:dyDescent="0.35">
      <c r="A1485" s="376" t="s">
        <v>1615</v>
      </c>
      <c r="B1485" s="376" t="s">
        <v>1609</v>
      </c>
      <c r="C1485" s="376" t="s">
        <v>628</v>
      </c>
      <c r="D1485" s="376">
        <v>2022</v>
      </c>
      <c r="E1485" s="376">
        <v>2023</v>
      </c>
      <c r="F1485" s="376">
        <v>1</v>
      </c>
      <c r="G1485" s="376">
        <v>20148.813739673951</v>
      </c>
      <c r="H1485" s="376">
        <v>0</v>
      </c>
      <c r="I1485" s="376">
        <v>0.65716939790195539</v>
      </c>
    </row>
    <row r="1486" spans="1:9" x14ac:dyDescent="0.35">
      <c r="A1486" s="376" t="s">
        <v>1615</v>
      </c>
      <c r="B1486" s="376" t="s">
        <v>1609</v>
      </c>
      <c r="C1486" s="376" t="s">
        <v>1051</v>
      </c>
      <c r="D1486" s="376">
        <v>2022</v>
      </c>
      <c r="E1486" s="376">
        <v>2023</v>
      </c>
      <c r="F1486" s="376">
        <v>1</v>
      </c>
      <c r="G1486" s="376">
        <v>20148.813739673951</v>
      </c>
      <c r="H1486" s="376">
        <v>0</v>
      </c>
      <c r="I1486" s="376">
        <v>0.65716939790195539</v>
      </c>
    </row>
    <row r="1487" spans="1:9" x14ac:dyDescent="0.35">
      <c r="A1487" s="376" t="s">
        <v>1615</v>
      </c>
      <c r="B1487" s="376" t="s">
        <v>1609</v>
      </c>
      <c r="C1487" s="376" t="s">
        <v>1054</v>
      </c>
      <c r="D1487" s="376">
        <v>2022</v>
      </c>
      <c r="E1487" s="376">
        <v>2023</v>
      </c>
      <c r="F1487" s="376">
        <v>1</v>
      </c>
      <c r="G1487" s="376">
        <v>20148.813739673951</v>
      </c>
      <c r="H1487" s="376">
        <v>0</v>
      </c>
      <c r="I1487" s="376">
        <v>0.65716939790195539</v>
      </c>
    </row>
    <row r="1488" spans="1:9" x14ac:dyDescent="0.35">
      <c r="A1488" s="376" t="s">
        <v>1615</v>
      </c>
      <c r="B1488" s="376" t="s">
        <v>1609</v>
      </c>
      <c r="C1488" s="376" t="s">
        <v>1046</v>
      </c>
      <c r="D1488" s="376">
        <v>2022</v>
      </c>
      <c r="E1488" s="376">
        <v>2024</v>
      </c>
      <c r="F1488" s="376">
        <v>1</v>
      </c>
      <c r="G1488" s="376">
        <v>20148.813739673951</v>
      </c>
      <c r="H1488" s="376">
        <v>0</v>
      </c>
      <c r="I1488" s="376">
        <v>0.65716939790195539</v>
      </c>
    </row>
    <row r="1489" spans="1:9" x14ac:dyDescent="0.35">
      <c r="A1489" s="376" t="s">
        <v>1615</v>
      </c>
      <c r="B1489" s="376" t="s">
        <v>1609</v>
      </c>
      <c r="C1489" s="376" t="s">
        <v>644</v>
      </c>
      <c r="D1489" s="376">
        <v>2022</v>
      </c>
      <c r="E1489" s="376">
        <v>2024</v>
      </c>
      <c r="F1489" s="376">
        <v>1</v>
      </c>
      <c r="G1489" s="376">
        <v>20148.813739673951</v>
      </c>
      <c r="H1489" s="376">
        <v>0</v>
      </c>
      <c r="I1489" s="376">
        <v>0.65716939790195539</v>
      </c>
    </row>
    <row r="1490" spans="1:9" x14ac:dyDescent="0.35">
      <c r="A1490" s="376" t="s">
        <v>1615</v>
      </c>
      <c r="B1490" s="376" t="s">
        <v>1609</v>
      </c>
      <c r="C1490" s="376" t="s">
        <v>628</v>
      </c>
      <c r="D1490" s="376">
        <v>2022</v>
      </c>
      <c r="E1490" s="376">
        <v>2024</v>
      </c>
      <c r="F1490" s="376">
        <v>1</v>
      </c>
      <c r="G1490" s="376">
        <v>20148.813739673951</v>
      </c>
      <c r="H1490" s="376">
        <v>0</v>
      </c>
      <c r="I1490" s="376">
        <v>0.65716939790195539</v>
      </c>
    </row>
    <row r="1491" spans="1:9" x14ac:dyDescent="0.35">
      <c r="A1491" s="376" t="s">
        <v>1615</v>
      </c>
      <c r="B1491" s="376" t="s">
        <v>1609</v>
      </c>
      <c r="C1491" s="376" t="s">
        <v>1051</v>
      </c>
      <c r="D1491" s="376">
        <v>2022</v>
      </c>
      <c r="E1491" s="376">
        <v>2024</v>
      </c>
      <c r="F1491" s="376">
        <v>1</v>
      </c>
      <c r="G1491" s="376">
        <v>20148.813739673951</v>
      </c>
      <c r="H1491" s="376">
        <v>0</v>
      </c>
      <c r="I1491" s="376">
        <v>0.65716939790195539</v>
      </c>
    </row>
    <row r="1492" spans="1:9" x14ac:dyDescent="0.35">
      <c r="A1492" s="376" t="s">
        <v>1615</v>
      </c>
      <c r="B1492" s="376" t="s">
        <v>1609</v>
      </c>
      <c r="C1492" s="376" t="s">
        <v>1054</v>
      </c>
      <c r="D1492" s="376">
        <v>2022</v>
      </c>
      <c r="E1492" s="376">
        <v>2024</v>
      </c>
      <c r="F1492" s="376">
        <v>1</v>
      </c>
      <c r="G1492" s="376">
        <v>20148.813739673951</v>
      </c>
      <c r="H1492" s="376">
        <v>0</v>
      </c>
      <c r="I1492" s="376">
        <v>0.65716939790195539</v>
      </c>
    </row>
    <row r="1493" spans="1:9" x14ac:dyDescent="0.35">
      <c r="A1493" s="376" t="s">
        <v>1615</v>
      </c>
      <c r="B1493" s="376" t="s">
        <v>1609</v>
      </c>
      <c r="C1493" s="376" t="s">
        <v>1046</v>
      </c>
      <c r="D1493" s="376">
        <v>2022</v>
      </c>
      <c r="E1493" s="376">
        <v>2025</v>
      </c>
      <c r="F1493" s="376">
        <v>1</v>
      </c>
      <c r="G1493" s="376">
        <v>20148.813739673951</v>
      </c>
      <c r="H1493" s="376">
        <v>0</v>
      </c>
      <c r="I1493" s="376">
        <v>0.65716939790195539</v>
      </c>
    </row>
    <row r="1494" spans="1:9" x14ac:dyDescent="0.35">
      <c r="A1494" s="376" t="s">
        <v>1615</v>
      </c>
      <c r="B1494" s="376" t="s">
        <v>1609</v>
      </c>
      <c r="C1494" s="376" t="s">
        <v>644</v>
      </c>
      <c r="D1494" s="376">
        <v>2022</v>
      </c>
      <c r="E1494" s="376">
        <v>2025</v>
      </c>
      <c r="F1494" s="376">
        <v>1</v>
      </c>
      <c r="G1494" s="376">
        <v>20148.813739673951</v>
      </c>
      <c r="H1494" s="376">
        <v>0</v>
      </c>
      <c r="I1494" s="376">
        <v>0.65716939790195539</v>
      </c>
    </row>
    <row r="1495" spans="1:9" x14ac:dyDescent="0.35">
      <c r="A1495" s="376" t="s">
        <v>1615</v>
      </c>
      <c r="B1495" s="376" t="s">
        <v>1609</v>
      </c>
      <c r="C1495" s="376" t="s">
        <v>628</v>
      </c>
      <c r="D1495" s="376">
        <v>2022</v>
      </c>
      <c r="E1495" s="376">
        <v>2025</v>
      </c>
      <c r="F1495" s="376">
        <v>1</v>
      </c>
      <c r="G1495" s="376">
        <v>20148.813739673951</v>
      </c>
      <c r="H1495" s="376">
        <v>0</v>
      </c>
      <c r="I1495" s="376">
        <v>0.65716939790195539</v>
      </c>
    </row>
    <row r="1496" spans="1:9" x14ac:dyDescent="0.35">
      <c r="A1496" s="376" t="s">
        <v>1615</v>
      </c>
      <c r="B1496" s="376" t="s">
        <v>1609</v>
      </c>
      <c r="C1496" s="376" t="s">
        <v>1051</v>
      </c>
      <c r="D1496" s="376">
        <v>2022</v>
      </c>
      <c r="E1496" s="376">
        <v>2025</v>
      </c>
      <c r="F1496" s="376">
        <v>1</v>
      </c>
      <c r="G1496" s="376">
        <v>20148.813739673951</v>
      </c>
      <c r="H1496" s="376">
        <v>0</v>
      </c>
      <c r="I1496" s="376">
        <v>0.65716939790195539</v>
      </c>
    </row>
    <row r="1497" spans="1:9" x14ac:dyDescent="0.35">
      <c r="A1497" s="376" t="s">
        <v>1615</v>
      </c>
      <c r="B1497" s="376" t="s">
        <v>1609</v>
      </c>
      <c r="C1497" s="376" t="s">
        <v>1054</v>
      </c>
      <c r="D1497" s="376">
        <v>2022</v>
      </c>
      <c r="E1497" s="376">
        <v>2025</v>
      </c>
      <c r="F1497" s="376">
        <v>1</v>
      </c>
      <c r="G1497" s="376">
        <v>20148.813739673951</v>
      </c>
      <c r="H1497" s="376">
        <v>0</v>
      </c>
      <c r="I1497" s="376">
        <v>0.65716939790195539</v>
      </c>
    </row>
    <row r="1498" spans="1:9" x14ac:dyDescent="0.35">
      <c r="A1498" s="376" t="s">
        <v>1615</v>
      </c>
      <c r="B1498" s="376" t="s">
        <v>1609</v>
      </c>
      <c r="C1498" s="376" t="s">
        <v>1046</v>
      </c>
      <c r="D1498" s="376">
        <v>2022</v>
      </c>
      <c r="E1498" s="376">
        <v>2026</v>
      </c>
      <c r="F1498" s="376">
        <v>1</v>
      </c>
      <c r="G1498" s="376">
        <v>20148.813739673951</v>
      </c>
      <c r="H1498" s="376">
        <v>0</v>
      </c>
      <c r="I1498" s="376">
        <v>0.65716939790195539</v>
      </c>
    </row>
    <row r="1499" spans="1:9" x14ac:dyDescent="0.35">
      <c r="A1499" s="376" t="s">
        <v>1615</v>
      </c>
      <c r="B1499" s="376" t="s">
        <v>1609</v>
      </c>
      <c r="C1499" s="376" t="s">
        <v>644</v>
      </c>
      <c r="D1499" s="376">
        <v>2022</v>
      </c>
      <c r="E1499" s="376">
        <v>2026</v>
      </c>
      <c r="F1499" s="376">
        <v>1</v>
      </c>
      <c r="G1499" s="376">
        <v>20148.813739673951</v>
      </c>
      <c r="H1499" s="376">
        <v>0</v>
      </c>
      <c r="I1499" s="376">
        <v>0.65716939790195539</v>
      </c>
    </row>
    <row r="1500" spans="1:9" x14ac:dyDescent="0.35">
      <c r="A1500" s="376" t="s">
        <v>1615</v>
      </c>
      <c r="B1500" s="376" t="s">
        <v>1609</v>
      </c>
      <c r="C1500" s="376" t="s">
        <v>628</v>
      </c>
      <c r="D1500" s="376">
        <v>2022</v>
      </c>
      <c r="E1500" s="376">
        <v>2026</v>
      </c>
      <c r="F1500" s="376">
        <v>1</v>
      </c>
      <c r="G1500" s="376">
        <v>20148.813739673951</v>
      </c>
      <c r="H1500" s="376">
        <v>0</v>
      </c>
      <c r="I1500" s="376">
        <v>0.65716939790195539</v>
      </c>
    </row>
    <row r="1501" spans="1:9" x14ac:dyDescent="0.35">
      <c r="A1501" s="376" t="s">
        <v>1615</v>
      </c>
      <c r="B1501" s="376" t="s">
        <v>1609</v>
      </c>
      <c r="C1501" s="376" t="s">
        <v>1051</v>
      </c>
      <c r="D1501" s="376">
        <v>2022</v>
      </c>
      <c r="E1501" s="376">
        <v>2026</v>
      </c>
      <c r="F1501" s="376">
        <v>1</v>
      </c>
      <c r="G1501" s="376">
        <v>20148.813739673951</v>
      </c>
      <c r="H1501" s="376">
        <v>0</v>
      </c>
      <c r="I1501" s="376">
        <v>0.65716939790195539</v>
      </c>
    </row>
    <row r="1502" spans="1:9" x14ac:dyDescent="0.35">
      <c r="A1502" s="376" t="s">
        <v>1615</v>
      </c>
      <c r="B1502" s="376" t="s">
        <v>1609</v>
      </c>
      <c r="C1502" s="376" t="s">
        <v>1054</v>
      </c>
      <c r="D1502" s="376">
        <v>2022</v>
      </c>
      <c r="E1502" s="376">
        <v>2026</v>
      </c>
      <c r="F1502" s="376">
        <v>1</v>
      </c>
      <c r="G1502" s="376">
        <v>20148.813739673951</v>
      </c>
      <c r="H1502" s="376">
        <v>0</v>
      </c>
      <c r="I1502" s="376">
        <v>0.65716939790195539</v>
      </c>
    </row>
    <row r="1503" spans="1:9" x14ac:dyDescent="0.35">
      <c r="A1503" s="376" t="s">
        <v>1615</v>
      </c>
      <c r="B1503" s="376" t="s">
        <v>1609</v>
      </c>
      <c r="C1503" s="376" t="s">
        <v>1046</v>
      </c>
      <c r="D1503" s="376">
        <v>2022</v>
      </c>
      <c r="E1503" s="376">
        <v>2027</v>
      </c>
      <c r="F1503" s="376">
        <v>1</v>
      </c>
      <c r="G1503" s="376">
        <v>20148.813739673951</v>
      </c>
      <c r="H1503" s="376">
        <v>0</v>
      </c>
      <c r="I1503" s="376">
        <v>0.65716939790195539</v>
      </c>
    </row>
    <row r="1504" spans="1:9" x14ac:dyDescent="0.35">
      <c r="A1504" s="376" t="s">
        <v>1615</v>
      </c>
      <c r="B1504" s="376" t="s">
        <v>1609</v>
      </c>
      <c r="C1504" s="376" t="s">
        <v>644</v>
      </c>
      <c r="D1504" s="376">
        <v>2022</v>
      </c>
      <c r="E1504" s="376">
        <v>2027</v>
      </c>
      <c r="F1504" s="376">
        <v>1</v>
      </c>
      <c r="G1504" s="376">
        <v>20148.813739673951</v>
      </c>
      <c r="H1504" s="376">
        <v>0</v>
      </c>
      <c r="I1504" s="376">
        <v>0.65716939790195539</v>
      </c>
    </row>
    <row r="1505" spans="1:9" x14ac:dyDescent="0.35">
      <c r="A1505" s="376" t="s">
        <v>1615</v>
      </c>
      <c r="B1505" s="376" t="s">
        <v>1609</v>
      </c>
      <c r="C1505" s="376" t="s">
        <v>628</v>
      </c>
      <c r="D1505" s="376">
        <v>2022</v>
      </c>
      <c r="E1505" s="376">
        <v>2027</v>
      </c>
      <c r="F1505" s="376">
        <v>1</v>
      </c>
      <c r="G1505" s="376">
        <v>20148.813739673951</v>
      </c>
      <c r="H1505" s="376">
        <v>0</v>
      </c>
      <c r="I1505" s="376">
        <v>0.65716939790195539</v>
      </c>
    </row>
    <row r="1506" spans="1:9" x14ac:dyDescent="0.35">
      <c r="A1506" s="376" t="s">
        <v>1615</v>
      </c>
      <c r="B1506" s="376" t="s">
        <v>1609</v>
      </c>
      <c r="C1506" s="376" t="s">
        <v>1051</v>
      </c>
      <c r="D1506" s="376">
        <v>2022</v>
      </c>
      <c r="E1506" s="376">
        <v>2027</v>
      </c>
      <c r="F1506" s="376">
        <v>1</v>
      </c>
      <c r="G1506" s="376">
        <v>20148.813739673951</v>
      </c>
      <c r="H1506" s="376">
        <v>0</v>
      </c>
      <c r="I1506" s="376">
        <v>0.65716939790195539</v>
      </c>
    </row>
    <row r="1507" spans="1:9" x14ac:dyDescent="0.35">
      <c r="A1507" s="376" t="s">
        <v>1615</v>
      </c>
      <c r="B1507" s="376" t="s">
        <v>1609</v>
      </c>
      <c r="C1507" s="376" t="s">
        <v>1054</v>
      </c>
      <c r="D1507" s="376">
        <v>2022</v>
      </c>
      <c r="E1507" s="376">
        <v>2027</v>
      </c>
      <c r="F1507" s="376">
        <v>1</v>
      </c>
      <c r="G1507" s="376">
        <v>20148.813739673951</v>
      </c>
      <c r="H1507" s="376">
        <v>0</v>
      </c>
      <c r="I1507" s="376">
        <v>0.65716939790195539</v>
      </c>
    </row>
    <row r="1508" spans="1:9" x14ac:dyDescent="0.35">
      <c r="A1508" s="376" t="s">
        <v>1615</v>
      </c>
      <c r="B1508" s="376" t="s">
        <v>1609</v>
      </c>
      <c r="C1508" s="376" t="s">
        <v>1046</v>
      </c>
      <c r="D1508" s="376">
        <v>2022</v>
      </c>
      <c r="E1508" s="376">
        <v>2028</v>
      </c>
      <c r="F1508" s="376">
        <v>1</v>
      </c>
      <c r="G1508" s="376">
        <v>20148.813739673951</v>
      </c>
      <c r="H1508" s="376">
        <v>0</v>
      </c>
      <c r="I1508" s="376">
        <v>0.65716939790195539</v>
      </c>
    </row>
    <row r="1509" spans="1:9" x14ac:dyDescent="0.35">
      <c r="A1509" s="376" t="s">
        <v>1615</v>
      </c>
      <c r="B1509" s="376" t="s">
        <v>1609</v>
      </c>
      <c r="C1509" s="376" t="s">
        <v>644</v>
      </c>
      <c r="D1509" s="376">
        <v>2022</v>
      </c>
      <c r="E1509" s="376">
        <v>2028</v>
      </c>
      <c r="F1509" s="376">
        <v>1</v>
      </c>
      <c r="G1509" s="376">
        <v>20148.813739673951</v>
      </c>
      <c r="H1509" s="376">
        <v>0</v>
      </c>
      <c r="I1509" s="376">
        <v>0.65716939790195539</v>
      </c>
    </row>
    <row r="1510" spans="1:9" x14ac:dyDescent="0.35">
      <c r="A1510" s="376" t="s">
        <v>1615</v>
      </c>
      <c r="B1510" s="376" t="s">
        <v>1609</v>
      </c>
      <c r="C1510" s="376" t="s">
        <v>628</v>
      </c>
      <c r="D1510" s="376">
        <v>2022</v>
      </c>
      <c r="E1510" s="376">
        <v>2028</v>
      </c>
      <c r="F1510" s="376">
        <v>1</v>
      </c>
      <c r="G1510" s="376">
        <v>20148.813739673951</v>
      </c>
      <c r="H1510" s="376">
        <v>0</v>
      </c>
      <c r="I1510" s="376">
        <v>0.65716939790195539</v>
      </c>
    </row>
    <row r="1511" spans="1:9" x14ac:dyDescent="0.35">
      <c r="A1511" s="376" t="s">
        <v>1615</v>
      </c>
      <c r="B1511" s="376" t="s">
        <v>1609</v>
      </c>
      <c r="C1511" s="376" t="s">
        <v>1051</v>
      </c>
      <c r="D1511" s="376">
        <v>2022</v>
      </c>
      <c r="E1511" s="376">
        <v>2028</v>
      </c>
      <c r="F1511" s="376">
        <v>1</v>
      </c>
      <c r="G1511" s="376">
        <v>20148.813739673951</v>
      </c>
      <c r="H1511" s="376">
        <v>0</v>
      </c>
      <c r="I1511" s="376">
        <v>0.65716939790195539</v>
      </c>
    </row>
    <row r="1512" spans="1:9" x14ac:dyDescent="0.35">
      <c r="A1512" s="376" t="s">
        <v>1615</v>
      </c>
      <c r="B1512" s="376" t="s">
        <v>1609</v>
      </c>
      <c r="C1512" s="376" t="s">
        <v>1054</v>
      </c>
      <c r="D1512" s="376">
        <v>2022</v>
      </c>
      <c r="E1512" s="376">
        <v>2028</v>
      </c>
      <c r="F1512" s="376">
        <v>1</v>
      </c>
      <c r="G1512" s="376">
        <v>20148.813739673951</v>
      </c>
      <c r="H1512" s="376">
        <v>0</v>
      </c>
      <c r="I1512" s="376">
        <v>0.65716939790195539</v>
      </c>
    </row>
    <row r="1513" spans="1:9" x14ac:dyDescent="0.35">
      <c r="A1513" s="376" t="s">
        <v>1615</v>
      </c>
      <c r="B1513" s="376" t="s">
        <v>1609</v>
      </c>
      <c r="C1513" s="376" t="s">
        <v>1046</v>
      </c>
      <c r="D1513" s="376">
        <v>2022</v>
      </c>
      <c r="E1513" s="376">
        <v>2029</v>
      </c>
      <c r="F1513" s="376">
        <v>1</v>
      </c>
      <c r="G1513" s="376">
        <v>20148.813739673951</v>
      </c>
      <c r="H1513" s="376">
        <v>0</v>
      </c>
      <c r="I1513" s="376">
        <v>0.65716939790195539</v>
      </c>
    </row>
    <row r="1514" spans="1:9" x14ac:dyDescent="0.35">
      <c r="A1514" s="376" t="s">
        <v>1615</v>
      </c>
      <c r="B1514" s="376" t="s">
        <v>1609</v>
      </c>
      <c r="C1514" s="376" t="s">
        <v>644</v>
      </c>
      <c r="D1514" s="376">
        <v>2022</v>
      </c>
      <c r="E1514" s="376">
        <v>2029</v>
      </c>
      <c r="F1514" s="376">
        <v>1</v>
      </c>
      <c r="G1514" s="376">
        <v>20148.813739673951</v>
      </c>
      <c r="H1514" s="376">
        <v>0</v>
      </c>
      <c r="I1514" s="376">
        <v>0.65716939790195539</v>
      </c>
    </row>
    <row r="1515" spans="1:9" x14ac:dyDescent="0.35">
      <c r="A1515" s="376" t="s">
        <v>1615</v>
      </c>
      <c r="B1515" s="376" t="s">
        <v>1609</v>
      </c>
      <c r="C1515" s="376" t="s">
        <v>628</v>
      </c>
      <c r="D1515" s="376">
        <v>2022</v>
      </c>
      <c r="E1515" s="376">
        <v>2029</v>
      </c>
      <c r="F1515" s="376">
        <v>1</v>
      </c>
      <c r="G1515" s="376">
        <v>20148.813739673951</v>
      </c>
      <c r="H1515" s="376">
        <v>0</v>
      </c>
      <c r="I1515" s="376">
        <v>0.65716939790195539</v>
      </c>
    </row>
    <row r="1516" spans="1:9" x14ac:dyDescent="0.35">
      <c r="A1516" s="376" t="s">
        <v>1615</v>
      </c>
      <c r="B1516" s="376" t="s">
        <v>1609</v>
      </c>
      <c r="C1516" s="376" t="s">
        <v>1051</v>
      </c>
      <c r="D1516" s="376">
        <v>2022</v>
      </c>
      <c r="E1516" s="376">
        <v>2029</v>
      </c>
      <c r="F1516" s="376">
        <v>1</v>
      </c>
      <c r="G1516" s="376">
        <v>20148.813739673951</v>
      </c>
      <c r="H1516" s="376">
        <v>0</v>
      </c>
      <c r="I1516" s="376">
        <v>0.65716939790195539</v>
      </c>
    </row>
    <row r="1517" spans="1:9" x14ac:dyDescent="0.35">
      <c r="A1517" s="376" t="s">
        <v>1615</v>
      </c>
      <c r="B1517" s="376" t="s">
        <v>1609</v>
      </c>
      <c r="C1517" s="376" t="s">
        <v>1054</v>
      </c>
      <c r="D1517" s="376">
        <v>2022</v>
      </c>
      <c r="E1517" s="376">
        <v>2029</v>
      </c>
      <c r="F1517" s="376">
        <v>1</v>
      </c>
      <c r="G1517" s="376">
        <v>20148.813739673951</v>
      </c>
      <c r="H1517" s="376">
        <v>0</v>
      </c>
      <c r="I1517" s="376">
        <v>0.65716939790195539</v>
      </c>
    </row>
    <row r="1518" spans="1:9" x14ac:dyDescent="0.35">
      <c r="A1518" s="376" t="s">
        <v>1615</v>
      </c>
      <c r="B1518" s="376" t="s">
        <v>1609</v>
      </c>
      <c r="C1518" s="376" t="s">
        <v>1046</v>
      </c>
      <c r="D1518" s="376">
        <v>2022</v>
      </c>
      <c r="E1518" s="376">
        <v>2030</v>
      </c>
      <c r="F1518" s="376">
        <v>1</v>
      </c>
      <c r="G1518" s="376">
        <v>20148.813739673951</v>
      </c>
      <c r="H1518" s="376">
        <v>0</v>
      </c>
      <c r="I1518" s="376">
        <v>0.65716939790195539</v>
      </c>
    </row>
    <row r="1519" spans="1:9" x14ac:dyDescent="0.35">
      <c r="A1519" s="376" t="s">
        <v>1615</v>
      </c>
      <c r="B1519" s="376" t="s">
        <v>1609</v>
      </c>
      <c r="C1519" s="376" t="s">
        <v>644</v>
      </c>
      <c r="D1519" s="376">
        <v>2022</v>
      </c>
      <c r="E1519" s="376">
        <v>2030</v>
      </c>
      <c r="F1519" s="376">
        <v>1</v>
      </c>
      <c r="G1519" s="376">
        <v>20148.813739673951</v>
      </c>
      <c r="H1519" s="376">
        <v>0</v>
      </c>
      <c r="I1519" s="376">
        <v>0.65716939790195539</v>
      </c>
    </row>
    <row r="1520" spans="1:9" x14ac:dyDescent="0.35">
      <c r="A1520" s="376" t="s">
        <v>1615</v>
      </c>
      <c r="B1520" s="376" t="s">
        <v>1609</v>
      </c>
      <c r="C1520" s="376" t="s">
        <v>628</v>
      </c>
      <c r="D1520" s="376">
        <v>2022</v>
      </c>
      <c r="E1520" s="376">
        <v>2030</v>
      </c>
      <c r="F1520" s="376">
        <v>1</v>
      </c>
      <c r="G1520" s="376">
        <v>20148.813739673951</v>
      </c>
      <c r="H1520" s="376">
        <v>0</v>
      </c>
      <c r="I1520" s="376">
        <v>0.65716939790195539</v>
      </c>
    </row>
    <row r="1521" spans="1:9" x14ac:dyDescent="0.35">
      <c r="A1521" s="376" t="s">
        <v>1615</v>
      </c>
      <c r="B1521" s="376" t="s">
        <v>1609</v>
      </c>
      <c r="C1521" s="376" t="s">
        <v>1051</v>
      </c>
      <c r="D1521" s="376">
        <v>2022</v>
      </c>
      <c r="E1521" s="376">
        <v>2030</v>
      </c>
      <c r="F1521" s="376">
        <v>1</v>
      </c>
      <c r="G1521" s="376">
        <v>20148.813739673951</v>
      </c>
      <c r="H1521" s="376">
        <v>0</v>
      </c>
      <c r="I1521" s="376">
        <v>0.65716939790195539</v>
      </c>
    </row>
    <row r="1522" spans="1:9" x14ac:dyDescent="0.35">
      <c r="A1522" s="376" t="s">
        <v>1615</v>
      </c>
      <c r="B1522" s="376" t="s">
        <v>1609</v>
      </c>
      <c r="C1522" s="376" t="s">
        <v>1054</v>
      </c>
      <c r="D1522" s="376">
        <v>2022</v>
      </c>
      <c r="E1522" s="376">
        <v>2030</v>
      </c>
      <c r="F1522" s="376">
        <v>1</v>
      </c>
      <c r="G1522" s="376">
        <v>20148.813739673951</v>
      </c>
      <c r="H1522" s="376">
        <v>0</v>
      </c>
      <c r="I1522" s="376">
        <v>0.65716939790195539</v>
      </c>
    </row>
    <row r="1523" spans="1:9" x14ac:dyDescent="0.35">
      <c r="A1523" s="376" t="s">
        <v>1615</v>
      </c>
      <c r="B1523" s="376" t="s">
        <v>1609</v>
      </c>
      <c r="C1523" s="376" t="s">
        <v>1046</v>
      </c>
      <c r="D1523" s="376">
        <v>2022</v>
      </c>
      <c r="E1523" s="376">
        <v>2031</v>
      </c>
      <c r="F1523" s="376">
        <v>1</v>
      </c>
      <c r="G1523" s="376">
        <v>20148.813739673951</v>
      </c>
      <c r="H1523" s="376">
        <v>0</v>
      </c>
      <c r="I1523" s="376">
        <v>0.65716939790195539</v>
      </c>
    </row>
    <row r="1524" spans="1:9" x14ac:dyDescent="0.35">
      <c r="A1524" s="376" t="s">
        <v>1615</v>
      </c>
      <c r="B1524" s="376" t="s">
        <v>1609</v>
      </c>
      <c r="C1524" s="376" t="s">
        <v>644</v>
      </c>
      <c r="D1524" s="376">
        <v>2022</v>
      </c>
      <c r="E1524" s="376">
        <v>2031</v>
      </c>
      <c r="F1524" s="376">
        <v>1</v>
      </c>
      <c r="G1524" s="376">
        <v>20148.813739673951</v>
      </c>
      <c r="H1524" s="376">
        <v>0</v>
      </c>
      <c r="I1524" s="376">
        <v>0.65716939790195539</v>
      </c>
    </row>
    <row r="1525" spans="1:9" x14ac:dyDescent="0.35">
      <c r="A1525" s="376" t="s">
        <v>1615</v>
      </c>
      <c r="B1525" s="376" t="s">
        <v>1609</v>
      </c>
      <c r="C1525" s="376" t="s">
        <v>628</v>
      </c>
      <c r="D1525" s="376">
        <v>2022</v>
      </c>
      <c r="E1525" s="376">
        <v>2031</v>
      </c>
      <c r="F1525" s="376">
        <v>1</v>
      </c>
      <c r="G1525" s="376">
        <v>20148.813739673951</v>
      </c>
      <c r="H1525" s="376">
        <v>0</v>
      </c>
      <c r="I1525" s="376">
        <v>0.65716939790195539</v>
      </c>
    </row>
    <row r="1526" spans="1:9" x14ac:dyDescent="0.35">
      <c r="A1526" s="376" t="s">
        <v>1615</v>
      </c>
      <c r="B1526" s="376" t="s">
        <v>1609</v>
      </c>
      <c r="C1526" s="376" t="s">
        <v>1051</v>
      </c>
      <c r="D1526" s="376">
        <v>2022</v>
      </c>
      <c r="E1526" s="376">
        <v>2031</v>
      </c>
      <c r="F1526" s="376">
        <v>1</v>
      </c>
      <c r="G1526" s="376">
        <v>20148.813739673951</v>
      </c>
      <c r="H1526" s="376">
        <v>0</v>
      </c>
      <c r="I1526" s="376">
        <v>0.65716939790195539</v>
      </c>
    </row>
    <row r="1527" spans="1:9" x14ac:dyDescent="0.35">
      <c r="A1527" s="376" t="s">
        <v>1615</v>
      </c>
      <c r="B1527" s="376" t="s">
        <v>1609</v>
      </c>
      <c r="C1527" s="376" t="s">
        <v>1054</v>
      </c>
      <c r="D1527" s="376">
        <v>2022</v>
      </c>
      <c r="E1527" s="376">
        <v>2031</v>
      </c>
      <c r="F1527" s="376">
        <v>1</v>
      </c>
      <c r="G1527" s="376">
        <v>20148.813739673951</v>
      </c>
      <c r="H1527" s="376">
        <v>0</v>
      </c>
      <c r="I1527" s="376">
        <v>0.65716939790195539</v>
      </c>
    </row>
    <row r="1528" spans="1:9" x14ac:dyDescent="0.35">
      <c r="A1528" s="376" t="s">
        <v>1603</v>
      </c>
      <c r="B1528" s="376" t="s">
        <v>1609</v>
      </c>
      <c r="C1528" s="376" t="s">
        <v>1046</v>
      </c>
      <c r="D1528" s="376">
        <v>2022</v>
      </c>
      <c r="E1528" s="376">
        <v>2022</v>
      </c>
      <c r="F1528" s="376">
        <v>1</v>
      </c>
      <c r="G1528" s="376">
        <v>6101.463203368502</v>
      </c>
      <c r="H1528" s="376">
        <v>0</v>
      </c>
      <c r="I1528" s="376">
        <v>1</v>
      </c>
    </row>
    <row r="1529" spans="1:9" x14ac:dyDescent="0.35">
      <c r="A1529" s="376" t="s">
        <v>1603</v>
      </c>
      <c r="B1529" s="376" t="s">
        <v>1609</v>
      </c>
      <c r="C1529" s="376" t="s">
        <v>644</v>
      </c>
      <c r="D1529" s="376">
        <v>2022</v>
      </c>
      <c r="E1529" s="376">
        <v>2022</v>
      </c>
      <c r="F1529" s="376">
        <v>1</v>
      </c>
      <c r="G1529" s="376">
        <v>6101.463203368502</v>
      </c>
      <c r="H1529" s="376">
        <v>0</v>
      </c>
      <c r="I1529" s="376">
        <v>1</v>
      </c>
    </row>
    <row r="1530" spans="1:9" x14ac:dyDescent="0.35">
      <c r="A1530" s="376" t="s">
        <v>1603</v>
      </c>
      <c r="B1530" s="376" t="s">
        <v>1609</v>
      </c>
      <c r="C1530" s="376" t="s">
        <v>628</v>
      </c>
      <c r="D1530" s="376">
        <v>2022</v>
      </c>
      <c r="E1530" s="376">
        <v>2022</v>
      </c>
      <c r="F1530" s="376">
        <v>1</v>
      </c>
      <c r="G1530" s="376">
        <v>6101.463203368502</v>
      </c>
      <c r="H1530" s="376">
        <v>0</v>
      </c>
      <c r="I1530" s="376">
        <v>1</v>
      </c>
    </row>
    <row r="1531" spans="1:9" x14ac:dyDescent="0.35">
      <c r="A1531" s="376" t="s">
        <v>1603</v>
      </c>
      <c r="B1531" s="376" t="s">
        <v>1609</v>
      </c>
      <c r="C1531" s="376" t="s">
        <v>1051</v>
      </c>
      <c r="D1531" s="376">
        <v>2022</v>
      </c>
      <c r="E1531" s="376">
        <v>2022</v>
      </c>
      <c r="F1531" s="376">
        <v>1</v>
      </c>
      <c r="G1531" s="376">
        <v>6101.463203368502</v>
      </c>
      <c r="H1531" s="376">
        <v>0</v>
      </c>
      <c r="I1531" s="376">
        <v>1</v>
      </c>
    </row>
    <row r="1532" spans="1:9" x14ac:dyDescent="0.35">
      <c r="A1532" s="376" t="s">
        <v>1603</v>
      </c>
      <c r="B1532" s="376" t="s">
        <v>1609</v>
      </c>
      <c r="C1532" s="376" t="s">
        <v>1054</v>
      </c>
      <c r="D1532" s="376">
        <v>2022</v>
      </c>
      <c r="E1532" s="376">
        <v>2022</v>
      </c>
      <c r="F1532" s="376">
        <v>1</v>
      </c>
      <c r="G1532" s="376">
        <v>6101.463203368502</v>
      </c>
      <c r="H1532" s="376">
        <v>0</v>
      </c>
      <c r="I1532" s="376">
        <v>1</v>
      </c>
    </row>
    <row r="1533" spans="1:9" x14ac:dyDescent="0.35">
      <c r="A1533" s="376" t="s">
        <v>1603</v>
      </c>
      <c r="B1533" s="376" t="s">
        <v>1609</v>
      </c>
      <c r="C1533" s="376" t="s">
        <v>1046</v>
      </c>
      <c r="D1533" s="376">
        <v>2022</v>
      </c>
      <c r="E1533" s="376">
        <v>2023</v>
      </c>
      <c r="F1533" s="376">
        <v>1</v>
      </c>
      <c r="G1533" s="376">
        <v>6101.463203368502</v>
      </c>
      <c r="H1533" s="376">
        <v>0</v>
      </c>
      <c r="I1533" s="376">
        <v>1</v>
      </c>
    </row>
    <row r="1534" spans="1:9" x14ac:dyDescent="0.35">
      <c r="A1534" s="376" t="s">
        <v>1603</v>
      </c>
      <c r="B1534" s="376" t="s">
        <v>1609</v>
      </c>
      <c r="C1534" s="376" t="s">
        <v>644</v>
      </c>
      <c r="D1534" s="376">
        <v>2022</v>
      </c>
      <c r="E1534" s="376">
        <v>2023</v>
      </c>
      <c r="F1534" s="376">
        <v>1</v>
      </c>
      <c r="G1534" s="376">
        <v>6101.463203368502</v>
      </c>
      <c r="H1534" s="376">
        <v>0</v>
      </c>
      <c r="I1534" s="376">
        <v>1</v>
      </c>
    </row>
    <row r="1535" spans="1:9" x14ac:dyDescent="0.35">
      <c r="A1535" s="376" t="s">
        <v>1603</v>
      </c>
      <c r="B1535" s="376" t="s">
        <v>1609</v>
      </c>
      <c r="C1535" s="376" t="s">
        <v>628</v>
      </c>
      <c r="D1535" s="376">
        <v>2022</v>
      </c>
      <c r="E1535" s="376">
        <v>2023</v>
      </c>
      <c r="F1535" s="376">
        <v>1</v>
      </c>
      <c r="G1535" s="376">
        <v>6101.463203368502</v>
      </c>
      <c r="H1535" s="376">
        <v>0</v>
      </c>
      <c r="I1535" s="376">
        <v>1</v>
      </c>
    </row>
    <row r="1536" spans="1:9" x14ac:dyDescent="0.35">
      <c r="A1536" s="376" t="s">
        <v>1603</v>
      </c>
      <c r="B1536" s="376" t="s">
        <v>1609</v>
      </c>
      <c r="C1536" s="376" t="s">
        <v>1051</v>
      </c>
      <c r="D1536" s="376">
        <v>2022</v>
      </c>
      <c r="E1536" s="376">
        <v>2023</v>
      </c>
      <c r="F1536" s="376">
        <v>1</v>
      </c>
      <c r="G1536" s="376">
        <v>6101.463203368502</v>
      </c>
      <c r="H1536" s="376">
        <v>0</v>
      </c>
      <c r="I1536" s="376">
        <v>1</v>
      </c>
    </row>
    <row r="1537" spans="1:9" x14ac:dyDescent="0.35">
      <c r="A1537" s="376" t="s">
        <v>1603</v>
      </c>
      <c r="B1537" s="376" t="s">
        <v>1609</v>
      </c>
      <c r="C1537" s="376" t="s">
        <v>1054</v>
      </c>
      <c r="D1537" s="376">
        <v>2022</v>
      </c>
      <c r="E1537" s="376">
        <v>2023</v>
      </c>
      <c r="F1537" s="376">
        <v>1</v>
      </c>
      <c r="G1537" s="376">
        <v>6101.463203368502</v>
      </c>
      <c r="H1537" s="376">
        <v>0</v>
      </c>
      <c r="I1537" s="376">
        <v>1</v>
      </c>
    </row>
    <row r="1538" spans="1:9" x14ac:dyDescent="0.35">
      <c r="A1538" s="376" t="s">
        <v>1603</v>
      </c>
      <c r="B1538" s="376" t="s">
        <v>1609</v>
      </c>
      <c r="C1538" s="376" t="s">
        <v>1046</v>
      </c>
      <c r="D1538" s="376">
        <v>2022</v>
      </c>
      <c r="E1538" s="376">
        <v>2024</v>
      </c>
      <c r="F1538" s="376">
        <v>1</v>
      </c>
      <c r="G1538" s="376">
        <v>6101.463203368502</v>
      </c>
      <c r="H1538" s="376">
        <v>0</v>
      </c>
      <c r="I1538" s="376">
        <v>1</v>
      </c>
    </row>
    <row r="1539" spans="1:9" x14ac:dyDescent="0.35">
      <c r="A1539" s="376" t="s">
        <v>1603</v>
      </c>
      <c r="B1539" s="376" t="s">
        <v>1609</v>
      </c>
      <c r="C1539" s="376" t="s">
        <v>644</v>
      </c>
      <c r="D1539" s="376">
        <v>2022</v>
      </c>
      <c r="E1539" s="376">
        <v>2024</v>
      </c>
      <c r="F1539" s="376">
        <v>1</v>
      </c>
      <c r="G1539" s="376">
        <v>6101.463203368502</v>
      </c>
      <c r="H1539" s="376">
        <v>0</v>
      </c>
      <c r="I1539" s="376">
        <v>1</v>
      </c>
    </row>
    <row r="1540" spans="1:9" x14ac:dyDescent="0.35">
      <c r="A1540" s="376" t="s">
        <v>1603</v>
      </c>
      <c r="B1540" s="376" t="s">
        <v>1609</v>
      </c>
      <c r="C1540" s="376" t="s">
        <v>628</v>
      </c>
      <c r="D1540" s="376">
        <v>2022</v>
      </c>
      <c r="E1540" s="376">
        <v>2024</v>
      </c>
      <c r="F1540" s="376">
        <v>1</v>
      </c>
      <c r="G1540" s="376">
        <v>6101.463203368502</v>
      </c>
      <c r="H1540" s="376">
        <v>0</v>
      </c>
      <c r="I1540" s="376">
        <v>1</v>
      </c>
    </row>
    <row r="1541" spans="1:9" x14ac:dyDescent="0.35">
      <c r="A1541" s="376" t="s">
        <v>1603</v>
      </c>
      <c r="B1541" s="376" t="s">
        <v>1609</v>
      </c>
      <c r="C1541" s="376" t="s">
        <v>1051</v>
      </c>
      <c r="D1541" s="376">
        <v>2022</v>
      </c>
      <c r="E1541" s="376">
        <v>2024</v>
      </c>
      <c r="F1541" s="376">
        <v>1</v>
      </c>
      <c r="G1541" s="376">
        <v>6101.463203368502</v>
      </c>
      <c r="H1541" s="376">
        <v>0</v>
      </c>
      <c r="I1541" s="376">
        <v>1</v>
      </c>
    </row>
    <row r="1542" spans="1:9" x14ac:dyDescent="0.35">
      <c r="A1542" s="376" t="s">
        <v>1603</v>
      </c>
      <c r="B1542" s="376" t="s">
        <v>1609</v>
      </c>
      <c r="C1542" s="376" t="s">
        <v>1054</v>
      </c>
      <c r="D1542" s="376">
        <v>2022</v>
      </c>
      <c r="E1542" s="376">
        <v>2024</v>
      </c>
      <c r="F1542" s="376">
        <v>1</v>
      </c>
      <c r="G1542" s="376">
        <v>6101.463203368502</v>
      </c>
      <c r="H1542" s="376">
        <v>0</v>
      </c>
      <c r="I1542" s="376">
        <v>1</v>
      </c>
    </row>
    <row r="1543" spans="1:9" x14ac:dyDescent="0.35">
      <c r="A1543" s="376" t="s">
        <v>1603</v>
      </c>
      <c r="B1543" s="376" t="s">
        <v>1609</v>
      </c>
      <c r="C1543" s="376" t="s">
        <v>1046</v>
      </c>
      <c r="D1543" s="376">
        <v>2022</v>
      </c>
      <c r="E1543" s="376">
        <v>2025</v>
      </c>
      <c r="F1543" s="376">
        <v>1</v>
      </c>
      <c r="G1543" s="376">
        <v>6101.463203368502</v>
      </c>
      <c r="H1543" s="376">
        <v>0</v>
      </c>
      <c r="I1543" s="376">
        <v>1</v>
      </c>
    </row>
    <row r="1544" spans="1:9" x14ac:dyDescent="0.35">
      <c r="A1544" s="376" t="s">
        <v>1603</v>
      </c>
      <c r="B1544" s="376" t="s">
        <v>1609</v>
      </c>
      <c r="C1544" s="376" t="s">
        <v>644</v>
      </c>
      <c r="D1544" s="376">
        <v>2022</v>
      </c>
      <c r="E1544" s="376">
        <v>2025</v>
      </c>
      <c r="F1544" s="376">
        <v>1</v>
      </c>
      <c r="G1544" s="376">
        <v>6101.463203368502</v>
      </c>
      <c r="H1544" s="376">
        <v>0</v>
      </c>
      <c r="I1544" s="376">
        <v>1</v>
      </c>
    </row>
    <row r="1545" spans="1:9" x14ac:dyDescent="0.35">
      <c r="A1545" s="376" t="s">
        <v>1603</v>
      </c>
      <c r="B1545" s="376" t="s">
        <v>1609</v>
      </c>
      <c r="C1545" s="376" t="s">
        <v>628</v>
      </c>
      <c r="D1545" s="376">
        <v>2022</v>
      </c>
      <c r="E1545" s="376">
        <v>2025</v>
      </c>
      <c r="F1545" s="376">
        <v>1</v>
      </c>
      <c r="G1545" s="376">
        <v>6101.463203368502</v>
      </c>
      <c r="H1545" s="376">
        <v>0</v>
      </c>
      <c r="I1545" s="376">
        <v>1</v>
      </c>
    </row>
    <row r="1546" spans="1:9" x14ac:dyDescent="0.35">
      <c r="A1546" s="376" t="s">
        <v>1603</v>
      </c>
      <c r="B1546" s="376" t="s">
        <v>1609</v>
      </c>
      <c r="C1546" s="376" t="s">
        <v>1051</v>
      </c>
      <c r="D1546" s="376">
        <v>2022</v>
      </c>
      <c r="E1546" s="376">
        <v>2025</v>
      </c>
      <c r="F1546" s="376">
        <v>1</v>
      </c>
      <c r="G1546" s="376">
        <v>6101.463203368502</v>
      </c>
      <c r="H1546" s="376">
        <v>0</v>
      </c>
      <c r="I1546" s="376">
        <v>1</v>
      </c>
    </row>
    <row r="1547" spans="1:9" x14ac:dyDescent="0.35">
      <c r="A1547" s="376" t="s">
        <v>1603</v>
      </c>
      <c r="B1547" s="376" t="s">
        <v>1609</v>
      </c>
      <c r="C1547" s="376" t="s">
        <v>1054</v>
      </c>
      <c r="D1547" s="376">
        <v>2022</v>
      </c>
      <c r="E1547" s="376">
        <v>2025</v>
      </c>
      <c r="F1547" s="376">
        <v>1</v>
      </c>
      <c r="G1547" s="376">
        <v>6101.463203368502</v>
      </c>
      <c r="H1547" s="376">
        <v>0</v>
      </c>
      <c r="I1547" s="376">
        <v>1</v>
      </c>
    </row>
    <row r="1548" spans="1:9" x14ac:dyDescent="0.35">
      <c r="A1548" s="376" t="s">
        <v>1603</v>
      </c>
      <c r="B1548" s="376" t="s">
        <v>1609</v>
      </c>
      <c r="C1548" s="376" t="s">
        <v>1046</v>
      </c>
      <c r="D1548" s="376">
        <v>2022</v>
      </c>
      <c r="E1548" s="376">
        <v>2026</v>
      </c>
      <c r="F1548" s="376">
        <v>1</v>
      </c>
      <c r="G1548" s="376">
        <v>6101.463203368502</v>
      </c>
      <c r="H1548" s="376">
        <v>0</v>
      </c>
      <c r="I1548" s="376">
        <v>1</v>
      </c>
    </row>
    <row r="1549" spans="1:9" x14ac:dyDescent="0.35">
      <c r="A1549" s="376" t="s">
        <v>1603</v>
      </c>
      <c r="B1549" s="376" t="s">
        <v>1609</v>
      </c>
      <c r="C1549" s="376" t="s">
        <v>644</v>
      </c>
      <c r="D1549" s="376">
        <v>2022</v>
      </c>
      <c r="E1549" s="376">
        <v>2026</v>
      </c>
      <c r="F1549" s="376">
        <v>1</v>
      </c>
      <c r="G1549" s="376">
        <v>6101.463203368502</v>
      </c>
      <c r="H1549" s="376">
        <v>0</v>
      </c>
      <c r="I1549" s="376">
        <v>1</v>
      </c>
    </row>
    <row r="1550" spans="1:9" x14ac:dyDescent="0.35">
      <c r="A1550" s="376" t="s">
        <v>1603</v>
      </c>
      <c r="B1550" s="376" t="s">
        <v>1609</v>
      </c>
      <c r="C1550" s="376" t="s">
        <v>628</v>
      </c>
      <c r="D1550" s="376">
        <v>2022</v>
      </c>
      <c r="E1550" s="376">
        <v>2026</v>
      </c>
      <c r="F1550" s="376">
        <v>1</v>
      </c>
      <c r="G1550" s="376">
        <v>6101.463203368502</v>
      </c>
      <c r="H1550" s="376">
        <v>0</v>
      </c>
      <c r="I1550" s="376">
        <v>1</v>
      </c>
    </row>
    <row r="1551" spans="1:9" x14ac:dyDescent="0.35">
      <c r="A1551" s="376" t="s">
        <v>1603</v>
      </c>
      <c r="B1551" s="376" t="s">
        <v>1609</v>
      </c>
      <c r="C1551" s="376" t="s">
        <v>1051</v>
      </c>
      <c r="D1551" s="376">
        <v>2022</v>
      </c>
      <c r="E1551" s="376">
        <v>2026</v>
      </c>
      <c r="F1551" s="376">
        <v>1</v>
      </c>
      <c r="G1551" s="376">
        <v>6101.463203368502</v>
      </c>
      <c r="H1551" s="376">
        <v>0</v>
      </c>
      <c r="I1551" s="376">
        <v>1</v>
      </c>
    </row>
    <row r="1552" spans="1:9" x14ac:dyDescent="0.35">
      <c r="A1552" s="376" t="s">
        <v>1603</v>
      </c>
      <c r="B1552" s="376" t="s">
        <v>1609</v>
      </c>
      <c r="C1552" s="376" t="s">
        <v>1054</v>
      </c>
      <c r="D1552" s="376">
        <v>2022</v>
      </c>
      <c r="E1552" s="376">
        <v>2026</v>
      </c>
      <c r="F1552" s="376">
        <v>1</v>
      </c>
      <c r="G1552" s="376">
        <v>6101.463203368502</v>
      </c>
      <c r="H1552" s="376">
        <v>0</v>
      </c>
      <c r="I1552" s="376">
        <v>1</v>
      </c>
    </row>
    <row r="1553" spans="1:9" x14ac:dyDescent="0.35">
      <c r="A1553" s="376" t="s">
        <v>1603</v>
      </c>
      <c r="B1553" s="376" t="s">
        <v>1609</v>
      </c>
      <c r="C1553" s="376" t="s">
        <v>1046</v>
      </c>
      <c r="D1553" s="376">
        <v>2022</v>
      </c>
      <c r="E1553" s="376">
        <v>2027</v>
      </c>
      <c r="F1553" s="376">
        <v>1</v>
      </c>
      <c r="G1553" s="376">
        <v>6101.463203368502</v>
      </c>
      <c r="H1553" s="376">
        <v>0</v>
      </c>
      <c r="I1553" s="376">
        <v>1</v>
      </c>
    </row>
    <row r="1554" spans="1:9" x14ac:dyDescent="0.35">
      <c r="A1554" s="376" t="s">
        <v>1603</v>
      </c>
      <c r="B1554" s="376" t="s">
        <v>1609</v>
      </c>
      <c r="C1554" s="376" t="s">
        <v>644</v>
      </c>
      <c r="D1554" s="376">
        <v>2022</v>
      </c>
      <c r="E1554" s="376">
        <v>2027</v>
      </c>
      <c r="F1554" s="376">
        <v>1</v>
      </c>
      <c r="G1554" s="376">
        <v>6101.463203368502</v>
      </c>
      <c r="H1554" s="376">
        <v>0</v>
      </c>
      <c r="I1554" s="376">
        <v>1</v>
      </c>
    </row>
    <row r="1555" spans="1:9" x14ac:dyDescent="0.35">
      <c r="A1555" s="376" t="s">
        <v>1603</v>
      </c>
      <c r="B1555" s="376" t="s">
        <v>1609</v>
      </c>
      <c r="C1555" s="376" t="s">
        <v>628</v>
      </c>
      <c r="D1555" s="376">
        <v>2022</v>
      </c>
      <c r="E1555" s="376">
        <v>2027</v>
      </c>
      <c r="F1555" s="376">
        <v>1</v>
      </c>
      <c r="G1555" s="376">
        <v>6101.463203368502</v>
      </c>
      <c r="H1555" s="376">
        <v>0</v>
      </c>
      <c r="I1555" s="376">
        <v>1</v>
      </c>
    </row>
    <row r="1556" spans="1:9" x14ac:dyDescent="0.35">
      <c r="A1556" s="376" t="s">
        <v>1603</v>
      </c>
      <c r="B1556" s="376" t="s">
        <v>1609</v>
      </c>
      <c r="C1556" s="376" t="s">
        <v>1051</v>
      </c>
      <c r="D1556" s="376">
        <v>2022</v>
      </c>
      <c r="E1556" s="376">
        <v>2027</v>
      </c>
      <c r="F1556" s="376">
        <v>1</v>
      </c>
      <c r="G1556" s="376">
        <v>6101.463203368502</v>
      </c>
      <c r="H1556" s="376">
        <v>0</v>
      </c>
      <c r="I1556" s="376">
        <v>1</v>
      </c>
    </row>
    <row r="1557" spans="1:9" x14ac:dyDescent="0.35">
      <c r="A1557" s="376" t="s">
        <v>1603</v>
      </c>
      <c r="B1557" s="376" t="s">
        <v>1609</v>
      </c>
      <c r="C1557" s="376" t="s">
        <v>1054</v>
      </c>
      <c r="D1557" s="376">
        <v>2022</v>
      </c>
      <c r="E1557" s="376">
        <v>2027</v>
      </c>
      <c r="F1557" s="376">
        <v>1</v>
      </c>
      <c r="G1557" s="376">
        <v>6101.463203368502</v>
      </c>
      <c r="H1557" s="376">
        <v>0</v>
      </c>
      <c r="I1557" s="376">
        <v>1</v>
      </c>
    </row>
    <row r="1558" spans="1:9" x14ac:dyDescent="0.35">
      <c r="A1558" s="376" t="s">
        <v>1603</v>
      </c>
      <c r="B1558" s="376" t="s">
        <v>1609</v>
      </c>
      <c r="C1558" s="376" t="s">
        <v>1046</v>
      </c>
      <c r="D1558" s="376">
        <v>2022</v>
      </c>
      <c r="E1558" s="376">
        <v>2028</v>
      </c>
      <c r="F1558" s="376">
        <v>1</v>
      </c>
      <c r="G1558" s="376">
        <v>6101.463203368502</v>
      </c>
      <c r="H1558" s="376">
        <v>0</v>
      </c>
      <c r="I1558" s="376">
        <v>1</v>
      </c>
    </row>
    <row r="1559" spans="1:9" x14ac:dyDescent="0.35">
      <c r="A1559" s="376" t="s">
        <v>1603</v>
      </c>
      <c r="B1559" s="376" t="s">
        <v>1609</v>
      </c>
      <c r="C1559" s="376" t="s">
        <v>644</v>
      </c>
      <c r="D1559" s="376">
        <v>2022</v>
      </c>
      <c r="E1559" s="376">
        <v>2028</v>
      </c>
      <c r="F1559" s="376">
        <v>1</v>
      </c>
      <c r="G1559" s="376">
        <v>6101.463203368502</v>
      </c>
      <c r="H1559" s="376">
        <v>0</v>
      </c>
      <c r="I1559" s="376">
        <v>1</v>
      </c>
    </row>
    <row r="1560" spans="1:9" x14ac:dyDescent="0.35">
      <c r="A1560" s="376" t="s">
        <v>1603</v>
      </c>
      <c r="B1560" s="376" t="s">
        <v>1609</v>
      </c>
      <c r="C1560" s="376" t="s">
        <v>628</v>
      </c>
      <c r="D1560" s="376">
        <v>2022</v>
      </c>
      <c r="E1560" s="376">
        <v>2028</v>
      </c>
      <c r="F1560" s="376">
        <v>1</v>
      </c>
      <c r="G1560" s="376">
        <v>6101.463203368502</v>
      </c>
      <c r="H1560" s="376">
        <v>0</v>
      </c>
      <c r="I1560" s="376">
        <v>1</v>
      </c>
    </row>
    <row r="1561" spans="1:9" x14ac:dyDescent="0.35">
      <c r="A1561" s="376" t="s">
        <v>1603</v>
      </c>
      <c r="B1561" s="376" t="s">
        <v>1609</v>
      </c>
      <c r="C1561" s="376" t="s">
        <v>1051</v>
      </c>
      <c r="D1561" s="376">
        <v>2022</v>
      </c>
      <c r="E1561" s="376">
        <v>2028</v>
      </c>
      <c r="F1561" s="376">
        <v>1</v>
      </c>
      <c r="G1561" s="376">
        <v>6101.463203368502</v>
      </c>
      <c r="H1561" s="376">
        <v>0</v>
      </c>
      <c r="I1561" s="376">
        <v>1</v>
      </c>
    </row>
    <row r="1562" spans="1:9" x14ac:dyDescent="0.35">
      <c r="A1562" s="376" t="s">
        <v>1603</v>
      </c>
      <c r="B1562" s="376" t="s">
        <v>1609</v>
      </c>
      <c r="C1562" s="376" t="s">
        <v>1054</v>
      </c>
      <c r="D1562" s="376">
        <v>2022</v>
      </c>
      <c r="E1562" s="376">
        <v>2028</v>
      </c>
      <c r="F1562" s="376">
        <v>1</v>
      </c>
      <c r="G1562" s="376">
        <v>6101.463203368502</v>
      </c>
      <c r="H1562" s="376">
        <v>0</v>
      </c>
      <c r="I1562" s="376">
        <v>1</v>
      </c>
    </row>
    <row r="1563" spans="1:9" x14ac:dyDescent="0.35">
      <c r="A1563" s="376" t="s">
        <v>1603</v>
      </c>
      <c r="B1563" s="376" t="s">
        <v>1609</v>
      </c>
      <c r="C1563" s="376" t="s">
        <v>1046</v>
      </c>
      <c r="D1563" s="376">
        <v>2022</v>
      </c>
      <c r="E1563" s="376">
        <v>2029</v>
      </c>
      <c r="F1563" s="376">
        <v>1</v>
      </c>
      <c r="G1563" s="376">
        <v>6101.463203368502</v>
      </c>
      <c r="H1563" s="376">
        <v>0</v>
      </c>
      <c r="I1563" s="376">
        <v>1</v>
      </c>
    </row>
    <row r="1564" spans="1:9" x14ac:dyDescent="0.35">
      <c r="A1564" s="376" t="s">
        <v>1603</v>
      </c>
      <c r="B1564" s="376" t="s">
        <v>1609</v>
      </c>
      <c r="C1564" s="376" t="s">
        <v>644</v>
      </c>
      <c r="D1564" s="376">
        <v>2022</v>
      </c>
      <c r="E1564" s="376">
        <v>2029</v>
      </c>
      <c r="F1564" s="376">
        <v>1</v>
      </c>
      <c r="G1564" s="376">
        <v>6101.463203368502</v>
      </c>
      <c r="H1564" s="376">
        <v>0</v>
      </c>
      <c r="I1564" s="376">
        <v>1</v>
      </c>
    </row>
    <row r="1565" spans="1:9" x14ac:dyDescent="0.35">
      <c r="A1565" s="376" t="s">
        <v>1603</v>
      </c>
      <c r="B1565" s="376" t="s">
        <v>1609</v>
      </c>
      <c r="C1565" s="376" t="s">
        <v>628</v>
      </c>
      <c r="D1565" s="376">
        <v>2022</v>
      </c>
      <c r="E1565" s="376">
        <v>2029</v>
      </c>
      <c r="F1565" s="376">
        <v>1</v>
      </c>
      <c r="G1565" s="376">
        <v>6101.463203368502</v>
      </c>
      <c r="H1565" s="376">
        <v>0</v>
      </c>
      <c r="I1565" s="376">
        <v>1</v>
      </c>
    </row>
    <row r="1566" spans="1:9" x14ac:dyDescent="0.35">
      <c r="A1566" s="376" t="s">
        <v>1603</v>
      </c>
      <c r="B1566" s="376" t="s">
        <v>1609</v>
      </c>
      <c r="C1566" s="376" t="s">
        <v>1051</v>
      </c>
      <c r="D1566" s="376">
        <v>2022</v>
      </c>
      <c r="E1566" s="376">
        <v>2029</v>
      </c>
      <c r="F1566" s="376">
        <v>1</v>
      </c>
      <c r="G1566" s="376">
        <v>6101.463203368502</v>
      </c>
      <c r="H1566" s="376">
        <v>0</v>
      </c>
      <c r="I1566" s="376">
        <v>1</v>
      </c>
    </row>
    <row r="1567" spans="1:9" x14ac:dyDescent="0.35">
      <c r="A1567" s="376" t="s">
        <v>1603</v>
      </c>
      <c r="B1567" s="376" t="s">
        <v>1609</v>
      </c>
      <c r="C1567" s="376" t="s">
        <v>1054</v>
      </c>
      <c r="D1567" s="376">
        <v>2022</v>
      </c>
      <c r="E1567" s="376">
        <v>2029</v>
      </c>
      <c r="F1567" s="376">
        <v>1</v>
      </c>
      <c r="G1567" s="376">
        <v>6101.463203368502</v>
      </c>
      <c r="H1567" s="376">
        <v>0</v>
      </c>
      <c r="I1567" s="376">
        <v>1</v>
      </c>
    </row>
    <row r="1568" spans="1:9" x14ac:dyDescent="0.35">
      <c r="A1568" s="376" t="s">
        <v>1603</v>
      </c>
      <c r="B1568" s="376" t="s">
        <v>1609</v>
      </c>
      <c r="C1568" s="376" t="s">
        <v>1046</v>
      </c>
      <c r="D1568" s="376">
        <v>2022</v>
      </c>
      <c r="E1568" s="376">
        <v>2030</v>
      </c>
      <c r="F1568" s="376">
        <v>1</v>
      </c>
      <c r="G1568" s="376">
        <v>6101.463203368502</v>
      </c>
      <c r="H1568" s="376">
        <v>0</v>
      </c>
      <c r="I1568" s="376">
        <v>1</v>
      </c>
    </row>
    <row r="1569" spans="1:9" x14ac:dyDescent="0.35">
      <c r="A1569" s="376" t="s">
        <v>1603</v>
      </c>
      <c r="B1569" s="376" t="s">
        <v>1609</v>
      </c>
      <c r="C1569" s="376" t="s">
        <v>644</v>
      </c>
      <c r="D1569" s="376">
        <v>2022</v>
      </c>
      <c r="E1569" s="376">
        <v>2030</v>
      </c>
      <c r="F1569" s="376">
        <v>1</v>
      </c>
      <c r="G1569" s="376">
        <v>6101.463203368502</v>
      </c>
      <c r="H1569" s="376">
        <v>0</v>
      </c>
      <c r="I1569" s="376">
        <v>1</v>
      </c>
    </row>
    <row r="1570" spans="1:9" x14ac:dyDescent="0.35">
      <c r="A1570" s="376" t="s">
        <v>1603</v>
      </c>
      <c r="B1570" s="376" t="s">
        <v>1609</v>
      </c>
      <c r="C1570" s="376" t="s">
        <v>628</v>
      </c>
      <c r="D1570" s="376">
        <v>2022</v>
      </c>
      <c r="E1570" s="376">
        <v>2030</v>
      </c>
      <c r="F1570" s="376">
        <v>1</v>
      </c>
      <c r="G1570" s="376">
        <v>6101.463203368502</v>
      </c>
      <c r="H1570" s="376">
        <v>0</v>
      </c>
      <c r="I1570" s="376">
        <v>1</v>
      </c>
    </row>
    <row r="1571" spans="1:9" x14ac:dyDescent="0.35">
      <c r="A1571" s="376" t="s">
        <v>1603</v>
      </c>
      <c r="B1571" s="376" t="s">
        <v>1609</v>
      </c>
      <c r="C1571" s="376" t="s">
        <v>1051</v>
      </c>
      <c r="D1571" s="376">
        <v>2022</v>
      </c>
      <c r="E1571" s="376">
        <v>2030</v>
      </c>
      <c r="F1571" s="376">
        <v>1</v>
      </c>
      <c r="G1571" s="376">
        <v>6101.463203368502</v>
      </c>
      <c r="H1571" s="376">
        <v>0</v>
      </c>
      <c r="I1571" s="376">
        <v>1</v>
      </c>
    </row>
    <row r="1572" spans="1:9" x14ac:dyDescent="0.35">
      <c r="A1572" s="376" t="s">
        <v>1603</v>
      </c>
      <c r="B1572" s="376" t="s">
        <v>1609</v>
      </c>
      <c r="C1572" s="376" t="s">
        <v>1054</v>
      </c>
      <c r="D1572" s="376">
        <v>2022</v>
      </c>
      <c r="E1572" s="376">
        <v>2030</v>
      </c>
      <c r="F1572" s="376">
        <v>1</v>
      </c>
      <c r="G1572" s="376">
        <v>6101.463203368502</v>
      </c>
      <c r="H1572" s="376">
        <v>0</v>
      </c>
      <c r="I1572" s="376">
        <v>1</v>
      </c>
    </row>
    <row r="1573" spans="1:9" x14ac:dyDescent="0.35">
      <c r="A1573" s="376" t="s">
        <v>1603</v>
      </c>
      <c r="B1573" s="376" t="s">
        <v>1609</v>
      </c>
      <c r="C1573" s="376" t="s">
        <v>1046</v>
      </c>
      <c r="D1573" s="376">
        <v>2022</v>
      </c>
      <c r="E1573" s="376">
        <v>2031</v>
      </c>
      <c r="F1573" s="376">
        <v>1</v>
      </c>
      <c r="G1573" s="376">
        <v>6101.463203368502</v>
      </c>
      <c r="H1573" s="376">
        <v>0</v>
      </c>
      <c r="I1573" s="376">
        <v>1</v>
      </c>
    </row>
    <row r="1574" spans="1:9" x14ac:dyDescent="0.35">
      <c r="A1574" s="376" t="s">
        <v>1603</v>
      </c>
      <c r="B1574" s="376" t="s">
        <v>1609</v>
      </c>
      <c r="C1574" s="376" t="s">
        <v>644</v>
      </c>
      <c r="D1574" s="376">
        <v>2022</v>
      </c>
      <c r="E1574" s="376">
        <v>2031</v>
      </c>
      <c r="F1574" s="376">
        <v>1</v>
      </c>
      <c r="G1574" s="376">
        <v>6101.463203368502</v>
      </c>
      <c r="H1574" s="376">
        <v>0</v>
      </c>
      <c r="I1574" s="376">
        <v>1</v>
      </c>
    </row>
    <row r="1575" spans="1:9" x14ac:dyDescent="0.35">
      <c r="A1575" s="376" t="s">
        <v>1603</v>
      </c>
      <c r="B1575" s="376" t="s">
        <v>1609</v>
      </c>
      <c r="C1575" s="376" t="s">
        <v>628</v>
      </c>
      <c r="D1575" s="376">
        <v>2022</v>
      </c>
      <c r="E1575" s="376">
        <v>2031</v>
      </c>
      <c r="F1575" s="376">
        <v>1</v>
      </c>
      <c r="G1575" s="376">
        <v>6101.463203368502</v>
      </c>
      <c r="H1575" s="376">
        <v>0</v>
      </c>
      <c r="I1575" s="376">
        <v>1</v>
      </c>
    </row>
    <row r="1576" spans="1:9" x14ac:dyDescent="0.35">
      <c r="A1576" s="376" t="s">
        <v>1603</v>
      </c>
      <c r="B1576" s="376" t="s">
        <v>1609</v>
      </c>
      <c r="C1576" s="376" t="s">
        <v>1051</v>
      </c>
      <c r="D1576" s="376">
        <v>2022</v>
      </c>
      <c r="E1576" s="376">
        <v>2031</v>
      </c>
      <c r="F1576" s="376">
        <v>1</v>
      </c>
      <c r="G1576" s="376">
        <v>6101.463203368502</v>
      </c>
      <c r="H1576" s="376">
        <v>0</v>
      </c>
      <c r="I1576" s="376">
        <v>1</v>
      </c>
    </row>
    <row r="1577" spans="1:9" x14ac:dyDescent="0.35">
      <c r="A1577" s="376" t="s">
        <v>1603</v>
      </c>
      <c r="B1577" s="376" t="s">
        <v>1609</v>
      </c>
      <c r="C1577" s="376" t="s">
        <v>1054</v>
      </c>
      <c r="D1577" s="376">
        <v>2022</v>
      </c>
      <c r="E1577" s="376">
        <v>2031</v>
      </c>
      <c r="F1577" s="376">
        <v>1</v>
      </c>
      <c r="G1577" s="376">
        <v>6101.463203368502</v>
      </c>
      <c r="H1577" s="376">
        <v>0</v>
      </c>
      <c r="I1577" s="376">
        <v>1</v>
      </c>
    </row>
    <row r="1578" spans="1:9" x14ac:dyDescent="0.35">
      <c r="A1578" s="376" t="s">
        <v>1605</v>
      </c>
      <c r="B1578" s="376" t="s">
        <v>1609</v>
      </c>
      <c r="C1578" s="376" t="s">
        <v>1046</v>
      </c>
      <c r="D1578" s="376">
        <v>2022</v>
      </c>
      <c r="E1578" s="376">
        <v>2022</v>
      </c>
      <c r="F1578" s="376">
        <v>0.23884589662749595</v>
      </c>
      <c r="G1578" s="376">
        <v>10426.102375692073</v>
      </c>
      <c r="H1578" s="376">
        <v>0</v>
      </c>
      <c r="I1578" s="376">
        <v>1</v>
      </c>
    </row>
    <row r="1579" spans="1:9" x14ac:dyDescent="0.35">
      <c r="A1579" s="376" t="s">
        <v>1605</v>
      </c>
      <c r="B1579" s="376" t="s">
        <v>1609</v>
      </c>
      <c r="C1579" s="376" t="s">
        <v>644</v>
      </c>
      <c r="D1579" s="376">
        <v>2022</v>
      </c>
      <c r="E1579" s="376">
        <v>2022</v>
      </c>
      <c r="F1579" s="376">
        <v>0.23884589662749595</v>
      </c>
      <c r="G1579" s="376">
        <v>10426.102375692073</v>
      </c>
      <c r="H1579" s="376">
        <v>0</v>
      </c>
      <c r="I1579" s="376">
        <v>1</v>
      </c>
    </row>
    <row r="1580" spans="1:9" x14ac:dyDescent="0.35">
      <c r="A1580" s="376" t="s">
        <v>1605</v>
      </c>
      <c r="B1580" s="376" t="s">
        <v>1609</v>
      </c>
      <c r="C1580" s="376" t="s">
        <v>628</v>
      </c>
      <c r="D1580" s="376">
        <v>2022</v>
      </c>
      <c r="E1580" s="376">
        <v>2022</v>
      </c>
      <c r="F1580" s="376">
        <v>0.23884589662749595</v>
      </c>
      <c r="G1580" s="376">
        <v>10426.102375692073</v>
      </c>
      <c r="H1580" s="376">
        <v>0</v>
      </c>
      <c r="I1580" s="376">
        <v>1</v>
      </c>
    </row>
    <row r="1581" spans="1:9" x14ac:dyDescent="0.35">
      <c r="A1581" s="376" t="s">
        <v>1605</v>
      </c>
      <c r="B1581" s="376" t="s">
        <v>1609</v>
      </c>
      <c r="C1581" s="376" t="s">
        <v>1051</v>
      </c>
      <c r="D1581" s="376">
        <v>2022</v>
      </c>
      <c r="E1581" s="376">
        <v>2022</v>
      </c>
      <c r="F1581" s="376">
        <v>0.23884589662749595</v>
      </c>
      <c r="G1581" s="376">
        <v>10426.102375692073</v>
      </c>
      <c r="H1581" s="376">
        <v>0</v>
      </c>
      <c r="I1581" s="376">
        <v>1</v>
      </c>
    </row>
    <row r="1582" spans="1:9" x14ac:dyDescent="0.35">
      <c r="A1582" s="376" t="s">
        <v>1605</v>
      </c>
      <c r="B1582" s="376" t="s">
        <v>1609</v>
      </c>
      <c r="C1582" s="376" t="s">
        <v>1054</v>
      </c>
      <c r="D1582" s="376">
        <v>2022</v>
      </c>
      <c r="E1582" s="376">
        <v>2022</v>
      </c>
      <c r="F1582" s="376">
        <v>0.23884589662749595</v>
      </c>
      <c r="G1582" s="376">
        <v>10426.102375692073</v>
      </c>
      <c r="H1582" s="376">
        <v>0</v>
      </c>
      <c r="I1582" s="376">
        <v>1</v>
      </c>
    </row>
    <row r="1583" spans="1:9" x14ac:dyDescent="0.35">
      <c r="A1583" s="376" t="s">
        <v>1605</v>
      </c>
      <c r="B1583" s="376" t="s">
        <v>1609</v>
      </c>
      <c r="C1583" s="376" t="s">
        <v>1046</v>
      </c>
      <c r="D1583" s="376">
        <v>2022</v>
      </c>
      <c r="E1583" s="376">
        <v>2023</v>
      </c>
      <c r="F1583" s="376">
        <v>0.23884589662749595</v>
      </c>
      <c r="G1583" s="376">
        <v>10426.102375692073</v>
      </c>
      <c r="H1583" s="376">
        <v>0</v>
      </c>
      <c r="I1583" s="376">
        <v>1</v>
      </c>
    </row>
    <row r="1584" spans="1:9" x14ac:dyDescent="0.35">
      <c r="A1584" s="376" t="s">
        <v>1605</v>
      </c>
      <c r="B1584" s="376" t="s">
        <v>1609</v>
      </c>
      <c r="C1584" s="376" t="s">
        <v>644</v>
      </c>
      <c r="D1584" s="376">
        <v>2022</v>
      </c>
      <c r="E1584" s="376">
        <v>2023</v>
      </c>
      <c r="F1584" s="376">
        <v>0.23884589662749595</v>
      </c>
      <c r="G1584" s="376">
        <v>10426.102375692073</v>
      </c>
      <c r="H1584" s="376">
        <v>0</v>
      </c>
      <c r="I1584" s="376">
        <v>1</v>
      </c>
    </row>
    <row r="1585" spans="1:9" x14ac:dyDescent="0.35">
      <c r="A1585" s="376" t="s">
        <v>1605</v>
      </c>
      <c r="B1585" s="376" t="s">
        <v>1609</v>
      </c>
      <c r="C1585" s="376" t="s">
        <v>628</v>
      </c>
      <c r="D1585" s="376">
        <v>2022</v>
      </c>
      <c r="E1585" s="376">
        <v>2023</v>
      </c>
      <c r="F1585" s="376">
        <v>0.23884589662749595</v>
      </c>
      <c r="G1585" s="376">
        <v>10426.102375692073</v>
      </c>
      <c r="H1585" s="376">
        <v>0</v>
      </c>
      <c r="I1585" s="376">
        <v>1</v>
      </c>
    </row>
    <row r="1586" spans="1:9" x14ac:dyDescent="0.35">
      <c r="A1586" s="376" t="s">
        <v>1605</v>
      </c>
      <c r="B1586" s="376" t="s">
        <v>1609</v>
      </c>
      <c r="C1586" s="376" t="s">
        <v>1051</v>
      </c>
      <c r="D1586" s="376">
        <v>2022</v>
      </c>
      <c r="E1586" s="376">
        <v>2023</v>
      </c>
      <c r="F1586" s="376">
        <v>0.23884589662749595</v>
      </c>
      <c r="G1586" s="376">
        <v>10426.102375692073</v>
      </c>
      <c r="H1586" s="376">
        <v>0</v>
      </c>
      <c r="I1586" s="376">
        <v>1</v>
      </c>
    </row>
    <row r="1587" spans="1:9" x14ac:dyDescent="0.35">
      <c r="A1587" s="376" t="s">
        <v>1605</v>
      </c>
      <c r="B1587" s="376" t="s">
        <v>1609</v>
      </c>
      <c r="C1587" s="376" t="s">
        <v>1054</v>
      </c>
      <c r="D1587" s="376">
        <v>2022</v>
      </c>
      <c r="E1587" s="376">
        <v>2023</v>
      </c>
      <c r="F1587" s="376">
        <v>0.23884589662749595</v>
      </c>
      <c r="G1587" s="376">
        <v>10426.102375692073</v>
      </c>
      <c r="H1587" s="376">
        <v>0</v>
      </c>
      <c r="I1587" s="376">
        <v>1</v>
      </c>
    </row>
    <row r="1588" spans="1:9" x14ac:dyDescent="0.35">
      <c r="A1588" s="376" t="s">
        <v>1605</v>
      </c>
      <c r="B1588" s="376" t="s">
        <v>1609</v>
      </c>
      <c r="C1588" s="376" t="s">
        <v>1046</v>
      </c>
      <c r="D1588" s="376">
        <v>2022</v>
      </c>
      <c r="E1588" s="376">
        <v>2024</v>
      </c>
      <c r="F1588" s="376">
        <v>0.23884589662749595</v>
      </c>
      <c r="G1588" s="376">
        <v>10426.102375692073</v>
      </c>
      <c r="H1588" s="376">
        <v>0</v>
      </c>
      <c r="I1588" s="376">
        <v>1</v>
      </c>
    </row>
    <row r="1589" spans="1:9" x14ac:dyDescent="0.35">
      <c r="A1589" s="376" t="s">
        <v>1605</v>
      </c>
      <c r="B1589" s="376" t="s">
        <v>1609</v>
      </c>
      <c r="C1589" s="376" t="s">
        <v>644</v>
      </c>
      <c r="D1589" s="376">
        <v>2022</v>
      </c>
      <c r="E1589" s="376">
        <v>2024</v>
      </c>
      <c r="F1589" s="376">
        <v>0.23884589662749595</v>
      </c>
      <c r="G1589" s="376">
        <v>10426.102375692073</v>
      </c>
      <c r="H1589" s="376">
        <v>0</v>
      </c>
      <c r="I1589" s="376">
        <v>1</v>
      </c>
    </row>
    <row r="1590" spans="1:9" x14ac:dyDescent="0.35">
      <c r="A1590" s="376" t="s">
        <v>1605</v>
      </c>
      <c r="B1590" s="376" t="s">
        <v>1609</v>
      </c>
      <c r="C1590" s="376" t="s">
        <v>628</v>
      </c>
      <c r="D1590" s="376">
        <v>2022</v>
      </c>
      <c r="E1590" s="376">
        <v>2024</v>
      </c>
      <c r="F1590" s="376">
        <v>0.23884589662749595</v>
      </c>
      <c r="G1590" s="376">
        <v>10426.102375692073</v>
      </c>
      <c r="H1590" s="376">
        <v>0</v>
      </c>
      <c r="I1590" s="376">
        <v>1</v>
      </c>
    </row>
    <row r="1591" spans="1:9" x14ac:dyDescent="0.35">
      <c r="A1591" s="376" t="s">
        <v>1605</v>
      </c>
      <c r="B1591" s="376" t="s">
        <v>1609</v>
      </c>
      <c r="C1591" s="376" t="s">
        <v>1051</v>
      </c>
      <c r="D1591" s="376">
        <v>2022</v>
      </c>
      <c r="E1591" s="376">
        <v>2024</v>
      </c>
      <c r="F1591" s="376">
        <v>0.23884589662749595</v>
      </c>
      <c r="G1591" s="376">
        <v>10426.102375692073</v>
      </c>
      <c r="H1591" s="376">
        <v>0</v>
      </c>
      <c r="I1591" s="376">
        <v>1</v>
      </c>
    </row>
    <row r="1592" spans="1:9" x14ac:dyDescent="0.35">
      <c r="A1592" s="376" t="s">
        <v>1605</v>
      </c>
      <c r="B1592" s="376" t="s">
        <v>1609</v>
      </c>
      <c r="C1592" s="376" t="s">
        <v>1054</v>
      </c>
      <c r="D1592" s="376">
        <v>2022</v>
      </c>
      <c r="E1592" s="376">
        <v>2024</v>
      </c>
      <c r="F1592" s="376">
        <v>0.23884589662749595</v>
      </c>
      <c r="G1592" s="376">
        <v>10426.102375692073</v>
      </c>
      <c r="H1592" s="376">
        <v>0</v>
      </c>
      <c r="I1592" s="376">
        <v>1</v>
      </c>
    </row>
    <row r="1593" spans="1:9" x14ac:dyDescent="0.35">
      <c r="A1593" s="376" t="s">
        <v>1605</v>
      </c>
      <c r="B1593" s="376" t="s">
        <v>1609</v>
      </c>
      <c r="C1593" s="376" t="s">
        <v>1046</v>
      </c>
      <c r="D1593" s="376">
        <v>2022</v>
      </c>
      <c r="E1593" s="376">
        <v>2025</v>
      </c>
      <c r="F1593" s="376">
        <v>0.23884589662749595</v>
      </c>
      <c r="G1593" s="376">
        <v>10426.102375692073</v>
      </c>
      <c r="H1593" s="376">
        <v>0</v>
      </c>
      <c r="I1593" s="376">
        <v>1</v>
      </c>
    </row>
    <row r="1594" spans="1:9" x14ac:dyDescent="0.35">
      <c r="A1594" s="376" t="s">
        <v>1605</v>
      </c>
      <c r="B1594" s="376" t="s">
        <v>1609</v>
      </c>
      <c r="C1594" s="376" t="s">
        <v>644</v>
      </c>
      <c r="D1594" s="376">
        <v>2022</v>
      </c>
      <c r="E1594" s="376">
        <v>2025</v>
      </c>
      <c r="F1594" s="376">
        <v>0.23884589662749595</v>
      </c>
      <c r="G1594" s="376">
        <v>10426.102375692073</v>
      </c>
      <c r="H1594" s="376">
        <v>0</v>
      </c>
      <c r="I1594" s="376">
        <v>1</v>
      </c>
    </row>
    <row r="1595" spans="1:9" x14ac:dyDescent="0.35">
      <c r="A1595" s="376" t="s">
        <v>1605</v>
      </c>
      <c r="B1595" s="376" t="s">
        <v>1609</v>
      </c>
      <c r="C1595" s="376" t="s">
        <v>628</v>
      </c>
      <c r="D1595" s="376">
        <v>2022</v>
      </c>
      <c r="E1595" s="376">
        <v>2025</v>
      </c>
      <c r="F1595" s="376">
        <v>0.23884589662749595</v>
      </c>
      <c r="G1595" s="376">
        <v>10426.102375692073</v>
      </c>
      <c r="H1595" s="376">
        <v>0</v>
      </c>
      <c r="I1595" s="376">
        <v>1</v>
      </c>
    </row>
    <row r="1596" spans="1:9" x14ac:dyDescent="0.35">
      <c r="A1596" s="376" t="s">
        <v>1605</v>
      </c>
      <c r="B1596" s="376" t="s">
        <v>1609</v>
      </c>
      <c r="C1596" s="376" t="s">
        <v>1051</v>
      </c>
      <c r="D1596" s="376">
        <v>2022</v>
      </c>
      <c r="E1596" s="376">
        <v>2025</v>
      </c>
      <c r="F1596" s="376">
        <v>0.23884589662749595</v>
      </c>
      <c r="G1596" s="376">
        <v>10426.102375692073</v>
      </c>
      <c r="H1596" s="376">
        <v>0</v>
      </c>
      <c r="I1596" s="376">
        <v>1</v>
      </c>
    </row>
    <row r="1597" spans="1:9" x14ac:dyDescent="0.35">
      <c r="A1597" s="376" t="s">
        <v>1605</v>
      </c>
      <c r="B1597" s="376" t="s">
        <v>1609</v>
      </c>
      <c r="C1597" s="376" t="s">
        <v>1054</v>
      </c>
      <c r="D1597" s="376">
        <v>2022</v>
      </c>
      <c r="E1597" s="376">
        <v>2025</v>
      </c>
      <c r="F1597" s="376">
        <v>0.23884589662749595</v>
      </c>
      <c r="G1597" s="376">
        <v>10426.102375692073</v>
      </c>
      <c r="H1597" s="376">
        <v>0</v>
      </c>
      <c r="I1597" s="376">
        <v>1</v>
      </c>
    </row>
    <row r="1598" spans="1:9" x14ac:dyDescent="0.35">
      <c r="A1598" s="376" t="s">
        <v>1605</v>
      </c>
      <c r="B1598" s="376" t="s">
        <v>1609</v>
      </c>
      <c r="C1598" s="376" t="s">
        <v>1046</v>
      </c>
      <c r="D1598" s="376">
        <v>2022</v>
      </c>
      <c r="E1598" s="376">
        <v>2026</v>
      </c>
      <c r="F1598" s="376">
        <v>0.23884589662749595</v>
      </c>
      <c r="G1598" s="376">
        <v>10426.102375692073</v>
      </c>
      <c r="H1598" s="376">
        <v>0</v>
      </c>
      <c r="I1598" s="376">
        <v>1</v>
      </c>
    </row>
    <row r="1599" spans="1:9" x14ac:dyDescent="0.35">
      <c r="A1599" s="376" t="s">
        <v>1605</v>
      </c>
      <c r="B1599" s="376" t="s">
        <v>1609</v>
      </c>
      <c r="C1599" s="376" t="s">
        <v>644</v>
      </c>
      <c r="D1599" s="376">
        <v>2022</v>
      </c>
      <c r="E1599" s="376">
        <v>2026</v>
      </c>
      <c r="F1599" s="376">
        <v>0.23884589662749595</v>
      </c>
      <c r="G1599" s="376">
        <v>10426.102375692073</v>
      </c>
      <c r="H1599" s="376">
        <v>0</v>
      </c>
      <c r="I1599" s="376">
        <v>1</v>
      </c>
    </row>
    <row r="1600" spans="1:9" x14ac:dyDescent="0.35">
      <c r="A1600" s="376" t="s">
        <v>1605</v>
      </c>
      <c r="B1600" s="376" t="s">
        <v>1609</v>
      </c>
      <c r="C1600" s="376" t="s">
        <v>628</v>
      </c>
      <c r="D1600" s="376">
        <v>2022</v>
      </c>
      <c r="E1600" s="376">
        <v>2026</v>
      </c>
      <c r="F1600" s="376">
        <v>0.23884589662749595</v>
      </c>
      <c r="G1600" s="376">
        <v>10426.102375692073</v>
      </c>
      <c r="H1600" s="376">
        <v>0</v>
      </c>
      <c r="I1600" s="376">
        <v>1</v>
      </c>
    </row>
    <row r="1601" spans="1:9" x14ac:dyDescent="0.35">
      <c r="A1601" s="376" t="s">
        <v>1605</v>
      </c>
      <c r="B1601" s="376" t="s">
        <v>1609</v>
      </c>
      <c r="C1601" s="376" t="s">
        <v>1051</v>
      </c>
      <c r="D1601" s="376">
        <v>2022</v>
      </c>
      <c r="E1601" s="376">
        <v>2026</v>
      </c>
      <c r="F1601" s="376">
        <v>0.23884589662749595</v>
      </c>
      <c r="G1601" s="376">
        <v>10426.102375692073</v>
      </c>
      <c r="H1601" s="376">
        <v>0</v>
      </c>
      <c r="I1601" s="376">
        <v>1</v>
      </c>
    </row>
    <row r="1602" spans="1:9" x14ac:dyDescent="0.35">
      <c r="A1602" s="376" t="s">
        <v>1605</v>
      </c>
      <c r="B1602" s="376" t="s">
        <v>1609</v>
      </c>
      <c r="C1602" s="376" t="s">
        <v>1054</v>
      </c>
      <c r="D1602" s="376">
        <v>2022</v>
      </c>
      <c r="E1602" s="376">
        <v>2026</v>
      </c>
      <c r="F1602" s="376">
        <v>0.23884589662749595</v>
      </c>
      <c r="G1602" s="376">
        <v>10426.102375692073</v>
      </c>
      <c r="H1602" s="376">
        <v>0</v>
      </c>
      <c r="I1602" s="376">
        <v>1</v>
      </c>
    </row>
    <row r="1603" spans="1:9" x14ac:dyDescent="0.35">
      <c r="A1603" s="376" t="s">
        <v>1605</v>
      </c>
      <c r="B1603" s="376" t="s">
        <v>1609</v>
      </c>
      <c r="C1603" s="376" t="s">
        <v>1046</v>
      </c>
      <c r="D1603" s="376">
        <v>2022</v>
      </c>
      <c r="E1603" s="376">
        <v>2027</v>
      </c>
      <c r="F1603" s="376">
        <v>0.23884589662749595</v>
      </c>
      <c r="G1603" s="376">
        <v>10426.102375692073</v>
      </c>
      <c r="H1603" s="376">
        <v>0</v>
      </c>
      <c r="I1603" s="376">
        <v>1</v>
      </c>
    </row>
    <row r="1604" spans="1:9" x14ac:dyDescent="0.35">
      <c r="A1604" s="376" t="s">
        <v>1605</v>
      </c>
      <c r="B1604" s="376" t="s">
        <v>1609</v>
      </c>
      <c r="C1604" s="376" t="s">
        <v>644</v>
      </c>
      <c r="D1604" s="376">
        <v>2022</v>
      </c>
      <c r="E1604" s="376">
        <v>2027</v>
      </c>
      <c r="F1604" s="376">
        <v>0.23884589662749595</v>
      </c>
      <c r="G1604" s="376">
        <v>10426.102375692073</v>
      </c>
      <c r="H1604" s="376">
        <v>0</v>
      </c>
      <c r="I1604" s="376">
        <v>1</v>
      </c>
    </row>
    <row r="1605" spans="1:9" x14ac:dyDescent="0.35">
      <c r="A1605" s="376" t="s">
        <v>1605</v>
      </c>
      <c r="B1605" s="376" t="s">
        <v>1609</v>
      </c>
      <c r="C1605" s="376" t="s">
        <v>628</v>
      </c>
      <c r="D1605" s="376">
        <v>2022</v>
      </c>
      <c r="E1605" s="376">
        <v>2027</v>
      </c>
      <c r="F1605" s="376">
        <v>0.23884589662749595</v>
      </c>
      <c r="G1605" s="376">
        <v>10426.102375692073</v>
      </c>
      <c r="H1605" s="376">
        <v>0</v>
      </c>
      <c r="I1605" s="376">
        <v>1</v>
      </c>
    </row>
    <row r="1606" spans="1:9" x14ac:dyDescent="0.35">
      <c r="A1606" s="376" t="s">
        <v>1605</v>
      </c>
      <c r="B1606" s="376" t="s">
        <v>1609</v>
      </c>
      <c r="C1606" s="376" t="s">
        <v>1051</v>
      </c>
      <c r="D1606" s="376">
        <v>2022</v>
      </c>
      <c r="E1606" s="376">
        <v>2027</v>
      </c>
      <c r="F1606" s="376">
        <v>0.23884589662749595</v>
      </c>
      <c r="G1606" s="376">
        <v>10426.102375692073</v>
      </c>
      <c r="H1606" s="376">
        <v>0</v>
      </c>
      <c r="I1606" s="376">
        <v>1</v>
      </c>
    </row>
    <row r="1607" spans="1:9" x14ac:dyDescent="0.35">
      <c r="A1607" s="376" t="s">
        <v>1605</v>
      </c>
      <c r="B1607" s="376" t="s">
        <v>1609</v>
      </c>
      <c r="C1607" s="376" t="s">
        <v>1054</v>
      </c>
      <c r="D1607" s="376">
        <v>2022</v>
      </c>
      <c r="E1607" s="376">
        <v>2027</v>
      </c>
      <c r="F1607" s="376">
        <v>0.23884589662749595</v>
      </c>
      <c r="G1607" s="376">
        <v>10426.102375692073</v>
      </c>
      <c r="H1607" s="376">
        <v>0</v>
      </c>
      <c r="I1607" s="376">
        <v>1</v>
      </c>
    </row>
    <row r="1608" spans="1:9" x14ac:dyDescent="0.35">
      <c r="A1608" s="376" t="s">
        <v>1605</v>
      </c>
      <c r="B1608" s="376" t="s">
        <v>1609</v>
      </c>
      <c r="C1608" s="376" t="s">
        <v>1046</v>
      </c>
      <c r="D1608" s="376">
        <v>2022</v>
      </c>
      <c r="E1608" s="376">
        <v>2028</v>
      </c>
      <c r="F1608" s="376">
        <v>0.23884589662749595</v>
      </c>
      <c r="G1608" s="376">
        <v>10426.102375692073</v>
      </c>
      <c r="H1608" s="376">
        <v>0</v>
      </c>
      <c r="I1608" s="376">
        <v>1</v>
      </c>
    </row>
    <row r="1609" spans="1:9" x14ac:dyDescent="0.35">
      <c r="A1609" s="376" t="s">
        <v>1605</v>
      </c>
      <c r="B1609" s="376" t="s">
        <v>1609</v>
      </c>
      <c r="C1609" s="376" t="s">
        <v>644</v>
      </c>
      <c r="D1609" s="376">
        <v>2022</v>
      </c>
      <c r="E1609" s="376">
        <v>2028</v>
      </c>
      <c r="F1609" s="376">
        <v>0.23884589662749595</v>
      </c>
      <c r="G1609" s="376">
        <v>10426.102375692073</v>
      </c>
      <c r="H1609" s="376">
        <v>0</v>
      </c>
      <c r="I1609" s="376">
        <v>1</v>
      </c>
    </row>
    <row r="1610" spans="1:9" x14ac:dyDescent="0.35">
      <c r="A1610" s="376" t="s">
        <v>1605</v>
      </c>
      <c r="B1610" s="376" t="s">
        <v>1609</v>
      </c>
      <c r="C1610" s="376" t="s">
        <v>628</v>
      </c>
      <c r="D1610" s="376">
        <v>2022</v>
      </c>
      <c r="E1610" s="376">
        <v>2028</v>
      </c>
      <c r="F1610" s="376">
        <v>0.23884589662749595</v>
      </c>
      <c r="G1610" s="376">
        <v>10426.102375692073</v>
      </c>
      <c r="H1610" s="376">
        <v>0</v>
      </c>
      <c r="I1610" s="376">
        <v>1</v>
      </c>
    </row>
    <row r="1611" spans="1:9" x14ac:dyDescent="0.35">
      <c r="A1611" s="376" t="s">
        <v>1605</v>
      </c>
      <c r="B1611" s="376" t="s">
        <v>1609</v>
      </c>
      <c r="C1611" s="376" t="s">
        <v>1051</v>
      </c>
      <c r="D1611" s="376">
        <v>2022</v>
      </c>
      <c r="E1611" s="376">
        <v>2028</v>
      </c>
      <c r="F1611" s="376">
        <v>0.23884589662749595</v>
      </c>
      <c r="G1611" s="376">
        <v>10426.102375692073</v>
      </c>
      <c r="H1611" s="376">
        <v>0</v>
      </c>
      <c r="I1611" s="376">
        <v>1</v>
      </c>
    </row>
    <row r="1612" spans="1:9" x14ac:dyDescent="0.35">
      <c r="A1612" s="376" t="s">
        <v>1605</v>
      </c>
      <c r="B1612" s="376" t="s">
        <v>1609</v>
      </c>
      <c r="C1612" s="376" t="s">
        <v>1054</v>
      </c>
      <c r="D1612" s="376">
        <v>2022</v>
      </c>
      <c r="E1612" s="376">
        <v>2028</v>
      </c>
      <c r="F1612" s="376">
        <v>0.23884589662749595</v>
      </c>
      <c r="G1612" s="376">
        <v>10426.102375692073</v>
      </c>
      <c r="H1612" s="376">
        <v>0</v>
      </c>
      <c r="I1612" s="376">
        <v>1</v>
      </c>
    </row>
    <row r="1613" spans="1:9" x14ac:dyDescent="0.35">
      <c r="A1613" s="376" t="s">
        <v>1605</v>
      </c>
      <c r="B1613" s="376" t="s">
        <v>1609</v>
      </c>
      <c r="C1613" s="376" t="s">
        <v>1046</v>
      </c>
      <c r="D1613" s="376">
        <v>2022</v>
      </c>
      <c r="E1613" s="376">
        <v>2029</v>
      </c>
      <c r="F1613" s="376">
        <v>0.23884589662749595</v>
      </c>
      <c r="G1613" s="376">
        <v>10426.102375692073</v>
      </c>
      <c r="H1613" s="376">
        <v>0</v>
      </c>
      <c r="I1613" s="376">
        <v>1</v>
      </c>
    </row>
    <row r="1614" spans="1:9" x14ac:dyDescent="0.35">
      <c r="A1614" s="376" t="s">
        <v>1605</v>
      </c>
      <c r="B1614" s="376" t="s">
        <v>1609</v>
      </c>
      <c r="C1614" s="376" t="s">
        <v>644</v>
      </c>
      <c r="D1614" s="376">
        <v>2022</v>
      </c>
      <c r="E1614" s="376">
        <v>2029</v>
      </c>
      <c r="F1614" s="376">
        <v>0.23884589662749595</v>
      </c>
      <c r="G1614" s="376">
        <v>10426.102375692073</v>
      </c>
      <c r="H1614" s="376">
        <v>0</v>
      </c>
      <c r="I1614" s="376">
        <v>1</v>
      </c>
    </row>
    <row r="1615" spans="1:9" x14ac:dyDescent="0.35">
      <c r="A1615" s="376" t="s">
        <v>1605</v>
      </c>
      <c r="B1615" s="376" t="s">
        <v>1609</v>
      </c>
      <c r="C1615" s="376" t="s">
        <v>628</v>
      </c>
      <c r="D1615" s="376">
        <v>2022</v>
      </c>
      <c r="E1615" s="376">
        <v>2029</v>
      </c>
      <c r="F1615" s="376">
        <v>0.23884589662749595</v>
      </c>
      <c r="G1615" s="376">
        <v>10426.102375692073</v>
      </c>
      <c r="H1615" s="376">
        <v>0</v>
      </c>
      <c r="I1615" s="376">
        <v>1</v>
      </c>
    </row>
    <row r="1616" spans="1:9" x14ac:dyDescent="0.35">
      <c r="A1616" s="376" t="s">
        <v>1605</v>
      </c>
      <c r="B1616" s="376" t="s">
        <v>1609</v>
      </c>
      <c r="C1616" s="376" t="s">
        <v>1051</v>
      </c>
      <c r="D1616" s="376">
        <v>2022</v>
      </c>
      <c r="E1616" s="376">
        <v>2029</v>
      </c>
      <c r="F1616" s="376">
        <v>0.23884589662749595</v>
      </c>
      <c r="G1616" s="376">
        <v>10426.102375692073</v>
      </c>
      <c r="H1616" s="376">
        <v>0</v>
      </c>
      <c r="I1616" s="376">
        <v>1</v>
      </c>
    </row>
    <row r="1617" spans="1:9" x14ac:dyDescent="0.35">
      <c r="A1617" s="376" t="s">
        <v>1605</v>
      </c>
      <c r="B1617" s="376" t="s">
        <v>1609</v>
      </c>
      <c r="C1617" s="376" t="s">
        <v>1054</v>
      </c>
      <c r="D1617" s="376">
        <v>2022</v>
      </c>
      <c r="E1617" s="376">
        <v>2029</v>
      </c>
      <c r="F1617" s="376">
        <v>0.23884589662749595</v>
      </c>
      <c r="G1617" s="376">
        <v>10426.102375692073</v>
      </c>
      <c r="H1617" s="376">
        <v>0</v>
      </c>
      <c r="I1617" s="376">
        <v>1</v>
      </c>
    </row>
    <row r="1618" spans="1:9" x14ac:dyDescent="0.35">
      <c r="A1618" s="376" t="s">
        <v>1605</v>
      </c>
      <c r="B1618" s="376" t="s">
        <v>1609</v>
      </c>
      <c r="C1618" s="376" t="s">
        <v>1046</v>
      </c>
      <c r="D1618" s="376">
        <v>2022</v>
      </c>
      <c r="E1618" s="376">
        <v>2030</v>
      </c>
      <c r="F1618" s="376">
        <v>0.23884589662749595</v>
      </c>
      <c r="G1618" s="376">
        <v>10426.102375692073</v>
      </c>
      <c r="H1618" s="376">
        <v>0</v>
      </c>
      <c r="I1618" s="376">
        <v>1</v>
      </c>
    </row>
    <row r="1619" spans="1:9" x14ac:dyDescent="0.35">
      <c r="A1619" s="376" t="s">
        <v>1605</v>
      </c>
      <c r="B1619" s="376" t="s">
        <v>1609</v>
      </c>
      <c r="C1619" s="376" t="s">
        <v>644</v>
      </c>
      <c r="D1619" s="376">
        <v>2022</v>
      </c>
      <c r="E1619" s="376">
        <v>2030</v>
      </c>
      <c r="F1619" s="376">
        <v>0.23884589662749595</v>
      </c>
      <c r="G1619" s="376">
        <v>10426.102375692073</v>
      </c>
      <c r="H1619" s="376">
        <v>0</v>
      </c>
      <c r="I1619" s="376">
        <v>1</v>
      </c>
    </row>
    <row r="1620" spans="1:9" x14ac:dyDescent="0.35">
      <c r="A1620" s="376" t="s">
        <v>1605</v>
      </c>
      <c r="B1620" s="376" t="s">
        <v>1609</v>
      </c>
      <c r="C1620" s="376" t="s">
        <v>628</v>
      </c>
      <c r="D1620" s="376">
        <v>2022</v>
      </c>
      <c r="E1620" s="376">
        <v>2030</v>
      </c>
      <c r="F1620" s="376">
        <v>0.23884589662749595</v>
      </c>
      <c r="G1620" s="376">
        <v>10426.102375692073</v>
      </c>
      <c r="H1620" s="376">
        <v>0</v>
      </c>
      <c r="I1620" s="376">
        <v>1</v>
      </c>
    </row>
    <row r="1621" spans="1:9" x14ac:dyDescent="0.35">
      <c r="A1621" s="376" t="s">
        <v>1605</v>
      </c>
      <c r="B1621" s="376" t="s">
        <v>1609</v>
      </c>
      <c r="C1621" s="376" t="s">
        <v>1051</v>
      </c>
      <c r="D1621" s="376">
        <v>2022</v>
      </c>
      <c r="E1621" s="376">
        <v>2030</v>
      </c>
      <c r="F1621" s="376">
        <v>0.23884589662749595</v>
      </c>
      <c r="G1621" s="376">
        <v>10426.102375692073</v>
      </c>
      <c r="H1621" s="376">
        <v>0</v>
      </c>
      <c r="I1621" s="376">
        <v>1</v>
      </c>
    </row>
    <row r="1622" spans="1:9" x14ac:dyDescent="0.35">
      <c r="A1622" s="376" t="s">
        <v>1605</v>
      </c>
      <c r="B1622" s="376" t="s">
        <v>1609</v>
      </c>
      <c r="C1622" s="376" t="s">
        <v>1054</v>
      </c>
      <c r="D1622" s="376">
        <v>2022</v>
      </c>
      <c r="E1622" s="376">
        <v>2030</v>
      </c>
      <c r="F1622" s="376">
        <v>0.23884589662749595</v>
      </c>
      <c r="G1622" s="376">
        <v>10426.102375692073</v>
      </c>
      <c r="H1622" s="376">
        <v>0</v>
      </c>
      <c r="I1622" s="376">
        <v>1</v>
      </c>
    </row>
    <row r="1623" spans="1:9" x14ac:dyDescent="0.35">
      <c r="A1623" s="376" t="s">
        <v>1605</v>
      </c>
      <c r="B1623" s="376" t="s">
        <v>1609</v>
      </c>
      <c r="C1623" s="376" t="s">
        <v>1046</v>
      </c>
      <c r="D1623" s="376">
        <v>2022</v>
      </c>
      <c r="E1623" s="376">
        <v>2031</v>
      </c>
      <c r="F1623" s="376">
        <v>0.23884589662749595</v>
      </c>
      <c r="G1623" s="376">
        <v>10426.102375692073</v>
      </c>
      <c r="H1623" s="376">
        <v>0</v>
      </c>
      <c r="I1623" s="376">
        <v>1</v>
      </c>
    </row>
    <row r="1624" spans="1:9" x14ac:dyDescent="0.35">
      <c r="A1624" s="376" t="s">
        <v>1605</v>
      </c>
      <c r="B1624" s="376" t="s">
        <v>1609</v>
      </c>
      <c r="C1624" s="376" t="s">
        <v>644</v>
      </c>
      <c r="D1624" s="376">
        <v>2022</v>
      </c>
      <c r="E1624" s="376">
        <v>2031</v>
      </c>
      <c r="F1624" s="376">
        <v>0.23884589662749595</v>
      </c>
      <c r="G1624" s="376">
        <v>10426.102375692073</v>
      </c>
      <c r="H1624" s="376">
        <v>0</v>
      </c>
      <c r="I1624" s="376">
        <v>1</v>
      </c>
    </row>
    <row r="1625" spans="1:9" x14ac:dyDescent="0.35">
      <c r="A1625" s="376" t="s">
        <v>1605</v>
      </c>
      <c r="B1625" s="376" t="s">
        <v>1609</v>
      </c>
      <c r="C1625" s="376" t="s">
        <v>628</v>
      </c>
      <c r="D1625" s="376">
        <v>2022</v>
      </c>
      <c r="E1625" s="376">
        <v>2031</v>
      </c>
      <c r="F1625" s="376">
        <v>0.23884589662749595</v>
      </c>
      <c r="G1625" s="376">
        <v>10426.102375692073</v>
      </c>
      <c r="H1625" s="376">
        <v>0</v>
      </c>
      <c r="I1625" s="376">
        <v>1</v>
      </c>
    </row>
    <row r="1626" spans="1:9" x14ac:dyDescent="0.35">
      <c r="A1626" s="376" t="s">
        <v>1605</v>
      </c>
      <c r="B1626" s="376" t="s">
        <v>1609</v>
      </c>
      <c r="C1626" s="376" t="s">
        <v>1051</v>
      </c>
      <c r="D1626" s="376">
        <v>2022</v>
      </c>
      <c r="E1626" s="376">
        <v>2031</v>
      </c>
      <c r="F1626" s="376">
        <v>0.23884589662749595</v>
      </c>
      <c r="G1626" s="376">
        <v>10426.102375692073</v>
      </c>
      <c r="H1626" s="376">
        <v>0</v>
      </c>
      <c r="I1626" s="376">
        <v>1</v>
      </c>
    </row>
    <row r="1627" spans="1:9" x14ac:dyDescent="0.35">
      <c r="A1627" s="376" t="s">
        <v>1605</v>
      </c>
      <c r="B1627" s="376" t="s">
        <v>1609</v>
      </c>
      <c r="C1627" s="376" t="s">
        <v>1054</v>
      </c>
      <c r="D1627" s="376">
        <v>2022</v>
      </c>
      <c r="E1627" s="376">
        <v>2031</v>
      </c>
      <c r="F1627" s="376">
        <v>0.23884589662749595</v>
      </c>
      <c r="G1627" s="376">
        <v>10426.102375692073</v>
      </c>
      <c r="H1627" s="376">
        <v>0</v>
      </c>
      <c r="I1627" s="376">
        <v>1</v>
      </c>
    </row>
    <row r="1628" spans="1:9" x14ac:dyDescent="0.35">
      <c r="A1628" s="376" t="s">
        <v>1636</v>
      </c>
      <c r="B1628" s="376" t="s">
        <v>1609</v>
      </c>
      <c r="C1628" s="376" t="s">
        <v>1046</v>
      </c>
      <c r="D1628" s="376">
        <v>2022</v>
      </c>
      <c r="E1628" s="376">
        <v>2022</v>
      </c>
      <c r="F1628" s="376">
        <v>1</v>
      </c>
      <c r="G1628" s="376">
        <v>3740.7066949070786</v>
      </c>
      <c r="H1628" s="376">
        <v>0</v>
      </c>
      <c r="I1628" s="376">
        <v>1</v>
      </c>
    </row>
    <row r="1629" spans="1:9" x14ac:dyDescent="0.35">
      <c r="A1629" s="376" t="s">
        <v>1636</v>
      </c>
      <c r="B1629" s="376" t="s">
        <v>1609</v>
      </c>
      <c r="C1629" s="376" t="s">
        <v>644</v>
      </c>
      <c r="D1629" s="376">
        <v>2022</v>
      </c>
      <c r="E1629" s="376">
        <v>2022</v>
      </c>
      <c r="F1629" s="376">
        <v>1</v>
      </c>
      <c r="G1629" s="376">
        <v>3740.7066949070786</v>
      </c>
      <c r="H1629" s="376">
        <v>0</v>
      </c>
      <c r="I1629" s="376">
        <v>1</v>
      </c>
    </row>
    <row r="1630" spans="1:9" x14ac:dyDescent="0.35">
      <c r="A1630" s="376" t="s">
        <v>1636</v>
      </c>
      <c r="B1630" s="376" t="s">
        <v>1609</v>
      </c>
      <c r="C1630" s="376" t="s">
        <v>628</v>
      </c>
      <c r="D1630" s="376">
        <v>2022</v>
      </c>
      <c r="E1630" s="376">
        <v>2022</v>
      </c>
      <c r="F1630" s="376">
        <v>1</v>
      </c>
      <c r="G1630" s="376">
        <v>3740.7066949070786</v>
      </c>
      <c r="H1630" s="376">
        <v>0</v>
      </c>
      <c r="I1630" s="376">
        <v>1</v>
      </c>
    </row>
    <row r="1631" spans="1:9" x14ac:dyDescent="0.35">
      <c r="A1631" s="376" t="s">
        <v>1636</v>
      </c>
      <c r="B1631" s="376" t="s">
        <v>1609</v>
      </c>
      <c r="C1631" s="376" t="s">
        <v>1051</v>
      </c>
      <c r="D1631" s="376">
        <v>2022</v>
      </c>
      <c r="E1631" s="376">
        <v>2022</v>
      </c>
      <c r="F1631" s="376">
        <v>1</v>
      </c>
      <c r="G1631" s="376">
        <v>3740.7066949070786</v>
      </c>
      <c r="H1631" s="376">
        <v>0</v>
      </c>
      <c r="I1631" s="376">
        <v>1</v>
      </c>
    </row>
    <row r="1632" spans="1:9" x14ac:dyDescent="0.35">
      <c r="A1632" s="376" t="s">
        <v>1636</v>
      </c>
      <c r="B1632" s="376" t="s">
        <v>1609</v>
      </c>
      <c r="C1632" s="376" t="s">
        <v>1054</v>
      </c>
      <c r="D1632" s="376">
        <v>2022</v>
      </c>
      <c r="E1632" s="376">
        <v>2022</v>
      </c>
      <c r="F1632" s="376">
        <v>1</v>
      </c>
      <c r="G1632" s="376">
        <v>3740.7066949070786</v>
      </c>
      <c r="H1632" s="376">
        <v>0</v>
      </c>
      <c r="I1632" s="376">
        <v>1</v>
      </c>
    </row>
    <row r="1633" spans="1:9" x14ac:dyDescent="0.35">
      <c r="A1633" s="376" t="s">
        <v>1636</v>
      </c>
      <c r="B1633" s="376" t="s">
        <v>1609</v>
      </c>
      <c r="C1633" s="376" t="s">
        <v>1046</v>
      </c>
      <c r="D1633" s="376">
        <v>2022</v>
      </c>
      <c r="E1633" s="376">
        <v>2023</v>
      </c>
      <c r="F1633" s="376">
        <v>1</v>
      </c>
      <c r="G1633" s="376">
        <v>3740.7066949070786</v>
      </c>
      <c r="H1633" s="376">
        <v>0</v>
      </c>
      <c r="I1633" s="376">
        <v>1</v>
      </c>
    </row>
    <row r="1634" spans="1:9" x14ac:dyDescent="0.35">
      <c r="A1634" s="376" t="s">
        <v>1636</v>
      </c>
      <c r="B1634" s="376" t="s">
        <v>1609</v>
      </c>
      <c r="C1634" s="376" t="s">
        <v>644</v>
      </c>
      <c r="D1634" s="376">
        <v>2022</v>
      </c>
      <c r="E1634" s="376">
        <v>2023</v>
      </c>
      <c r="F1634" s="376">
        <v>1</v>
      </c>
      <c r="G1634" s="376">
        <v>3740.7066949070786</v>
      </c>
      <c r="H1634" s="376">
        <v>0</v>
      </c>
      <c r="I1634" s="376">
        <v>1</v>
      </c>
    </row>
    <row r="1635" spans="1:9" x14ac:dyDescent="0.35">
      <c r="A1635" s="376" t="s">
        <v>1636</v>
      </c>
      <c r="B1635" s="376" t="s">
        <v>1609</v>
      </c>
      <c r="C1635" s="376" t="s">
        <v>628</v>
      </c>
      <c r="D1635" s="376">
        <v>2022</v>
      </c>
      <c r="E1635" s="376">
        <v>2023</v>
      </c>
      <c r="F1635" s="376">
        <v>1</v>
      </c>
      <c r="G1635" s="376">
        <v>3740.7066949070786</v>
      </c>
      <c r="H1635" s="376">
        <v>0</v>
      </c>
      <c r="I1635" s="376">
        <v>1</v>
      </c>
    </row>
    <row r="1636" spans="1:9" x14ac:dyDescent="0.35">
      <c r="A1636" s="376" t="s">
        <v>1636</v>
      </c>
      <c r="B1636" s="376" t="s">
        <v>1609</v>
      </c>
      <c r="C1636" s="376" t="s">
        <v>1051</v>
      </c>
      <c r="D1636" s="376">
        <v>2022</v>
      </c>
      <c r="E1636" s="376">
        <v>2023</v>
      </c>
      <c r="F1636" s="376">
        <v>1</v>
      </c>
      <c r="G1636" s="376">
        <v>3740.7066949070786</v>
      </c>
      <c r="H1636" s="376">
        <v>0</v>
      </c>
      <c r="I1636" s="376">
        <v>1</v>
      </c>
    </row>
    <row r="1637" spans="1:9" x14ac:dyDescent="0.35">
      <c r="A1637" s="376" t="s">
        <v>1636</v>
      </c>
      <c r="B1637" s="376" t="s">
        <v>1609</v>
      </c>
      <c r="C1637" s="376" t="s">
        <v>1054</v>
      </c>
      <c r="D1637" s="376">
        <v>2022</v>
      </c>
      <c r="E1637" s="376">
        <v>2023</v>
      </c>
      <c r="F1637" s="376">
        <v>1</v>
      </c>
      <c r="G1637" s="376">
        <v>3740.7066949070786</v>
      </c>
      <c r="H1637" s="376">
        <v>0</v>
      </c>
      <c r="I1637" s="376">
        <v>1</v>
      </c>
    </row>
    <row r="1638" spans="1:9" x14ac:dyDescent="0.35">
      <c r="A1638" s="376" t="s">
        <v>1636</v>
      </c>
      <c r="B1638" s="376" t="s">
        <v>1609</v>
      </c>
      <c r="C1638" s="376" t="s">
        <v>1046</v>
      </c>
      <c r="D1638" s="376">
        <v>2022</v>
      </c>
      <c r="E1638" s="376">
        <v>2024</v>
      </c>
      <c r="F1638" s="376">
        <v>1</v>
      </c>
      <c r="G1638" s="376">
        <v>3740.7066949070786</v>
      </c>
      <c r="H1638" s="376">
        <v>0</v>
      </c>
      <c r="I1638" s="376">
        <v>1</v>
      </c>
    </row>
    <row r="1639" spans="1:9" x14ac:dyDescent="0.35">
      <c r="A1639" s="376" t="s">
        <v>1636</v>
      </c>
      <c r="B1639" s="376" t="s">
        <v>1609</v>
      </c>
      <c r="C1639" s="376" t="s">
        <v>644</v>
      </c>
      <c r="D1639" s="376">
        <v>2022</v>
      </c>
      <c r="E1639" s="376">
        <v>2024</v>
      </c>
      <c r="F1639" s="376">
        <v>1</v>
      </c>
      <c r="G1639" s="376">
        <v>3740.7066949070786</v>
      </c>
      <c r="H1639" s="376">
        <v>0</v>
      </c>
      <c r="I1639" s="376">
        <v>1</v>
      </c>
    </row>
    <row r="1640" spans="1:9" x14ac:dyDescent="0.35">
      <c r="A1640" s="376" t="s">
        <v>1636</v>
      </c>
      <c r="B1640" s="376" t="s">
        <v>1609</v>
      </c>
      <c r="C1640" s="376" t="s">
        <v>628</v>
      </c>
      <c r="D1640" s="376">
        <v>2022</v>
      </c>
      <c r="E1640" s="376">
        <v>2024</v>
      </c>
      <c r="F1640" s="376">
        <v>1</v>
      </c>
      <c r="G1640" s="376">
        <v>3740.7066949070786</v>
      </c>
      <c r="H1640" s="376">
        <v>0</v>
      </c>
      <c r="I1640" s="376">
        <v>1</v>
      </c>
    </row>
    <row r="1641" spans="1:9" x14ac:dyDescent="0.35">
      <c r="A1641" s="376" t="s">
        <v>1636</v>
      </c>
      <c r="B1641" s="376" t="s">
        <v>1609</v>
      </c>
      <c r="C1641" s="376" t="s">
        <v>1051</v>
      </c>
      <c r="D1641" s="376">
        <v>2022</v>
      </c>
      <c r="E1641" s="376">
        <v>2024</v>
      </c>
      <c r="F1641" s="376">
        <v>1</v>
      </c>
      <c r="G1641" s="376">
        <v>3740.7066949070786</v>
      </c>
      <c r="H1641" s="376">
        <v>0</v>
      </c>
      <c r="I1641" s="376">
        <v>1</v>
      </c>
    </row>
    <row r="1642" spans="1:9" x14ac:dyDescent="0.35">
      <c r="A1642" s="376" t="s">
        <v>1636</v>
      </c>
      <c r="B1642" s="376" t="s">
        <v>1609</v>
      </c>
      <c r="C1642" s="376" t="s">
        <v>1054</v>
      </c>
      <c r="D1642" s="376">
        <v>2022</v>
      </c>
      <c r="E1642" s="376">
        <v>2024</v>
      </c>
      <c r="F1642" s="376">
        <v>1</v>
      </c>
      <c r="G1642" s="376">
        <v>3740.7066949070786</v>
      </c>
      <c r="H1642" s="376">
        <v>0</v>
      </c>
      <c r="I1642" s="376">
        <v>1</v>
      </c>
    </row>
    <row r="1643" spans="1:9" x14ac:dyDescent="0.35">
      <c r="A1643" s="376" t="s">
        <v>1636</v>
      </c>
      <c r="B1643" s="376" t="s">
        <v>1609</v>
      </c>
      <c r="C1643" s="376" t="s">
        <v>1046</v>
      </c>
      <c r="D1643" s="376">
        <v>2022</v>
      </c>
      <c r="E1643" s="376">
        <v>2025</v>
      </c>
      <c r="F1643" s="376">
        <v>1</v>
      </c>
      <c r="G1643" s="376">
        <v>3740.7066949070786</v>
      </c>
      <c r="H1643" s="376">
        <v>0</v>
      </c>
      <c r="I1643" s="376">
        <v>1</v>
      </c>
    </row>
    <row r="1644" spans="1:9" x14ac:dyDescent="0.35">
      <c r="A1644" s="376" t="s">
        <v>1636</v>
      </c>
      <c r="B1644" s="376" t="s">
        <v>1609</v>
      </c>
      <c r="C1644" s="376" t="s">
        <v>644</v>
      </c>
      <c r="D1644" s="376">
        <v>2022</v>
      </c>
      <c r="E1644" s="376">
        <v>2025</v>
      </c>
      <c r="F1644" s="376">
        <v>1</v>
      </c>
      <c r="G1644" s="376">
        <v>3740.7066949070786</v>
      </c>
      <c r="H1644" s="376">
        <v>0</v>
      </c>
      <c r="I1644" s="376">
        <v>1</v>
      </c>
    </row>
    <row r="1645" spans="1:9" x14ac:dyDescent="0.35">
      <c r="A1645" s="376" t="s">
        <v>1636</v>
      </c>
      <c r="B1645" s="376" t="s">
        <v>1609</v>
      </c>
      <c r="C1645" s="376" t="s">
        <v>628</v>
      </c>
      <c r="D1645" s="376">
        <v>2022</v>
      </c>
      <c r="E1645" s="376">
        <v>2025</v>
      </c>
      <c r="F1645" s="376">
        <v>1</v>
      </c>
      <c r="G1645" s="376">
        <v>3740.7066949070786</v>
      </c>
      <c r="H1645" s="376">
        <v>0</v>
      </c>
      <c r="I1645" s="376">
        <v>1</v>
      </c>
    </row>
    <row r="1646" spans="1:9" x14ac:dyDescent="0.35">
      <c r="A1646" s="376" t="s">
        <v>1636</v>
      </c>
      <c r="B1646" s="376" t="s">
        <v>1609</v>
      </c>
      <c r="C1646" s="376" t="s">
        <v>1051</v>
      </c>
      <c r="D1646" s="376">
        <v>2022</v>
      </c>
      <c r="E1646" s="376">
        <v>2025</v>
      </c>
      <c r="F1646" s="376">
        <v>1</v>
      </c>
      <c r="G1646" s="376">
        <v>3740.7066949070786</v>
      </c>
      <c r="H1646" s="376">
        <v>0</v>
      </c>
      <c r="I1646" s="376">
        <v>1</v>
      </c>
    </row>
    <row r="1647" spans="1:9" x14ac:dyDescent="0.35">
      <c r="A1647" s="376" t="s">
        <v>1636</v>
      </c>
      <c r="B1647" s="376" t="s">
        <v>1609</v>
      </c>
      <c r="C1647" s="376" t="s">
        <v>1054</v>
      </c>
      <c r="D1647" s="376">
        <v>2022</v>
      </c>
      <c r="E1647" s="376">
        <v>2025</v>
      </c>
      <c r="F1647" s="376">
        <v>1</v>
      </c>
      <c r="G1647" s="376">
        <v>3740.7066949070786</v>
      </c>
      <c r="H1647" s="376">
        <v>0</v>
      </c>
      <c r="I1647" s="376">
        <v>1</v>
      </c>
    </row>
    <row r="1648" spans="1:9" x14ac:dyDescent="0.35">
      <c r="A1648" s="376" t="s">
        <v>1636</v>
      </c>
      <c r="B1648" s="376" t="s">
        <v>1609</v>
      </c>
      <c r="C1648" s="376" t="s">
        <v>1046</v>
      </c>
      <c r="D1648" s="376">
        <v>2022</v>
      </c>
      <c r="E1648" s="376">
        <v>2026</v>
      </c>
      <c r="F1648" s="376">
        <v>1</v>
      </c>
      <c r="G1648" s="376">
        <v>3740.7066949070786</v>
      </c>
      <c r="H1648" s="376">
        <v>0</v>
      </c>
      <c r="I1648" s="376">
        <v>1</v>
      </c>
    </row>
    <row r="1649" spans="1:9" x14ac:dyDescent="0.35">
      <c r="A1649" s="376" t="s">
        <v>1636</v>
      </c>
      <c r="B1649" s="376" t="s">
        <v>1609</v>
      </c>
      <c r="C1649" s="376" t="s">
        <v>644</v>
      </c>
      <c r="D1649" s="376">
        <v>2022</v>
      </c>
      <c r="E1649" s="376">
        <v>2026</v>
      </c>
      <c r="F1649" s="376">
        <v>1</v>
      </c>
      <c r="G1649" s="376">
        <v>3740.7066949070786</v>
      </c>
      <c r="H1649" s="376">
        <v>0</v>
      </c>
      <c r="I1649" s="376">
        <v>1</v>
      </c>
    </row>
    <row r="1650" spans="1:9" x14ac:dyDescent="0.35">
      <c r="A1650" s="376" t="s">
        <v>1636</v>
      </c>
      <c r="B1650" s="376" t="s">
        <v>1609</v>
      </c>
      <c r="C1650" s="376" t="s">
        <v>628</v>
      </c>
      <c r="D1650" s="376">
        <v>2022</v>
      </c>
      <c r="E1650" s="376">
        <v>2026</v>
      </c>
      <c r="F1650" s="376">
        <v>1</v>
      </c>
      <c r="G1650" s="376">
        <v>3740.7066949070786</v>
      </c>
      <c r="H1650" s="376">
        <v>0</v>
      </c>
      <c r="I1650" s="376">
        <v>1</v>
      </c>
    </row>
    <row r="1651" spans="1:9" x14ac:dyDescent="0.35">
      <c r="A1651" s="376" t="s">
        <v>1636</v>
      </c>
      <c r="B1651" s="376" t="s">
        <v>1609</v>
      </c>
      <c r="C1651" s="376" t="s">
        <v>1051</v>
      </c>
      <c r="D1651" s="376">
        <v>2022</v>
      </c>
      <c r="E1651" s="376">
        <v>2026</v>
      </c>
      <c r="F1651" s="376">
        <v>1</v>
      </c>
      <c r="G1651" s="376">
        <v>3740.7066949070786</v>
      </c>
      <c r="H1651" s="376">
        <v>0</v>
      </c>
      <c r="I1651" s="376">
        <v>1</v>
      </c>
    </row>
    <row r="1652" spans="1:9" x14ac:dyDescent="0.35">
      <c r="A1652" s="376" t="s">
        <v>1636</v>
      </c>
      <c r="B1652" s="376" t="s">
        <v>1609</v>
      </c>
      <c r="C1652" s="376" t="s">
        <v>1054</v>
      </c>
      <c r="D1652" s="376">
        <v>2022</v>
      </c>
      <c r="E1652" s="376">
        <v>2026</v>
      </c>
      <c r="F1652" s="376">
        <v>1</v>
      </c>
      <c r="G1652" s="376">
        <v>3740.7066949070786</v>
      </c>
      <c r="H1652" s="376">
        <v>0</v>
      </c>
      <c r="I1652" s="376">
        <v>1</v>
      </c>
    </row>
    <row r="1653" spans="1:9" x14ac:dyDescent="0.35">
      <c r="A1653" s="376" t="s">
        <v>1636</v>
      </c>
      <c r="B1653" s="376" t="s">
        <v>1609</v>
      </c>
      <c r="C1653" s="376" t="s">
        <v>1046</v>
      </c>
      <c r="D1653" s="376">
        <v>2022</v>
      </c>
      <c r="E1653" s="376">
        <v>2027</v>
      </c>
      <c r="F1653" s="376">
        <v>1</v>
      </c>
      <c r="G1653" s="376">
        <v>3740.7066949070786</v>
      </c>
      <c r="H1653" s="376">
        <v>0</v>
      </c>
      <c r="I1653" s="376">
        <v>1</v>
      </c>
    </row>
    <row r="1654" spans="1:9" x14ac:dyDescent="0.35">
      <c r="A1654" s="376" t="s">
        <v>1636</v>
      </c>
      <c r="B1654" s="376" t="s">
        <v>1609</v>
      </c>
      <c r="C1654" s="376" t="s">
        <v>644</v>
      </c>
      <c r="D1654" s="376">
        <v>2022</v>
      </c>
      <c r="E1654" s="376">
        <v>2027</v>
      </c>
      <c r="F1654" s="376">
        <v>1</v>
      </c>
      <c r="G1654" s="376">
        <v>3740.7066949070786</v>
      </c>
      <c r="H1654" s="376">
        <v>0</v>
      </c>
      <c r="I1654" s="376">
        <v>1</v>
      </c>
    </row>
    <row r="1655" spans="1:9" x14ac:dyDescent="0.35">
      <c r="A1655" s="376" t="s">
        <v>1636</v>
      </c>
      <c r="B1655" s="376" t="s">
        <v>1609</v>
      </c>
      <c r="C1655" s="376" t="s">
        <v>628</v>
      </c>
      <c r="D1655" s="376">
        <v>2022</v>
      </c>
      <c r="E1655" s="376">
        <v>2027</v>
      </c>
      <c r="F1655" s="376">
        <v>1</v>
      </c>
      <c r="G1655" s="376">
        <v>3740.7066949070786</v>
      </c>
      <c r="H1655" s="376">
        <v>0</v>
      </c>
      <c r="I1655" s="376">
        <v>1</v>
      </c>
    </row>
    <row r="1656" spans="1:9" x14ac:dyDescent="0.35">
      <c r="A1656" s="376" t="s">
        <v>1636</v>
      </c>
      <c r="B1656" s="376" t="s">
        <v>1609</v>
      </c>
      <c r="C1656" s="376" t="s">
        <v>1051</v>
      </c>
      <c r="D1656" s="376">
        <v>2022</v>
      </c>
      <c r="E1656" s="376">
        <v>2027</v>
      </c>
      <c r="F1656" s="376">
        <v>1</v>
      </c>
      <c r="G1656" s="376">
        <v>3740.7066949070786</v>
      </c>
      <c r="H1656" s="376">
        <v>0</v>
      </c>
      <c r="I1656" s="376">
        <v>1</v>
      </c>
    </row>
    <row r="1657" spans="1:9" x14ac:dyDescent="0.35">
      <c r="A1657" s="376" t="s">
        <v>1636</v>
      </c>
      <c r="B1657" s="376" t="s">
        <v>1609</v>
      </c>
      <c r="C1657" s="376" t="s">
        <v>1054</v>
      </c>
      <c r="D1657" s="376">
        <v>2022</v>
      </c>
      <c r="E1657" s="376">
        <v>2027</v>
      </c>
      <c r="F1657" s="376">
        <v>1</v>
      </c>
      <c r="G1657" s="376">
        <v>3740.7066949070786</v>
      </c>
      <c r="H1657" s="376">
        <v>0</v>
      </c>
      <c r="I1657" s="376">
        <v>1</v>
      </c>
    </row>
    <row r="1658" spans="1:9" x14ac:dyDescent="0.35">
      <c r="A1658" s="376" t="s">
        <v>1636</v>
      </c>
      <c r="B1658" s="376" t="s">
        <v>1609</v>
      </c>
      <c r="C1658" s="376" t="s">
        <v>1046</v>
      </c>
      <c r="D1658" s="376">
        <v>2022</v>
      </c>
      <c r="E1658" s="376">
        <v>2028</v>
      </c>
      <c r="F1658" s="376">
        <v>1</v>
      </c>
      <c r="G1658" s="376">
        <v>3740.7066949070786</v>
      </c>
      <c r="H1658" s="376">
        <v>0</v>
      </c>
      <c r="I1658" s="376">
        <v>1</v>
      </c>
    </row>
    <row r="1659" spans="1:9" x14ac:dyDescent="0.35">
      <c r="A1659" s="376" t="s">
        <v>1636</v>
      </c>
      <c r="B1659" s="376" t="s">
        <v>1609</v>
      </c>
      <c r="C1659" s="376" t="s">
        <v>644</v>
      </c>
      <c r="D1659" s="376">
        <v>2022</v>
      </c>
      <c r="E1659" s="376">
        <v>2028</v>
      </c>
      <c r="F1659" s="376">
        <v>1</v>
      </c>
      <c r="G1659" s="376">
        <v>3740.7066949070786</v>
      </c>
      <c r="H1659" s="376">
        <v>0</v>
      </c>
      <c r="I1659" s="376">
        <v>1</v>
      </c>
    </row>
    <row r="1660" spans="1:9" x14ac:dyDescent="0.35">
      <c r="A1660" s="376" t="s">
        <v>1636</v>
      </c>
      <c r="B1660" s="376" t="s">
        <v>1609</v>
      </c>
      <c r="C1660" s="376" t="s">
        <v>628</v>
      </c>
      <c r="D1660" s="376">
        <v>2022</v>
      </c>
      <c r="E1660" s="376">
        <v>2028</v>
      </c>
      <c r="F1660" s="376">
        <v>1</v>
      </c>
      <c r="G1660" s="376">
        <v>3740.7066949070786</v>
      </c>
      <c r="H1660" s="376">
        <v>0</v>
      </c>
      <c r="I1660" s="376">
        <v>1</v>
      </c>
    </row>
    <row r="1661" spans="1:9" x14ac:dyDescent="0.35">
      <c r="A1661" s="376" t="s">
        <v>1636</v>
      </c>
      <c r="B1661" s="376" t="s">
        <v>1609</v>
      </c>
      <c r="C1661" s="376" t="s">
        <v>1051</v>
      </c>
      <c r="D1661" s="376">
        <v>2022</v>
      </c>
      <c r="E1661" s="376">
        <v>2028</v>
      </c>
      <c r="F1661" s="376">
        <v>1</v>
      </c>
      <c r="G1661" s="376">
        <v>3740.7066949070786</v>
      </c>
      <c r="H1661" s="376">
        <v>0</v>
      </c>
      <c r="I1661" s="376">
        <v>1</v>
      </c>
    </row>
    <row r="1662" spans="1:9" x14ac:dyDescent="0.35">
      <c r="A1662" s="376" t="s">
        <v>1636</v>
      </c>
      <c r="B1662" s="376" t="s">
        <v>1609</v>
      </c>
      <c r="C1662" s="376" t="s">
        <v>1054</v>
      </c>
      <c r="D1662" s="376">
        <v>2022</v>
      </c>
      <c r="E1662" s="376">
        <v>2028</v>
      </c>
      <c r="F1662" s="376">
        <v>1</v>
      </c>
      <c r="G1662" s="376">
        <v>3740.7066949070786</v>
      </c>
      <c r="H1662" s="376">
        <v>0</v>
      </c>
      <c r="I1662" s="376">
        <v>1</v>
      </c>
    </row>
    <row r="1663" spans="1:9" x14ac:dyDescent="0.35">
      <c r="A1663" s="376" t="s">
        <v>1636</v>
      </c>
      <c r="B1663" s="376" t="s">
        <v>1609</v>
      </c>
      <c r="C1663" s="376" t="s">
        <v>1046</v>
      </c>
      <c r="D1663" s="376">
        <v>2022</v>
      </c>
      <c r="E1663" s="376">
        <v>2029</v>
      </c>
      <c r="F1663" s="376">
        <v>1</v>
      </c>
      <c r="G1663" s="376">
        <v>3740.7066949070786</v>
      </c>
      <c r="H1663" s="376">
        <v>0</v>
      </c>
      <c r="I1663" s="376">
        <v>1</v>
      </c>
    </row>
    <row r="1664" spans="1:9" x14ac:dyDescent="0.35">
      <c r="A1664" s="376" t="s">
        <v>1636</v>
      </c>
      <c r="B1664" s="376" t="s">
        <v>1609</v>
      </c>
      <c r="C1664" s="376" t="s">
        <v>644</v>
      </c>
      <c r="D1664" s="376">
        <v>2022</v>
      </c>
      <c r="E1664" s="376">
        <v>2029</v>
      </c>
      <c r="F1664" s="376">
        <v>1</v>
      </c>
      <c r="G1664" s="376">
        <v>3740.7066949070786</v>
      </c>
      <c r="H1664" s="376">
        <v>0</v>
      </c>
      <c r="I1664" s="376">
        <v>1</v>
      </c>
    </row>
    <row r="1665" spans="1:9" x14ac:dyDescent="0.35">
      <c r="A1665" s="376" t="s">
        <v>1636</v>
      </c>
      <c r="B1665" s="376" t="s">
        <v>1609</v>
      </c>
      <c r="C1665" s="376" t="s">
        <v>628</v>
      </c>
      <c r="D1665" s="376">
        <v>2022</v>
      </c>
      <c r="E1665" s="376">
        <v>2029</v>
      </c>
      <c r="F1665" s="376">
        <v>1</v>
      </c>
      <c r="G1665" s="376">
        <v>3740.7066949070786</v>
      </c>
      <c r="H1665" s="376">
        <v>0</v>
      </c>
      <c r="I1665" s="376">
        <v>1</v>
      </c>
    </row>
    <row r="1666" spans="1:9" x14ac:dyDescent="0.35">
      <c r="A1666" s="376" t="s">
        <v>1636</v>
      </c>
      <c r="B1666" s="376" t="s">
        <v>1609</v>
      </c>
      <c r="C1666" s="376" t="s">
        <v>1051</v>
      </c>
      <c r="D1666" s="376">
        <v>2022</v>
      </c>
      <c r="E1666" s="376">
        <v>2029</v>
      </c>
      <c r="F1666" s="376">
        <v>1</v>
      </c>
      <c r="G1666" s="376">
        <v>3740.7066949070786</v>
      </c>
      <c r="H1666" s="376">
        <v>0</v>
      </c>
      <c r="I1666" s="376">
        <v>1</v>
      </c>
    </row>
    <row r="1667" spans="1:9" x14ac:dyDescent="0.35">
      <c r="A1667" s="376" t="s">
        <v>1636</v>
      </c>
      <c r="B1667" s="376" t="s">
        <v>1609</v>
      </c>
      <c r="C1667" s="376" t="s">
        <v>1054</v>
      </c>
      <c r="D1667" s="376">
        <v>2022</v>
      </c>
      <c r="E1667" s="376">
        <v>2029</v>
      </c>
      <c r="F1667" s="376">
        <v>1</v>
      </c>
      <c r="G1667" s="376">
        <v>3740.7066949070786</v>
      </c>
      <c r="H1667" s="376">
        <v>0</v>
      </c>
      <c r="I1667" s="376">
        <v>1</v>
      </c>
    </row>
    <row r="1668" spans="1:9" x14ac:dyDescent="0.35">
      <c r="A1668" s="376" t="s">
        <v>1636</v>
      </c>
      <c r="B1668" s="376" t="s">
        <v>1609</v>
      </c>
      <c r="C1668" s="376" t="s">
        <v>1046</v>
      </c>
      <c r="D1668" s="376">
        <v>2022</v>
      </c>
      <c r="E1668" s="376">
        <v>2030</v>
      </c>
      <c r="F1668" s="376">
        <v>1</v>
      </c>
      <c r="G1668" s="376">
        <v>3740.7066949070786</v>
      </c>
      <c r="H1668" s="376">
        <v>0</v>
      </c>
      <c r="I1668" s="376">
        <v>1</v>
      </c>
    </row>
    <row r="1669" spans="1:9" x14ac:dyDescent="0.35">
      <c r="A1669" s="376" t="s">
        <v>1636</v>
      </c>
      <c r="B1669" s="376" t="s">
        <v>1609</v>
      </c>
      <c r="C1669" s="376" t="s">
        <v>644</v>
      </c>
      <c r="D1669" s="376">
        <v>2022</v>
      </c>
      <c r="E1669" s="376">
        <v>2030</v>
      </c>
      <c r="F1669" s="376">
        <v>1</v>
      </c>
      <c r="G1669" s="376">
        <v>3740.7066949070786</v>
      </c>
      <c r="H1669" s="376">
        <v>0</v>
      </c>
      <c r="I1669" s="376">
        <v>1</v>
      </c>
    </row>
    <row r="1670" spans="1:9" x14ac:dyDescent="0.35">
      <c r="A1670" s="376" t="s">
        <v>1636</v>
      </c>
      <c r="B1670" s="376" t="s">
        <v>1609</v>
      </c>
      <c r="C1670" s="376" t="s">
        <v>628</v>
      </c>
      <c r="D1670" s="376">
        <v>2022</v>
      </c>
      <c r="E1670" s="376">
        <v>2030</v>
      </c>
      <c r="F1670" s="376">
        <v>1</v>
      </c>
      <c r="G1670" s="376">
        <v>3740.7066949070786</v>
      </c>
      <c r="H1670" s="376">
        <v>0</v>
      </c>
      <c r="I1670" s="376">
        <v>1</v>
      </c>
    </row>
    <row r="1671" spans="1:9" x14ac:dyDescent="0.35">
      <c r="A1671" s="376" t="s">
        <v>1636</v>
      </c>
      <c r="B1671" s="376" t="s">
        <v>1609</v>
      </c>
      <c r="C1671" s="376" t="s">
        <v>1051</v>
      </c>
      <c r="D1671" s="376">
        <v>2022</v>
      </c>
      <c r="E1671" s="376">
        <v>2030</v>
      </c>
      <c r="F1671" s="376">
        <v>1</v>
      </c>
      <c r="G1671" s="376">
        <v>3740.7066949070786</v>
      </c>
      <c r="H1671" s="376">
        <v>0</v>
      </c>
      <c r="I1671" s="376">
        <v>1</v>
      </c>
    </row>
    <row r="1672" spans="1:9" x14ac:dyDescent="0.35">
      <c r="A1672" s="376" t="s">
        <v>1636</v>
      </c>
      <c r="B1672" s="376" t="s">
        <v>1609</v>
      </c>
      <c r="C1672" s="376" t="s">
        <v>1054</v>
      </c>
      <c r="D1672" s="376">
        <v>2022</v>
      </c>
      <c r="E1672" s="376">
        <v>2030</v>
      </c>
      <c r="F1672" s="376">
        <v>1</v>
      </c>
      <c r="G1672" s="376">
        <v>3740.7066949070786</v>
      </c>
      <c r="H1672" s="376">
        <v>0</v>
      </c>
      <c r="I1672" s="376">
        <v>1</v>
      </c>
    </row>
    <row r="1673" spans="1:9" x14ac:dyDescent="0.35">
      <c r="A1673" s="376" t="s">
        <v>1636</v>
      </c>
      <c r="B1673" s="376" t="s">
        <v>1609</v>
      </c>
      <c r="C1673" s="376" t="s">
        <v>1046</v>
      </c>
      <c r="D1673" s="376">
        <v>2022</v>
      </c>
      <c r="E1673" s="376">
        <v>2031</v>
      </c>
      <c r="F1673" s="376">
        <v>1</v>
      </c>
      <c r="G1673" s="376">
        <v>3740.7066949070786</v>
      </c>
      <c r="H1673" s="376">
        <v>0</v>
      </c>
      <c r="I1673" s="376">
        <v>1</v>
      </c>
    </row>
    <row r="1674" spans="1:9" x14ac:dyDescent="0.35">
      <c r="A1674" s="376" t="s">
        <v>1636</v>
      </c>
      <c r="B1674" s="376" t="s">
        <v>1609</v>
      </c>
      <c r="C1674" s="376" t="s">
        <v>644</v>
      </c>
      <c r="D1674" s="376">
        <v>2022</v>
      </c>
      <c r="E1674" s="376">
        <v>2031</v>
      </c>
      <c r="F1674" s="376">
        <v>1</v>
      </c>
      <c r="G1674" s="376">
        <v>3740.7066949070786</v>
      </c>
      <c r="H1674" s="376">
        <v>0</v>
      </c>
      <c r="I1674" s="376">
        <v>1</v>
      </c>
    </row>
    <row r="1675" spans="1:9" x14ac:dyDescent="0.35">
      <c r="A1675" s="376" t="s">
        <v>1636</v>
      </c>
      <c r="B1675" s="376" t="s">
        <v>1609</v>
      </c>
      <c r="C1675" s="376" t="s">
        <v>628</v>
      </c>
      <c r="D1675" s="376">
        <v>2022</v>
      </c>
      <c r="E1675" s="376">
        <v>2031</v>
      </c>
      <c r="F1675" s="376">
        <v>1</v>
      </c>
      <c r="G1675" s="376">
        <v>3740.7066949070786</v>
      </c>
      <c r="H1675" s="376">
        <v>0</v>
      </c>
      <c r="I1675" s="376">
        <v>1</v>
      </c>
    </row>
    <row r="1676" spans="1:9" x14ac:dyDescent="0.35">
      <c r="A1676" s="376" t="s">
        <v>1636</v>
      </c>
      <c r="B1676" s="376" t="s">
        <v>1609</v>
      </c>
      <c r="C1676" s="376" t="s">
        <v>1051</v>
      </c>
      <c r="D1676" s="376">
        <v>2022</v>
      </c>
      <c r="E1676" s="376">
        <v>2031</v>
      </c>
      <c r="F1676" s="376">
        <v>1</v>
      </c>
      <c r="G1676" s="376">
        <v>3740.7066949070786</v>
      </c>
      <c r="H1676" s="376">
        <v>0</v>
      </c>
      <c r="I1676" s="376">
        <v>1</v>
      </c>
    </row>
    <row r="1677" spans="1:9" x14ac:dyDescent="0.35">
      <c r="A1677" s="376" t="s">
        <v>1636</v>
      </c>
      <c r="B1677" s="376" t="s">
        <v>1609</v>
      </c>
      <c r="C1677" s="376" t="s">
        <v>1054</v>
      </c>
      <c r="D1677" s="376">
        <v>2022</v>
      </c>
      <c r="E1677" s="376">
        <v>2031</v>
      </c>
      <c r="F1677" s="376">
        <v>1</v>
      </c>
      <c r="G1677" s="376">
        <v>3740.7066949070786</v>
      </c>
      <c r="H1677" s="376">
        <v>0</v>
      </c>
      <c r="I1677" s="376">
        <v>1</v>
      </c>
    </row>
    <row r="1678" spans="1:9" x14ac:dyDescent="0.35">
      <c r="A1678" s="376" t="s">
        <v>1606</v>
      </c>
      <c r="B1678" s="376" t="s">
        <v>1609</v>
      </c>
      <c r="C1678" s="376" t="s">
        <v>1046</v>
      </c>
      <c r="D1678" s="376">
        <v>2022</v>
      </c>
      <c r="E1678" s="376">
        <v>2022</v>
      </c>
      <c r="F1678" s="376">
        <v>1</v>
      </c>
      <c r="G1678" s="376">
        <v>6115.0506935945432</v>
      </c>
      <c r="H1678" s="376">
        <v>0</v>
      </c>
      <c r="I1678" s="376">
        <v>1</v>
      </c>
    </row>
    <row r="1679" spans="1:9" x14ac:dyDescent="0.35">
      <c r="A1679" s="376" t="s">
        <v>1606</v>
      </c>
      <c r="B1679" s="376" t="s">
        <v>1609</v>
      </c>
      <c r="C1679" s="376" t="s">
        <v>644</v>
      </c>
      <c r="D1679" s="376">
        <v>2022</v>
      </c>
      <c r="E1679" s="376">
        <v>2022</v>
      </c>
      <c r="F1679" s="376">
        <v>1</v>
      </c>
      <c r="G1679" s="376">
        <v>6115.0506935945432</v>
      </c>
      <c r="H1679" s="376">
        <v>0</v>
      </c>
      <c r="I1679" s="376">
        <v>1</v>
      </c>
    </row>
    <row r="1680" spans="1:9" x14ac:dyDescent="0.35">
      <c r="A1680" s="376" t="s">
        <v>1606</v>
      </c>
      <c r="B1680" s="376" t="s">
        <v>1609</v>
      </c>
      <c r="C1680" s="376" t="s">
        <v>628</v>
      </c>
      <c r="D1680" s="376">
        <v>2022</v>
      </c>
      <c r="E1680" s="376">
        <v>2022</v>
      </c>
      <c r="F1680" s="376">
        <v>1</v>
      </c>
      <c r="G1680" s="376">
        <v>6115.0506935945432</v>
      </c>
      <c r="H1680" s="376">
        <v>0</v>
      </c>
      <c r="I1680" s="376">
        <v>1</v>
      </c>
    </row>
    <row r="1681" spans="1:9" x14ac:dyDescent="0.35">
      <c r="A1681" s="376" t="s">
        <v>1606</v>
      </c>
      <c r="B1681" s="376" t="s">
        <v>1609</v>
      </c>
      <c r="C1681" s="376" t="s">
        <v>1051</v>
      </c>
      <c r="D1681" s="376">
        <v>2022</v>
      </c>
      <c r="E1681" s="376">
        <v>2022</v>
      </c>
      <c r="F1681" s="376">
        <v>1</v>
      </c>
      <c r="G1681" s="376">
        <v>6115.0506935945432</v>
      </c>
      <c r="H1681" s="376">
        <v>0</v>
      </c>
      <c r="I1681" s="376">
        <v>1</v>
      </c>
    </row>
    <row r="1682" spans="1:9" x14ac:dyDescent="0.35">
      <c r="A1682" s="376" t="s">
        <v>1606</v>
      </c>
      <c r="B1682" s="376" t="s">
        <v>1609</v>
      </c>
      <c r="C1682" s="376" t="s">
        <v>1054</v>
      </c>
      <c r="D1682" s="376">
        <v>2022</v>
      </c>
      <c r="E1682" s="376">
        <v>2022</v>
      </c>
      <c r="F1682" s="376">
        <v>1</v>
      </c>
      <c r="G1682" s="376">
        <v>6115.0506935945432</v>
      </c>
      <c r="H1682" s="376">
        <v>0</v>
      </c>
      <c r="I1682" s="376">
        <v>1</v>
      </c>
    </row>
    <row r="1683" spans="1:9" x14ac:dyDescent="0.35">
      <c r="A1683" s="376" t="s">
        <v>1606</v>
      </c>
      <c r="B1683" s="376" t="s">
        <v>1609</v>
      </c>
      <c r="C1683" s="376" t="s">
        <v>1046</v>
      </c>
      <c r="D1683" s="376">
        <v>2022</v>
      </c>
      <c r="E1683" s="376">
        <v>2023</v>
      </c>
      <c r="F1683" s="376">
        <v>1</v>
      </c>
      <c r="G1683" s="376">
        <v>6115.0506935945432</v>
      </c>
      <c r="H1683" s="376">
        <v>0</v>
      </c>
      <c r="I1683" s="376">
        <v>1</v>
      </c>
    </row>
    <row r="1684" spans="1:9" x14ac:dyDescent="0.35">
      <c r="A1684" s="376" t="s">
        <v>1606</v>
      </c>
      <c r="B1684" s="376" t="s">
        <v>1609</v>
      </c>
      <c r="C1684" s="376" t="s">
        <v>644</v>
      </c>
      <c r="D1684" s="376">
        <v>2022</v>
      </c>
      <c r="E1684" s="376">
        <v>2023</v>
      </c>
      <c r="F1684" s="376">
        <v>1</v>
      </c>
      <c r="G1684" s="376">
        <v>6115.0506935945432</v>
      </c>
      <c r="H1684" s="376">
        <v>0</v>
      </c>
      <c r="I1684" s="376">
        <v>1</v>
      </c>
    </row>
    <row r="1685" spans="1:9" x14ac:dyDescent="0.35">
      <c r="A1685" s="376" t="s">
        <v>1606</v>
      </c>
      <c r="B1685" s="376" t="s">
        <v>1609</v>
      </c>
      <c r="C1685" s="376" t="s">
        <v>628</v>
      </c>
      <c r="D1685" s="376">
        <v>2022</v>
      </c>
      <c r="E1685" s="376">
        <v>2023</v>
      </c>
      <c r="F1685" s="376">
        <v>1</v>
      </c>
      <c r="G1685" s="376">
        <v>6115.0506935945432</v>
      </c>
      <c r="H1685" s="376">
        <v>0</v>
      </c>
      <c r="I1685" s="376">
        <v>1</v>
      </c>
    </row>
    <row r="1686" spans="1:9" x14ac:dyDescent="0.35">
      <c r="A1686" s="376" t="s">
        <v>1606</v>
      </c>
      <c r="B1686" s="376" t="s">
        <v>1609</v>
      </c>
      <c r="C1686" s="376" t="s">
        <v>1051</v>
      </c>
      <c r="D1686" s="376">
        <v>2022</v>
      </c>
      <c r="E1686" s="376">
        <v>2023</v>
      </c>
      <c r="F1686" s="376">
        <v>1</v>
      </c>
      <c r="G1686" s="376">
        <v>6115.0506935945432</v>
      </c>
      <c r="H1686" s="376">
        <v>0</v>
      </c>
      <c r="I1686" s="376">
        <v>1</v>
      </c>
    </row>
    <row r="1687" spans="1:9" x14ac:dyDescent="0.35">
      <c r="A1687" s="376" t="s">
        <v>1606</v>
      </c>
      <c r="B1687" s="376" t="s">
        <v>1609</v>
      </c>
      <c r="C1687" s="376" t="s">
        <v>1054</v>
      </c>
      <c r="D1687" s="376">
        <v>2022</v>
      </c>
      <c r="E1687" s="376">
        <v>2023</v>
      </c>
      <c r="F1687" s="376">
        <v>1</v>
      </c>
      <c r="G1687" s="376">
        <v>6115.0506935945432</v>
      </c>
      <c r="H1687" s="376">
        <v>0</v>
      </c>
      <c r="I1687" s="376">
        <v>1</v>
      </c>
    </row>
    <row r="1688" spans="1:9" x14ac:dyDescent="0.35">
      <c r="A1688" s="376" t="s">
        <v>1606</v>
      </c>
      <c r="B1688" s="376" t="s">
        <v>1609</v>
      </c>
      <c r="C1688" s="376" t="s">
        <v>1046</v>
      </c>
      <c r="D1688" s="376">
        <v>2022</v>
      </c>
      <c r="E1688" s="376">
        <v>2024</v>
      </c>
      <c r="F1688" s="376">
        <v>1</v>
      </c>
      <c r="G1688" s="376">
        <v>6115.0506935945432</v>
      </c>
      <c r="H1688" s="376">
        <v>0</v>
      </c>
      <c r="I1688" s="376">
        <v>1</v>
      </c>
    </row>
    <row r="1689" spans="1:9" x14ac:dyDescent="0.35">
      <c r="A1689" s="376" t="s">
        <v>1606</v>
      </c>
      <c r="B1689" s="376" t="s">
        <v>1609</v>
      </c>
      <c r="C1689" s="376" t="s">
        <v>644</v>
      </c>
      <c r="D1689" s="376">
        <v>2022</v>
      </c>
      <c r="E1689" s="376">
        <v>2024</v>
      </c>
      <c r="F1689" s="376">
        <v>1</v>
      </c>
      <c r="G1689" s="376">
        <v>6115.0506935945432</v>
      </c>
      <c r="H1689" s="376">
        <v>0</v>
      </c>
      <c r="I1689" s="376">
        <v>1</v>
      </c>
    </row>
    <row r="1690" spans="1:9" x14ac:dyDescent="0.35">
      <c r="A1690" s="376" t="s">
        <v>1606</v>
      </c>
      <c r="B1690" s="376" t="s">
        <v>1609</v>
      </c>
      <c r="C1690" s="376" t="s">
        <v>628</v>
      </c>
      <c r="D1690" s="376">
        <v>2022</v>
      </c>
      <c r="E1690" s="376">
        <v>2024</v>
      </c>
      <c r="F1690" s="376">
        <v>1</v>
      </c>
      <c r="G1690" s="376">
        <v>6115.0506935945432</v>
      </c>
      <c r="H1690" s="376">
        <v>0</v>
      </c>
      <c r="I1690" s="376">
        <v>1</v>
      </c>
    </row>
    <row r="1691" spans="1:9" x14ac:dyDescent="0.35">
      <c r="A1691" s="376" t="s">
        <v>1606</v>
      </c>
      <c r="B1691" s="376" t="s">
        <v>1609</v>
      </c>
      <c r="C1691" s="376" t="s">
        <v>1051</v>
      </c>
      <c r="D1691" s="376">
        <v>2022</v>
      </c>
      <c r="E1691" s="376">
        <v>2024</v>
      </c>
      <c r="F1691" s="376">
        <v>1</v>
      </c>
      <c r="G1691" s="376">
        <v>6115.0506935945432</v>
      </c>
      <c r="H1691" s="376">
        <v>0</v>
      </c>
      <c r="I1691" s="376">
        <v>1</v>
      </c>
    </row>
    <row r="1692" spans="1:9" x14ac:dyDescent="0.35">
      <c r="A1692" s="376" t="s">
        <v>1606</v>
      </c>
      <c r="B1692" s="376" t="s">
        <v>1609</v>
      </c>
      <c r="C1692" s="376" t="s">
        <v>1054</v>
      </c>
      <c r="D1692" s="376">
        <v>2022</v>
      </c>
      <c r="E1692" s="376">
        <v>2024</v>
      </c>
      <c r="F1692" s="376">
        <v>1</v>
      </c>
      <c r="G1692" s="376">
        <v>6115.0506935945432</v>
      </c>
      <c r="H1692" s="376">
        <v>0</v>
      </c>
      <c r="I1692" s="376">
        <v>1</v>
      </c>
    </row>
    <row r="1693" spans="1:9" x14ac:dyDescent="0.35">
      <c r="A1693" s="376" t="s">
        <v>1606</v>
      </c>
      <c r="B1693" s="376" t="s">
        <v>1609</v>
      </c>
      <c r="C1693" s="376" t="s">
        <v>1046</v>
      </c>
      <c r="D1693" s="376">
        <v>2022</v>
      </c>
      <c r="E1693" s="376">
        <v>2025</v>
      </c>
      <c r="F1693" s="376">
        <v>1</v>
      </c>
      <c r="G1693" s="376">
        <v>6115.0506935945432</v>
      </c>
      <c r="H1693" s="376">
        <v>0</v>
      </c>
      <c r="I1693" s="376">
        <v>1</v>
      </c>
    </row>
    <row r="1694" spans="1:9" x14ac:dyDescent="0.35">
      <c r="A1694" s="376" t="s">
        <v>1606</v>
      </c>
      <c r="B1694" s="376" t="s">
        <v>1609</v>
      </c>
      <c r="C1694" s="376" t="s">
        <v>644</v>
      </c>
      <c r="D1694" s="376">
        <v>2022</v>
      </c>
      <c r="E1694" s="376">
        <v>2025</v>
      </c>
      <c r="F1694" s="376">
        <v>1</v>
      </c>
      <c r="G1694" s="376">
        <v>6115.0506935945432</v>
      </c>
      <c r="H1694" s="376">
        <v>0</v>
      </c>
      <c r="I1694" s="376">
        <v>1</v>
      </c>
    </row>
    <row r="1695" spans="1:9" x14ac:dyDescent="0.35">
      <c r="A1695" s="376" t="s">
        <v>1606</v>
      </c>
      <c r="B1695" s="376" t="s">
        <v>1609</v>
      </c>
      <c r="C1695" s="376" t="s">
        <v>628</v>
      </c>
      <c r="D1695" s="376">
        <v>2022</v>
      </c>
      <c r="E1695" s="376">
        <v>2025</v>
      </c>
      <c r="F1695" s="376">
        <v>1</v>
      </c>
      <c r="G1695" s="376">
        <v>6115.0506935945432</v>
      </c>
      <c r="H1695" s="376">
        <v>0</v>
      </c>
      <c r="I1695" s="376">
        <v>1</v>
      </c>
    </row>
    <row r="1696" spans="1:9" x14ac:dyDescent="0.35">
      <c r="A1696" s="376" t="s">
        <v>1606</v>
      </c>
      <c r="B1696" s="376" t="s">
        <v>1609</v>
      </c>
      <c r="C1696" s="376" t="s">
        <v>1051</v>
      </c>
      <c r="D1696" s="376">
        <v>2022</v>
      </c>
      <c r="E1696" s="376">
        <v>2025</v>
      </c>
      <c r="F1696" s="376">
        <v>1</v>
      </c>
      <c r="G1696" s="376">
        <v>6115.0506935945432</v>
      </c>
      <c r="H1696" s="376">
        <v>0</v>
      </c>
      <c r="I1696" s="376">
        <v>1</v>
      </c>
    </row>
    <row r="1697" spans="1:9" x14ac:dyDescent="0.35">
      <c r="A1697" s="376" t="s">
        <v>1606</v>
      </c>
      <c r="B1697" s="376" t="s">
        <v>1609</v>
      </c>
      <c r="C1697" s="376" t="s">
        <v>1054</v>
      </c>
      <c r="D1697" s="376">
        <v>2022</v>
      </c>
      <c r="E1697" s="376">
        <v>2025</v>
      </c>
      <c r="F1697" s="376">
        <v>1</v>
      </c>
      <c r="G1697" s="376">
        <v>6115.0506935945432</v>
      </c>
      <c r="H1697" s="376">
        <v>0</v>
      </c>
      <c r="I1697" s="376">
        <v>1</v>
      </c>
    </row>
    <row r="1698" spans="1:9" x14ac:dyDescent="0.35">
      <c r="A1698" s="376" t="s">
        <v>1606</v>
      </c>
      <c r="B1698" s="376" t="s">
        <v>1609</v>
      </c>
      <c r="C1698" s="376" t="s">
        <v>1046</v>
      </c>
      <c r="D1698" s="376">
        <v>2022</v>
      </c>
      <c r="E1698" s="376">
        <v>2026</v>
      </c>
      <c r="F1698" s="376">
        <v>1</v>
      </c>
      <c r="G1698" s="376">
        <v>6115.0506935945432</v>
      </c>
      <c r="H1698" s="376">
        <v>0</v>
      </c>
      <c r="I1698" s="376">
        <v>1</v>
      </c>
    </row>
    <row r="1699" spans="1:9" x14ac:dyDescent="0.35">
      <c r="A1699" s="376" t="s">
        <v>1606</v>
      </c>
      <c r="B1699" s="376" t="s">
        <v>1609</v>
      </c>
      <c r="C1699" s="376" t="s">
        <v>644</v>
      </c>
      <c r="D1699" s="376">
        <v>2022</v>
      </c>
      <c r="E1699" s="376">
        <v>2026</v>
      </c>
      <c r="F1699" s="376">
        <v>1</v>
      </c>
      <c r="G1699" s="376">
        <v>6115.0506935945432</v>
      </c>
      <c r="H1699" s="376">
        <v>0</v>
      </c>
      <c r="I1699" s="376">
        <v>1</v>
      </c>
    </row>
    <row r="1700" spans="1:9" x14ac:dyDescent="0.35">
      <c r="A1700" s="376" t="s">
        <v>1606</v>
      </c>
      <c r="B1700" s="376" t="s">
        <v>1609</v>
      </c>
      <c r="C1700" s="376" t="s">
        <v>628</v>
      </c>
      <c r="D1700" s="376">
        <v>2022</v>
      </c>
      <c r="E1700" s="376">
        <v>2026</v>
      </c>
      <c r="F1700" s="376">
        <v>1</v>
      </c>
      <c r="G1700" s="376">
        <v>6115.0506935945432</v>
      </c>
      <c r="H1700" s="376">
        <v>0</v>
      </c>
      <c r="I1700" s="376">
        <v>1</v>
      </c>
    </row>
    <row r="1701" spans="1:9" x14ac:dyDescent="0.35">
      <c r="A1701" s="376" t="s">
        <v>1606</v>
      </c>
      <c r="B1701" s="376" t="s">
        <v>1609</v>
      </c>
      <c r="C1701" s="376" t="s">
        <v>1051</v>
      </c>
      <c r="D1701" s="376">
        <v>2022</v>
      </c>
      <c r="E1701" s="376">
        <v>2026</v>
      </c>
      <c r="F1701" s="376">
        <v>1</v>
      </c>
      <c r="G1701" s="376">
        <v>6115.0506935945432</v>
      </c>
      <c r="H1701" s="376">
        <v>0</v>
      </c>
      <c r="I1701" s="376">
        <v>1</v>
      </c>
    </row>
    <row r="1702" spans="1:9" x14ac:dyDescent="0.35">
      <c r="A1702" s="376" t="s">
        <v>1606</v>
      </c>
      <c r="B1702" s="376" t="s">
        <v>1609</v>
      </c>
      <c r="C1702" s="376" t="s">
        <v>1054</v>
      </c>
      <c r="D1702" s="376">
        <v>2022</v>
      </c>
      <c r="E1702" s="376">
        <v>2026</v>
      </c>
      <c r="F1702" s="376">
        <v>1</v>
      </c>
      <c r="G1702" s="376">
        <v>6115.0506935945432</v>
      </c>
      <c r="H1702" s="376">
        <v>0</v>
      </c>
      <c r="I1702" s="376">
        <v>1</v>
      </c>
    </row>
    <row r="1703" spans="1:9" x14ac:dyDescent="0.35">
      <c r="A1703" s="376" t="s">
        <v>1606</v>
      </c>
      <c r="B1703" s="376" t="s">
        <v>1609</v>
      </c>
      <c r="C1703" s="376" t="s">
        <v>1046</v>
      </c>
      <c r="D1703" s="376">
        <v>2022</v>
      </c>
      <c r="E1703" s="376">
        <v>2027</v>
      </c>
      <c r="F1703" s="376">
        <v>1</v>
      </c>
      <c r="G1703" s="376">
        <v>6115.0506935945432</v>
      </c>
      <c r="H1703" s="376">
        <v>0</v>
      </c>
      <c r="I1703" s="376">
        <v>1</v>
      </c>
    </row>
    <row r="1704" spans="1:9" x14ac:dyDescent="0.35">
      <c r="A1704" s="376" t="s">
        <v>1606</v>
      </c>
      <c r="B1704" s="376" t="s">
        <v>1609</v>
      </c>
      <c r="C1704" s="376" t="s">
        <v>644</v>
      </c>
      <c r="D1704" s="376">
        <v>2022</v>
      </c>
      <c r="E1704" s="376">
        <v>2027</v>
      </c>
      <c r="F1704" s="376">
        <v>1</v>
      </c>
      <c r="G1704" s="376">
        <v>6115.0506935945432</v>
      </c>
      <c r="H1704" s="376">
        <v>0</v>
      </c>
      <c r="I1704" s="376">
        <v>1</v>
      </c>
    </row>
    <row r="1705" spans="1:9" x14ac:dyDescent="0.35">
      <c r="A1705" s="376" t="s">
        <v>1606</v>
      </c>
      <c r="B1705" s="376" t="s">
        <v>1609</v>
      </c>
      <c r="C1705" s="376" t="s">
        <v>628</v>
      </c>
      <c r="D1705" s="376">
        <v>2022</v>
      </c>
      <c r="E1705" s="376">
        <v>2027</v>
      </c>
      <c r="F1705" s="376">
        <v>1</v>
      </c>
      <c r="G1705" s="376">
        <v>6115.0506935945432</v>
      </c>
      <c r="H1705" s="376">
        <v>0</v>
      </c>
      <c r="I1705" s="376">
        <v>1</v>
      </c>
    </row>
    <row r="1706" spans="1:9" x14ac:dyDescent="0.35">
      <c r="A1706" s="376" t="s">
        <v>1606</v>
      </c>
      <c r="B1706" s="376" t="s">
        <v>1609</v>
      </c>
      <c r="C1706" s="376" t="s">
        <v>1051</v>
      </c>
      <c r="D1706" s="376">
        <v>2022</v>
      </c>
      <c r="E1706" s="376">
        <v>2027</v>
      </c>
      <c r="F1706" s="376">
        <v>1</v>
      </c>
      <c r="G1706" s="376">
        <v>6115.0506935945432</v>
      </c>
      <c r="H1706" s="376">
        <v>0</v>
      </c>
      <c r="I1706" s="376">
        <v>1</v>
      </c>
    </row>
    <row r="1707" spans="1:9" x14ac:dyDescent="0.35">
      <c r="A1707" s="376" t="s">
        <v>1606</v>
      </c>
      <c r="B1707" s="376" t="s">
        <v>1609</v>
      </c>
      <c r="C1707" s="376" t="s">
        <v>1054</v>
      </c>
      <c r="D1707" s="376">
        <v>2022</v>
      </c>
      <c r="E1707" s="376">
        <v>2027</v>
      </c>
      <c r="F1707" s="376">
        <v>1</v>
      </c>
      <c r="G1707" s="376">
        <v>6115.0506935945432</v>
      </c>
      <c r="H1707" s="376">
        <v>0</v>
      </c>
      <c r="I1707" s="376">
        <v>1</v>
      </c>
    </row>
    <row r="1708" spans="1:9" x14ac:dyDescent="0.35">
      <c r="A1708" s="376" t="s">
        <v>1606</v>
      </c>
      <c r="B1708" s="376" t="s">
        <v>1609</v>
      </c>
      <c r="C1708" s="376" t="s">
        <v>1046</v>
      </c>
      <c r="D1708" s="376">
        <v>2022</v>
      </c>
      <c r="E1708" s="376">
        <v>2028</v>
      </c>
      <c r="F1708" s="376">
        <v>1</v>
      </c>
      <c r="G1708" s="376">
        <v>6115.0506935945432</v>
      </c>
      <c r="H1708" s="376">
        <v>0</v>
      </c>
      <c r="I1708" s="376">
        <v>1</v>
      </c>
    </row>
    <row r="1709" spans="1:9" x14ac:dyDescent="0.35">
      <c r="A1709" s="376" t="s">
        <v>1606</v>
      </c>
      <c r="B1709" s="376" t="s">
        <v>1609</v>
      </c>
      <c r="C1709" s="376" t="s">
        <v>644</v>
      </c>
      <c r="D1709" s="376">
        <v>2022</v>
      </c>
      <c r="E1709" s="376">
        <v>2028</v>
      </c>
      <c r="F1709" s="376">
        <v>1</v>
      </c>
      <c r="G1709" s="376">
        <v>6115.0506935945432</v>
      </c>
      <c r="H1709" s="376">
        <v>0</v>
      </c>
      <c r="I1709" s="376">
        <v>1</v>
      </c>
    </row>
    <row r="1710" spans="1:9" x14ac:dyDescent="0.35">
      <c r="A1710" s="376" t="s">
        <v>1606</v>
      </c>
      <c r="B1710" s="376" t="s">
        <v>1609</v>
      </c>
      <c r="C1710" s="376" t="s">
        <v>628</v>
      </c>
      <c r="D1710" s="376">
        <v>2022</v>
      </c>
      <c r="E1710" s="376">
        <v>2028</v>
      </c>
      <c r="F1710" s="376">
        <v>1</v>
      </c>
      <c r="G1710" s="376">
        <v>6115.0506935945432</v>
      </c>
      <c r="H1710" s="376">
        <v>0</v>
      </c>
      <c r="I1710" s="376">
        <v>1</v>
      </c>
    </row>
    <row r="1711" spans="1:9" x14ac:dyDescent="0.35">
      <c r="A1711" s="376" t="s">
        <v>1606</v>
      </c>
      <c r="B1711" s="376" t="s">
        <v>1609</v>
      </c>
      <c r="C1711" s="376" t="s">
        <v>1051</v>
      </c>
      <c r="D1711" s="376">
        <v>2022</v>
      </c>
      <c r="E1711" s="376">
        <v>2028</v>
      </c>
      <c r="F1711" s="376">
        <v>1</v>
      </c>
      <c r="G1711" s="376">
        <v>6115.0506935945432</v>
      </c>
      <c r="H1711" s="376">
        <v>0</v>
      </c>
      <c r="I1711" s="376">
        <v>1</v>
      </c>
    </row>
    <row r="1712" spans="1:9" x14ac:dyDescent="0.35">
      <c r="A1712" s="376" t="s">
        <v>1606</v>
      </c>
      <c r="B1712" s="376" t="s">
        <v>1609</v>
      </c>
      <c r="C1712" s="376" t="s">
        <v>1054</v>
      </c>
      <c r="D1712" s="376">
        <v>2022</v>
      </c>
      <c r="E1712" s="376">
        <v>2028</v>
      </c>
      <c r="F1712" s="376">
        <v>1</v>
      </c>
      <c r="G1712" s="376">
        <v>6115.0506935945432</v>
      </c>
      <c r="H1712" s="376">
        <v>0</v>
      </c>
      <c r="I1712" s="376">
        <v>1</v>
      </c>
    </row>
    <row r="1713" spans="1:9" x14ac:dyDescent="0.35">
      <c r="A1713" s="376" t="s">
        <v>1606</v>
      </c>
      <c r="B1713" s="376" t="s">
        <v>1609</v>
      </c>
      <c r="C1713" s="376" t="s">
        <v>1046</v>
      </c>
      <c r="D1713" s="376">
        <v>2022</v>
      </c>
      <c r="E1713" s="376">
        <v>2029</v>
      </c>
      <c r="F1713" s="376">
        <v>1</v>
      </c>
      <c r="G1713" s="376">
        <v>6115.0506935945432</v>
      </c>
      <c r="H1713" s="376">
        <v>0</v>
      </c>
      <c r="I1713" s="376">
        <v>1</v>
      </c>
    </row>
    <row r="1714" spans="1:9" x14ac:dyDescent="0.35">
      <c r="A1714" s="376" t="s">
        <v>1606</v>
      </c>
      <c r="B1714" s="376" t="s">
        <v>1609</v>
      </c>
      <c r="C1714" s="376" t="s">
        <v>644</v>
      </c>
      <c r="D1714" s="376">
        <v>2022</v>
      </c>
      <c r="E1714" s="376">
        <v>2029</v>
      </c>
      <c r="F1714" s="376">
        <v>1</v>
      </c>
      <c r="G1714" s="376">
        <v>6115.0506935945432</v>
      </c>
      <c r="H1714" s="376">
        <v>0</v>
      </c>
      <c r="I1714" s="376">
        <v>1</v>
      </c>
    </row>
    <row r="1715" spans="1:9" x14ac:dyDescent="0.35">
      <c r="A1715" s="376" t="s">
        <v>1606</v>
      </c>
      <c r="B1715" s="376" t="s">
        <v>1609</v>
      </c>
      <c r="C1715" s="376" t="s">
        <v>628</v>
      </c>
      <c r="D1715" s="376">
        <v>2022</v>
      </c>
      <c r="E1715" s="376">
        <v>2029</v>
      </c>
      <c r="F1715" s="376">
        <v>1</v>
      </c>
      <c r="G1715" s="376">
        <v>6115.0506935945432</v>
      </c>
      <c r="H1715" s="376">
        <v>0</v>
      </c>
      <c r="I1715" s="376">
        <v>1</v>
      </c>
    </row>
    <row r="1716" spans="1:9" x14ac:dyDescent="0.35">
      <c r="A1716" s="376" t="s">
        <v>1606</v>
      </c>
      <c r="B1716" s="376" t="s">
        <v>1609</v>
      </c>
      <c r="C1716" s="376" t="s">
        <v>1051</v>
      </c>
      <c r="D1716" s="376">
        <v>2022</v>
      </c>
      <c r="E1716" s="376">
        <v>2029</v>
      </c>
      <c r="F1716" s="376">
        <v>1</v>
      </c>
      <c r="G1716" s="376">
        <v>6115.0506935945432</v>
      </c>
      <c r="H1716" s="376">
        <v>0</v>
      </c>
      <c r="I1716" s="376">
        <v>1</v>
      </c>
    </row>
    <row r="1717" spans="1:9" x14ac:dyDescent="0.35">
      <c r="A1717" s="376" t="s">
        <v>1606</v>
      </c>
      <c r="B1717" s="376" t="s">
        <v>1609</v>
      </c>
      <c r="C1717" s="376" t="s">
        <v>1054</v>
      </c>
      <c r="D1717" s="376">
        <v>2022</v>
      </c>
      <c r="E1717" s="376">
        <v>2029</v>
      </c>
      <c r="F1717" s="376">
        <v>1</v>
      </c>
      <c r="G1717" s="376">
        <v>6115.0506935945432</v>
      </c>
      <c r="H1717" s="376">
        <v>0</v>
      </c>
      <c r="I1717" s="376">
        <v>1</v>
      </c>
    </row>
    <row r="1718" spans="1:9" x14ac:dyDescent="0.35">
      <c r="A1718" s="376" t="s">
        <v>1606</v>
      </c>
      <c r="B1718" s="376" t="s">
        <v>1609</v>
      </c>
      <c r="C1718" s="376" t="s">
        <v>1046</v>
      </c>
      <c r="D1718" s="376">
        <v>2022</v>
      </c>
      <c r="E1718" s="376">
        <v>2030</v>
      </c>
      <c r="F1718" s="376">
        <v>1</v>
      </c>
      <c r="G1718" s="376">
        <v>6115.0506935945432</v>
      </c>
      <c r="H1718" s="376">
        <v>0</v>
      </c>
      <c r="I1718" s="376">
        <v>1</v>
      </c>
    </row>
    <row r="1719" spans="1:9" x14ac:dyDescent="0.35">
      <c r="A1719" s="376" t="s">
        <v>1606</v>
      </c>
      <c r="B1719" s="376" t="s">
        <v>1609</v>
      </c>
      <c r="C1719" s="376" t="s">
        <v>644</v>
      </c>
      <c r="D1719" s="376">
        <v>2022</v>
      </c>
      <c r="E1719" s="376">
        <v>2030</v>
      </c>
      <c r="F1719" s="376">
        <v>1</v>
      </c>
      <c r="G1719" s="376">
        <v>6115.0506935945432</v>
      </c>
      <c r="H1719" s="376">
        <v>0</v>
      </c>
      <c r="I1719" s="376">
        <v>1</v>
      </c>
    </row>
    <row r="1720" spans="1:9" x14ac:dyDescent="0.35">
      <c r="A1720" s="376" t="s">
        <v>1606</v>
      </c>
      <c r="B1720" s="376" t="s">
        <v>1609</v>
      </c>
      <c r="C1720" s="376" t="s">
        <v>628</v>
      </c>
      <c r="D1720" s="376">
        <v>2022</v>
      </c>
      <c r="E1720" s="376">
        <v>2030</v>
      </c>
      <c r="F1720" s="376">
        <v>1</v>
      </c>
      <c r="G1720" s="376">
        <v>6115.0506935945432</v>
      </c>
      <c r="H1720" s="376">
        <v>0</v>
      </c>
      <c r="I1720" s="376">
        <v>1</v>
      </c>
    </row>
    <row r="1721" spans="1:9" x14ac:dyDescent="0.35">
      <c r="A1721" s="376" t="s">
        <v>1606</v>
      </c>
      <c r="B1721" s="376" t="s">
        <v>1609</v>
      </c>
      <c r="C1721" s="376" t="s">
        <v>1051</v>
      </c>
      <c r="D1721" s="376">
        <v>2022</v>
      </c>
      <c r="E1721" s="376">
        <v>2030</v>
      </c>
      <c r="F1721" s="376">
        <v>1</v>
      </c>
      <c r="G1721" s="376">
        <v>6115.0506935945432</v>
      </c>
      <c r="H1721" s="376">
        <v>0</v>
      </c>
      <c r="I1721" s="376">
        <v>1</v>
      </c>
    </row>
    <row r="1722" spans="1:9" x14ac:dyDescent="0.35">
      <c r="A1722" s="376" t="s">
        <v>1606</v>
      </c>
      <c r="B1722" s="376" t="s">
        <v>1609</v>
      </c>
      <c r="C1722" s="376" t="s">
        <v>1054</v>
      </c>
      <c r="D1722" s="376">
        <v>2022</v>
      </c>
      <c r="E1722" s="376">
        <v>2030</v>
      </c>
      <c r="F1722" s="376">
        <v>1</v>
      </c>
      <c r="G1722" s="376">
        <v>6115.0506935945432</v>
      </c>
      <c r="H1722" s="376">
        <v>0</v>
      </c>
      <c r="I1722" s="376">
        <v>1</v>
      </c>
    </row>
    <row r="1723" spans="1:9" x14ac:dyDescent="0.35">
      <c r="A1723" s="376" t="s">
        <v>1606</v>
      </c>
      <c r="B1723" s="376" t="s">
        <v>1609</v>
      </c>
      <c r="C1723" s="376" t="s">
        <v>1046</v>
      </c>
      <c r="D1723" s="376">
        <v>2022</v>
      </c>
      <c r="E1723" s="376">
        <v>2031</v>
      </c>
      <c r="F1723" s="376">
        <v>1</v>
      </c>
      <c r="G1723" s="376">
        <v>6115.0506935945432</v>
      </c>
      <c r="H1723" s="376">
        <v>0</v>
      </c>
      <c r="I1723" s="376">
        <v>1</v>
      </c>
    </row>
    <row r="1724" spans="1:9" x14ac:dyDescent="0.35">
      <c r="A1724" s="376" t="s">
        <v>1606</v>
      </c>
      <c r="B1724" s="376" t="s">
        <v>1609</v>
      </c>
      <c r="C1724" s="376" t="s">
        <v>644</v>
      </c>
      <c r="D1724" s="376">
        <v>2022</v>
      </c>
      <c r="E1724" s="376">
        <v>2031</v>
      </c>
      <c r="F1724" s="376">
        <v>1</v>
      </c>
      <c r="G1724" s="376">
        <v>6115.0506935945432</v>
      </c>
      <c r="H1724" s="376">
        <v>0</v>
      </c>
      <c r="I1724" s="376">
        <v>1</v>
      </c>
    </row>
    <row r="1725" spans="1:9" x14ac:dyDescent="0.35">
      <c r="A1725" s="376" t="s">
        <v>1606</v>
      </c>
      <c r="B1725" s="376" t="s">
        <v>1609</v>
      </c>
      <c r="C1725" s="376" t="s">
        <v>628</v>
      </c>
      <c r="D1725" s="376">
        <v>2022</v>
      </c>
      <c r="E1725" s="376">
        <v>2031</v>
      </c>
      <c r="F1725" s="376">
        <v>1</v>
      </c>
      <c r="G1725" s="376">
        <v>6115.0506935945432</v>
      </c>
      <c r="H1725" s="376">
        <v>0</v>
      </c>
      <c r="I1725" s="376">
        <v>1</v>
      </c>
    </row>
    <row r="1726" spans="1:9" x14ac:dyDescent="0.35">
      <c r="A1726" s="376" t="s">
        <v>1606</v>
      </c>
      <c r="B1726" s="376" t="s">
        <v>1609</v>
      </c>
      <c r="C1726" s="376" t="s">
        <v>1051</v>
      </c>
      <c r="D1726" s="376">
        <v>2022</v>
      </c>
      <c r="E1726" s="376">
        <v>2031</v>
      </c>
      <c r="F1726" s="376">
        <v>1</v>
      </c>
      <c r="G1726" s="376">
        <v>6115.0506935945432</v>
      </c>
      <c r="H1726" s="376">
        <v>0</v>
      </c>
      <c r="I1726" s="376">
        <v>1</v>
      </c>
    </row>
    <row r="1727" spans="1:9" x14ac:dyDescent="0.35">
      <c r="A1727" s="376" t="s">
        <v>1606</v>
      </c>
      <c r="B1727" s="376" t="s">
        <v>1609</v>
      </c>
      <c r="C1727" s="376" t="s">
        <v>1054</v>
      </c>
      <c r="D1727" s="376">
        <v>2022</v>
      </c>
      <c r="E1727" s="376">
        <v>2031</v>
      </c>
      <c r="F1727" s="376">
        <v>1</v>
      </c>
      <c r="G1727" s="376">
        <v>6115.0506935945432</v>
      </c>
      <c r="H1727" s="376">
        <v>0</v>
      </c>
      <c r="I1727" s="376">
        <v>1</v>
      </c>
    </row>
    <row r="1728" spans="1:9" x14ac:dyDescent="0.35">
      <c r="A1728" s="376" t="s">
        <v>1612</v>
      </c>
      <c r="B1728" s="376" t="s">
        <v>1609</v>
      </c>
      <c r="C1728" s="376" t="s">
        <v>1046</v>
      </c>
      <c r="D1728" s="376">
        <v>2023</v>
      </c>
      <c r="E1728" s="376">
        <v>2023</v>
      </c>
      <c r="F1728" s="376">
        <v>0.37384575124303709</v>
      </c>
      <c r="G1728" s="376">
        <v>9928.6887826901675</v>
      </c>
      <c r="H1728" s="376">
        <v>0.26269358679872662</v>
      </c>
      <c r="I1728" s="376">
        <v>0.85</v>
      </c>
    </row>
    <row r="1729" spans="1:9" x14ac:dyDescent="0.35">
      <c r="A1729" s="376" t="s">
        <v>1612</v>
      </c>
      <c r="B1729" s="376" t="s">
        <v>1609</v>
      </c>
      <c r="C1729" s="376" t="s">
        <v>644</v>
      </c>
      <c r="D1729" s="376">
        <v>2023</v>
      </c>
      <c r="E1729" s="376">
        <v>2023</v>
      </c>
      <c r="F1729" s="376">
        <v>0.37384575124303709</v>
      </c>
      <c r="G1729" s="376">
        <v>9928.6887826901675</v>
      </c>
      <c r="H1729" s="376">
        <v>0.26269358679872662</v>
      </c>
      <c r="I1729" s="376">
        <v>0.85</v>
      </c>
    </row>
    <row r="1730" spans="1:9" x14ac:dyDescent="0.35">
      <c r="A1730" s="376" t="s">
        <v>1612</v>
      </c>
      <c r="B1730" s="376" t="s">
        <v>1609</v>
      </c>
      <c r="C1730" s="376" t="s">
        <v>628</v>
      </c>
      <c r="D1730" s="376">
        <v>2023</v>
      </c>
      <c r="E1730" s="376">
        <v>2023</v>
      </c>
      <c r="F1730" s="376">
        <v>0.37384575124303709</v>
      </c>
      <c r="G1730" s="376">
        <v>9928.6887826901675</v>
      </c>
      <c r="H1730" s="376">
        <v>0.26269358679872662</v>
      </c>
      <c r="I1730" s="376">
        <v>0.85</v>
      </c>
    </row>
    <row r="1731" spans="1:9" x14ac:dyDescent="0.35">
      <c r="A1731" s="376" t="s">
        <v>1612</v>
      </c>
      <c r="B1731" s="376" t="s">
        <v>1609</v>
      </c>
      <c r="C1731" s="376" t="s">
        <v>1051</v>
      </c>
      <c r="D1731" s="376">
        <v>2023</v>
      </c>
      <c r="E1731" s="376">
        <v>2023</v>
      </c>
      <c r="F1731" s="376">
        <v>0.37384575124303709</v>
      </c>
      <c r="G1731" s="376">
        <v>9928.6887826901675</v>
      </c>
      <c r="H1731" s="376">
        <v>0.26269358679872662</v>
      </c>
      <c r="I1731" s="376">
        <v>0.85</v>
      </c>
    </row>
    <row r="1732" spans="1:9" x14ac:dyDescent="0.35">
      <c r="A1732" s="376" t="s">
        <v>1612</v>
      </c>
      <c r="B1732" s="376" t="s">
        <v>1609</v>
      </c>
      <c r="C1732" s="376" t="s">
        <v>1054</v>
      </c>
      <c r="D1732" s="376">
        <v>2023</v>
      </c>
      <c r="E1732" s="376">
        <v>2023</v>
      </c>
      <c r="F1732" s="376">
        <v>0.37384575124303709</v>
      </c>
      <c r="G1732" s="376">
        <v>9928.6887826901675</v>
      </c>
      <c r="H1732" s="376">
        <v>0.26269358679872662</v>
      </c>
      <c r="I1732" s="376">
        <v>0.85</v>
      </c>
    </row>
    <row r="1733" spans="1:9" x14ac:dyDescent="0.35">
      <c r="A1733" s="376" t="s">
        <v>1612</v>
      </c>
      <c r="B1733" s="376" t="s">
        <v>1609</v>
      </c>
      <c r="C1733" s="376" t="s">
        <v>1046</v>
      </c>
      <c r="D1733" s="376">
        <v>2023</v>
      </c>
      <c r="E1733" s="376">
        <v>2024</v>
      </c>
      <c r="F1733" s="376">
        <v>0.37384575124303709</v>
      </c>
      <c r="G1733" s="376">
        <v>9928.6887826901675</v>
      </c>
      <c r="H1733" s="376">
        <v>0.26269358679872662</v>
      </c>
      <c r="I1733" s="376">
        <v>0.85</v>
      </c>
    </row>
    <row r="1734" spans="1:9" x14ac:dyDescent="0.35">
      <c r="A1734" s="376" t="s">
        <v>1612</v>
      </c>
      <c r="B1734" s="376" t="s">
        <v>1609</v>
      </c>
      <c r="C1734" s="376" t="s">
        <v>644</v>
      </c>
      <c r="D1734" s="376">
        <v>2023</v>
      </c>
      <c r="E1734" s="376">
        <v>2024</v>
      </c>
      <c r="F1734" s="376">
        <v>0.37384575124303709</v>
      </c>
      <c r="G1734" s="376">
        <v>9928.6887826901675</v>
      </c>
      <c r="H1734" s="376">
        <v>0.26269358679872662</v>
      </c>
      <c r="I1734" s="376">
        <v>0.85</v>
      </c>
    </row>
    <row r="1735" spans="1:9" x14ac:dyDescent="0.35">
      <c r="A1735" s="376" t="s">
        <v>1612</v>
      </c>
      <c r="B1735" s="376" t="s">
        <v>1609</v>
      </c>
      <c r="C1735" s="376" t="s">
        <v>628</v>
      </c>
      <c r="D1735" s="376">
        <v>2023</v>
      </c>
      <c r="E1735" s="376">
        <v>2024</v>
      </c>
      <c r="F1735" s="376">
        <v>0.37384575124303709</v>
      </c>
      <c r="G1735" s="376">
        <v>9928.6887826901675</v>
      </c>
      <c r="H1735" s="376">
        <v>0.26269358679872662</v>
      </c>
      <c r="I1735" s="376">
        <v>0.85</v>
      </c>
    </row>
    <row r="1736" spans="1:9" x14ac:dyDescent="0.35">
      <c r="A1736" s="376" t="s">
        <v>1612</v>
      </c>
      <c r="B1736" s="376" t="s">
        <v>1609</v>
      </c>
      <c r="C1736" s="376" t="s">
        <v>1051</v>
      </c>
      <c r="D1736" s="376">
        <v>2023</v>
      </c>
      <c r="E1736" s="376">
        <v>2024</v>
      </c>
      <c r="F1736" s="376">
        <v>0.37384575124303709</v>
      </c>
      <c r="G1736" s="376">
        <v>9928.6887826901675</v>
      </c>
      <c r="H1736" s="376">
        <v>0.26269358679872662</v>
      </c>
      <c r="I1736" s="376">
        <v>0.85</v>
      </c>
    </row>
    <row r="1737" spans="1:9" x14ac:dyDescent="0.35">
      <c r="A1737" s="376" t="s">
        <v>1612</v>
      </c>
      <c r="B1737" s="376" t="s">
        <v>1609</v>
      </c>
      <c r="C1737" s="376" t="s">
        <v>1054</v>
      </c>
      <c r="D1737" s="376">
        <v>2023</v>
      </c>
      <c r="E1737" s="376">
        <v>2024</v>
      </c>
      <c r="F1737" s="376">
        <v>0.37384575124303709</v>
      </c>
      <c r="G1737" s="376">
        <v>9928.6887826901675</v>
      </c>
      <c r="H1737" s="376">
        <v>0.26269358679872662</v>
      </c>
      <c r="I1737" s="376">
        <v>0.85</v>
      </c>
    </row>
    <row r="1738" spans="1:9" x14ac:dyDescent="0.35">
      <c r="A1738" s="376" t="s">
        <v>1612</v>
      </c>
      <c r="B1738" s="376" t="s">
        <v>1609</v>
      </c>
      <c r="C1738" s="376" t="s">
        <v>1046</v>
      </c>
      <c r="D1738" s="376">
        <v>2023</v>
      </c>
      <c r="E1738" s="376">
        <v>2025</v>
      </c>
      <c r="F1738" s="376">
        <v>0.37384575124303709</v>
      </c>
      <c r="G1738" s="376">
        <v>9928.6887826901675</v>
      </c>
      <c r="H1738" s="376">
        <v>0.26269358679872662</v>
      </c>
      <c r="I1738" s="376">
        <v>0.85</v>
      </c>
    </row>
    <row r="1739" spans="1:9" x14ac:dyDescent="0.35">
      <c r="A1739" s="376" t="s">
        <v>1612</v>
      </c>
      <c r="B1739" s="376" t="s">
        <v>1609</v>
      </c>
      <c r="C1739" s="376" t="s">
        <v>644</v>
      </c>
      <c r="D1739" s="376">
        <v>2023</v>
      </c>
      <c r="E1739" s="376">
        <v>2025</v>
      </c>
      <c r="F1739" s="376">
        <v>0.37384575124303709</v>
      </c>
      <c r="G1739" s="376">
        <v>9928.6887826901675</v>
      </c>
      <c r="H1739" s="376">
        <v>0.26269358679872662</v>
      </c>
      <c r="I1739" s="376">
        <v>0.85</v>
      </c>
    </row>
    <row r="1740" spans="1:9" x14ac:dyDescent="0.35">
      <c r="A1740" s="376" t="s">
        <v>1612</v>
      </c>
      <c r="B1740" s="376" t="s">
        <v>1609</v>
      </c>
      <c r="C1740" s="376" t="s">
        <v>628</v>
      </c>
      <c r="D1740" s="376">
        <v>2023</v>
      </c>
      <c r="E1740" s="376">
        <v>2025</v>
      </c>
      <c r="F1740" s="376">
        <v>0.37384575124303709</v>
      </c>
      <c r="G1740" s="376">
        <v>9928.6887826901675</v>
      </c>
      <c r="H1740" s="376">
        <v>0.26269358679872662</v>
      </c>
      <c r="I1740" s="376">
        <v>0.85</v>
      </c>
    </row>
    <row r="1741" spans="1:9" x14ac:dyDescent="0.35">
      <c r="A1741" s="376" t="s">
        <v>1612</v>
      </c>
      <c r="B1741" s="376" t="s">
        <v>1609</v>
      </c>
      <c r="C1741" s="376" t="s">
        <v>1051</v>
      </c>
      <c r="D1741" s="376">
        <v>2023</v>
      </c>
      <c r="E1741" s="376">
        <v>2025</v>
      </c>
      <c r="F1741" s="376">
        <v>0.37384575124303709</v>
      </c>
      <c r="G1741" s="376">
        <v>9928.6887826901675</v>
      </c>
      <c r="H1741" s="376">
        <v>0.26269358679872662</v>
      </c>
      <c r="I1741" s="376">
        <v>0.85</v>
      </c>
    </row>
    <row r="1742" spans="1:9" x14ac:dyDescent="0.35">
      <c r="A1742" s="376" t="s">
        <v>1612</v>
      </c>
      <c r="B1742" s="376" t="s">
        <v>1609</v>
      </c>
      <c r="C1742" s="376" t="s">
        <v>1054</v>
      </c>
      <c r="D1742" s="376">
        <v>2023</v>
      </c>
      <c r="E1742" s="376">
        <v>2025</v>
      </c>
      <c r="F1742" s="376">
        <v>0.37384575124303709</v>
      </c>
      <c r="G1742" s="376">
        <v>9928.6887826901675</v>
      </c>
      <c r="H1742" s="376">
        <v>0.26269358679872662</v>
      </c>
      <c r="I1742" s="376">
        <v>0.85</v>
      </c>
    </row>
    <row r="1743" spans="1:9" x14ac:dyDescent="0.35">
      <c r="A1743" s="376" t="s">
        <v>1612</v>
      </c>
      <c r="B1743" s="376" t="s">
        <v>1609</v>
      </c>
      <c r="C1743" s="376" t="s">
        <v>1046</v>
      </c>
      <c r="D1743" s="376">
        <v>2023</v>
      </c>
      <c r="E1743" s="376">
        <v>2026</v>
      </c>
      <c r="F1743" s="376">
        <v>0.37384575124303709</v>
      </c>
      <c r="G1743" s="376">
        <v>9928.6887826901675</v>
      </c>
      <c r="H1743" s="376">
        <v>0.26269358679872662</v>
      </c>
      <c r="I1743" s="376">
        <v>0.85</v>
      </c>
    </row>
    <row r="1744" spans="1:9" x14ac:dyDescent="0.35">
      <c r="A1744" s="376" t="s">
        <v>1612</v>
      </c>
      <c r="B1744" s="376" t="s">
        <v>1609</v>
      </c>
      <c r="C1744" s="376" t="s">
        <v>644</v>
      </c>
      <c r="D1744" s="376">
        <v>2023</v>
      </c>
      <c r="E1744" s="376">
        <v>2026</v>
      </c>
      <c r="F1744" s="376">
        <v>0.37384575124303709</v>
      </c>
      <c r="G1744" s="376">
        <v>9928.6887826901675</v>
      </c>
      <c r="H1744" s="376">
        <v>0.26269358679872662</v>
      </c>
      <c r="I1744" s="376">
        <v>0.85</v>
      </c>
    </row>
    <row r="1745" spans="1:9" x14ac:dyDescent="0.35">
      <c r="A1745" s="376" t="s">
        <v>1612</v>
      </c>
      <c r="B1745" s="376" t="s">
        <v>1609</v>
      </c>
      <c r="C1745" s="376" t="s">
        <v>628</v>
      </c>
      <c r="D1745" s="376">
        <v>2023</v>
      </c>
      <c r="E1745" s="376">
        <v>2026</v>
      </c>
      <c r="F1745" s="376">
        <v>0.37384575124303709</v>
      </c>
      <c r="G1745" s="376">
        <v>9928.6887826901675</v>
      </c>
      <c r="H1745" s="376">
        <v>0.26269358679872662</v>
      </c>
      <c r="I1745" s="376">
        <v>0.85</v>
      </c>
    </row>
    <row r="1746" spans="1:9" x14ac:dyDescent="0.35">
      <c r="A1746" s="376" t="s">
        <v>1612</v>
      </c>
      <c r="B1746" s="376" t="s">
        <v>1609</v>
      </c>
      <c r="C1746" s="376" t="s">
        <v>1051</v>
      </c>
      <c r="D1746" s="376">
        <v>2023</v>
      </c>
      <c r="E1746" s="376">
        <v>2026</v>
      </c>
      <c r="F1746" s="376">
        <v>0.37384575124303709</v>
      </c>
      <c r="G1746" s="376">
        <v>9928.6887826901675</v>
      </c>
      <c r="H1746" s="376">
        <v>0.26269358679872662</v>
      </c>
      <c r="I1746" s="376">
        <v>0.85</v>
      </c>
    </row>
    <row r="1747" spans="1:9" x14ac:dyDescent="0.35">
      <c r="A1747" s="376" t="s">
        <v>1612</v>
      </c>
      <c r="B1747" s="376" t="s">
        <v>1609</v>
      </c>
      <c r="C1747" s="376" t="s">
        <v>1054</v>
      </c>
      <c r="D1747" s="376">
        <v>2023</v>
      </c>
      <c r="E1747" s="376">
        <v>2026</v>
      </c>
      <c r="F1747" s="376">
        <v>0.37384575124303709</v>
      </c>
      <c r="G1747" s="376">
        <v>9928.6887826901675</v>
      </c>
      <c r="H1747" s="376">
        <v>0.26269358679872662</v>
      </c>
      <c r="I1747" s="376">
        <v>0.85</v>
      </c>
    </row>
    <row r="1748" spans="1:9" x14ac:dyDescent="0.35">
      <c r="A1748" s="376" t="s">
        <v>1612</v>
      </c>
      <c r="B1748" s="376" t="s">
        <v>1609</v>
      </c>
      <c r="C1748" s="376" t="s">
        <v>1046</v>
      </c>
      <c r="D1748" s="376">
        <v>2023</v>
      </c>
      <c r="E1748" s="376">
        <v>2027</v>
      </c>
      <c r="F1748" s="376">
        <v>0.37384575124303709</v>
      </c>
      <c r="G1748" s="376">
        <v>9928.6887826901675</v>
      </c>
      <c r="H1748" s="376">
        <v>0.26269358679872662</v>
      </c>
      <c r="I1748" s="376">
        <v>0.85</v>
      </c>
    </row>
    <row r="1749" spans="1:9" x14ac:dyDescent="0.35">
      <c r="A1749" s="376" t="s">
        <v>1612</v>
      </c>
      <c r="B1749" s="376" t="s">
        <v>1609</v>
      </c>
      <c r="C1749" s="376" t="s">
        <v>644</v>
      </c>
      <c r="D1749" s="376">
        <v>2023</v>
      </c>
      <c r="E1749" s="376">
        <v>2027</v>
      </c>
      <c r="F1749" s="376">
        <v>0.37384575124303709</v>
      </c>
      <c r="G1749" s="376">
        <v>9928.6887826901675</v>
      </c>
      <c r="H1749" s="376">
        <v>0.26269358679872662</v>
      </c>
      <c r="I1749" s="376">
        <v>0.85</v>
      </c>
    </row>
    <row r="1750" spans="1:9" x14ac:dyDescent="0.35">
      <c r="A1750" s="376" t="s">
        <v>1612</v>
      </c>
      <c r="B1750" s="376" t="s">
        <v>1609</v>
      </c>
      <c r="C1750" s="376" t="s">
        <v>628</v>
      </c>
      <c r="D1750" s="376">
        <v>2023</v>
      </c>
      <c r="E1750" s="376">
        <v>2027</v>
      </c>
      <c r="F1750" s="376">
        <v>0.37384575124303709</v>
      </c>
      <c r="G1750" s="376">
        <v>9928.6887826901675</v>
      </c>
      <c r="H1750" s="376">
        <v>0.26269358679872662</v>
      </c>
      <c r="I1750" s="376">
        <v>0.85</v>
      </c>
    </row>
    <row r="1751" spans="1:9" x14ac:dyDescent="0.35">
      <c r="A1751" s="376" t="s">
        <v>1612</v>
      </c>
      <c r="B1751" s="376" t="s">
        <v>1609</v>
      </c>
      <c r="C1751" s="376" t="s">
        <v>1051</v>
      </c>
      <c r="D1751" s="376">
        <v>2023</v>
      </c>
      <c r="E1751" s="376">
        <v>2027</v>
      </c>
      <c r="F1751" s="376">
        <v>0.37384575124303709</v>
      </c>
      <c r="G1751" s="376">
        <v>9928.6887826901675</v>
      </c>
      <c r="H1751" s="376">
        <v>0.26269358679872662</v>
      </c>
      <c r="I1751" s="376">
        <v>0.85</v>
      </c>
    </row>
    <row r="1752" spans="1:9" x14ac:dyDescent="0.35">
      <c r="A1752" s="376" t="s">
        <v>1612</v>
      </c>
      <c r="B1752" s="376" t="s">
        <v>1609</v>
      </c>
      <c r="C1752" s="376" t="s">
        <v>1054</v>
      </c>
      <c r="D1752" s="376">
        <v>2023</v>
      </c>
      <c r="E1752" s="376">
        <v>2027</v>
      </c>
      <c r="F1752" s="376">
        <v>0.37384575124303709</v>
      </c>
      <c r="G1752" s="376">
        <v>9928.6887826901675</v>
      </c>
      <c r="H1752" s="376">
        <v>0.26269358679872662</v>
      </c>
      <c r="I1752" s="376">
        <v>0.85</v>
      </c>
    </row>
    <row r="1753" spans="1:9" x14ac:dyDescent="0.35">
      <c r="A1753" s="376" t="s">
        <v>1612</v>
      </c>
      <c r="B1753" s="376" t="s">
        <v>1609</v>
      </c>
      <c r="C1753" s="376" t="s">
        <v>1046</v>
      </c>
      <c r="D1753" s="376">
        <v>2023</v>
      </c>
      <c r="E1753" s="376">
        <v>2028</v>
      </c>
      <c r="F1753" s="376">
        <v>0.37384575124303709</v>
      </c>
      <c r="G1753" s="376">
        <v>9928.6887826901675</v>
      </c>
      <c r="H1753" s="376">
        <v>0.26269358679872662</v>
      </c>
      <c r="I1753" s="376">
        <v>0.85</v>
      </c>
    </row>
    <row r="1754" spans="1:9" x14ac:dyDescent="0.35">
      <c r="A1754" s="376" t="s">
        <v>1612</v>
      </c>
      <c r="B1754" s="376" t="s">
        <v>1609</v>
      </c>
      <c r="C1754" s="376" t="s">
        <v>644</v>
      </c>
      <c r="D1754" s="376">
        <v>2023</v>
      </c>
      <c r="E1754" s="376">
        <v>2028</v>
      </c>
      <c r="F1754" s="376">
        <v>0.37384575124303709</v>
      </c>
      <c r="G1754" s="376">
        <v>9928.6887826901675</v>
      </c>
      <c r="H1754" s="376">
        <v>0.26269358679872662</v>
      </c>
      <c r="I1754" s="376">
        <v>0.85</v>
      </c>
    </row>
    <row r="1755" spans="1:9" x14ac:dyDescent="0.35">
      <c r="A1755" s="376" t="s">
        <v>1612</v>
      </c>
      <c r="B1755" s="376" t="s">
        <v>1609</v>
      </c>
      <c r="C1755" s="376" t="s">
        <v>628</v>
      </c>
      <c r="D1755" s="376">
        <v>2023</v>
      </c>
      <c r="E1755" s="376">
        <v>2028</v>
      </c>
      <c r="F1755" s="376">
        <v>0.37384575124303709</v>
      </c>
      <c r="G1755" s="376">
        <v>9928.6887826901675</v>
      </c>
      <c r="H1755" s="376">
        <v>0.26269358679872662</v>
      </c>
      <c r="I1755" s="376">
        <v>0.85</v>
      </c>
    </row>
    <row r="1756" spans="1:9" x14ac:dyDescent="0.35">
      <c r="A1756" s="376" t="s">
        <v>1612</v>
      </c>
      <c r="B1756" s="376" t="s">
        <v>1609</v>
      </c>
      <c r="C1756" s="376" t="s">
        <v>1051</v>
      </c>
      <c r="D1756" s="376">
        <v>2023</v>
      </c>
      <c r="E1756" s="376">
        <v>2028</v>
      </c>
      <c r="F1756" s="376">
        <v>0.37384575124303709</v>
      </c>
      <c r="G1756" s="376">
        <v>9928.6887826901675</v>
      </c>
      <c r="H1756" s="376">
        <v>0.26269358679872662</v>
      </c>
      <c r="I1756" s="376">
        <v>0.85</v>
      </c>
    </row>
    <row r="1757" spans="1:9" x14ac:dyDescent="0.35">
      <c r="A1757" s="376" t="s">
        <v>1612</v>
      </c>
      <c r="B1757" s="376" t="s">
        <v>1609</v>
      </c>
      <c r="C1757" s="376" t="s">
        <v>1054</v>
      </c>
      <c r="D1757" s="376">
        <v>2023</v>
      </c>
      <c r="E1757" s="376">
        <v>2028</v>
      </c>
      <c r="F1757" s="376">
        <v>0.37384575124303709</v>
      </c>
      <c r="G1757" s="376">
        <v>9928.6887826901675</v>
      </c>
      <c r="H1757" s="376">
        <v>0.26269358679872662</v>
      </c>
      <c r="I1757" s="376">
        <v>0.85</v>
      </c>
    </row>
    <row r="1758" spans="1:9" x14ac:dyDescent="0.35">
      <c r="A1758" s="376" t="s">
        <v>1612</v>
      </c>
      <c r="B1758" s="376" t="s">
        <v>1609</v>
      </c>
      <c r="C1758" s="376" t="s">
        <v>1046</v>
      </c>
      <c r="D1758" s="376">
        <v>2023</v>
      </c>
      <c r="E1758" s="376">
        <v>2029</v>
      </c>
      <c r="F1758" s="376">
        <v>0.37384575124303709</v>
      </c>
      <c r="G1758" s="376">
        <v>9928.6887826901675</v>
      </c>
      <c r="H1758" s="376">
        <v>0.26269358679872662</v>
      </c>
      <c r="I1758" s="376">
        <v>0.85</v>
      </c>
    </row>
    <row r="1759" spans="1:9" x14ac:dyDescent="0.35">
      <c r="A1759" s="376" t="s">
        <v>1612</v>
      </c>
      <c r="B1759" s="376" t="s">
        <v>1609</v>
      </c>
      <c r="C1759" s="376" t="s">
        <v>644</v>
      </c>
      <c r="D1759" s="376">
        <v>2023</v>
      </c>
      <c r="E1759" s="376">
        <v>2029</v>
      </c>
      <c r="F1759" s="376">
        <v>0.37384575124303709</v>
      </c>
      <c r="G1759" s="376">
        <v>9928.6887826901675</v>
      </c>
      <c r="H1759" s="376">
        <v>0.26269358679872662</v>
      </c>
      <c r="I1759" s="376">
        <v>0.85</v>
      </c>
    </row>
    <row r="1760" spans="1:9" x14ac:dyDescent="0.35">
      <c r="A1760" s="376" t="s">
        <v>1612</v>
      </c>
      <c r="B1760" s="376" t="s">
        <v>1609</v>
      </c>
      <c r="C1760" s="376" t="s">
        <v>628</v>
      </c>
      <c r="D1760" s="376">
        <v>2023</v>
      </c>
      <c r="E1760" s="376">
        <v>2029</v>
      </c>
      <c r="F1760" s="376">
        <v>0.37384575124303709</v>
      </c>
      <c r="G1760" s="376">
        <v>9928.6887826901675</v>
      </c>
      <c r="H1760" s="376">
        <v>0.26269358679872662</v>
      </c>
      <c r="I1760" s="376">
        <v>0.85</v>
      </c>
    </row>
    <row r="1761" spans="1:9" x14ac:dyDescent="0.35">
      <c r="A1761" s="376" t="s">
        <v>1612</v>
      </c>
      <c r="B1761" s="376" t="s">
        <v>1609</v>
      </c>
      <c r="C1761" s="376" t="s">
        <v>1051</v>
      </c>
      <c r="D1761" s="376">
        <v>2023</v>
      </c>
      <c r="E1761" s="376">
        <v>2029</v>
      </c>
      <c r="F1761" s="376">
        <v>0.37384575124303709</v>
      </c>
      <c r="G1761" s="376">
        <v>9928.6887826901675</v>
      </c>
      <c r="H1761" s="376">
        <v>0.26269358679872662</v>
      </c>
      <c r="I1761" s="376">
        <v>0.85</v>
      </c>
    </row>
    <row r="1762" spans="1:9" x14ac:dyDescent="0.35">
      <c r="A1762" s="376" t="s">
        <v>1612</v>
      </c>
      <c r="B1762" s="376" t="s">
        <v>1609</v>
      </c>
      <c r="C1762" s="376" t="s">
        <v>1054</v>
      </c>
      <c r="D1762" s="376">
        <v>2023</v>
      </c>
      <c r="E1762" s="376">
        <v>2029</v>
      </c>
      <c r="F1762" s="376">
        <v>0.37384575124303709</v>
      </c>
      <c r="G1762" s="376">
        <v>9928.6887826901675</v>
      </c>
      <c r="H1762" s="376">
        <v>0.26269358679872662</v>
      </c>
      <c r="I1762" s="376">
        <v>0.85</v>
      </c>
    </row>
    <row r="1763" spans="1:9" x14ac:dyDescent="0.35">
      <c r="A1763" s="376" t="s">
        <v>1612</v>
      </c>
      <c r="B1763" s="376" t="s">
        <v>1609</v>
      </c>
      <c r="C1763" s="376" t="s">
        <v>1046</v>
      </c>
      <c r="D1763" s="376">
        <v>2023</v>
      </c>
      <c r="E1763" s="376">
        <v>2030</v>
      </c>
      <c r="F1763" s="376">
        <v>0.37384575124303709</v>
      </c>
      <c r="G1763" s="376">
        <v>9928.6887826901675</v>
      </c>
      <c r="H1763" s="376">
        <v>0.26269358679872662</v>
      </c>
      <c r="I1763" s="376">
        <v>0.85</v>
      </c>
    </row>
    <row r="1764" spans="1:9" x14ac:dyDescent="0.35">
      <c r="A1764" s="376" t="s">
        <v>1612</v>
      </c>
      <c r="B1764" s="376" t="s">
        <v>1609</v>
      </c>
      <c r="C1764" s="376" t="s">
        <v>644</v>
      </c>
      <c r="D1764" s="376">
        <v>2023</v>
      </c>
      <c r="E1764" s="376">
        <v>2030</v>
      </c>
      <c r="F1764" s="376">
        <v>0.37384575124303709</v>
      </c>
      <c r="G1764" s="376">
        <v>9928.6887826901675</v>
      </c>
      <c r="H1764" s="376">
        <v>0.26269358679872662</v>
      </c>
      <c r="I1764" s="376">
        <v>0.85</v>
      </c>
    </row>
    <row r="1765" spans="1:9" x14ac:dyDescent="0.35">
      <c r="A1765" s="376" t="s">
        <v>1612</v>
      </c>
      <c r="B1765" s="376" t="s">
        <v>1609</v>
      </c>
      <c r="C1765" s="376" t="s">
        <v>628</v>
      </c>
      <c r="D1765" s="376">
        <v>2023</v>
      </c>
      <c r="E1765" s="376">
        <v>2030</v>
      </c>
      <c r="F1765" s="376">
        <v>0.37384575124303709</v>
      </c>
      <c r="G1765" s="376">
        <v>9928.6887826901675</v>
      </c>
      <c r="H1765" s="376">
        <v>0.26269358679872662</v>
      </c>
      <c r="I1765" s="376">
        <v>0.85</v>
      </c>
    </row>
    <row r="1766" spans="1:9" x14ac:dyDescent="0.35">
      <c r="A1766" s="376" t="s">
        <v>1612</v>
      </c>
      <c r="B1766" s="376" t="s">
        <v>1609</v>
      </c>
      <c r="C1766" s="376" t="s">
        <v>1051</v>
      </c>
      <c r="D1766" s="376">
        <v>2023</v>
      </c>
      <c r="E1766" s="376">
        <v>2030</v>
      </c>
      <c r="F1766" s="376">
        <v>0.37384575124303709</v>
      </c>
      <c r="G1766" s="376">
        <v>9928.6887826901675</v>
      </c>
      <c r="H1766" s="376">
        <v>0.26269358679872662</v>
      </c>
      <c r="I1766" s="376">
        <v>0.85</v>
      </c>
    </row>
    <row r="1767" spans="1:9" x14ac:dyDescent="0.35">
      <c r="A1767" s="376" t="s">
        <v>1612</v>
      </c>
      <c r="B1767" s="376" t="s">
        <v>1609</v>
      </c>
      <c r="C1767" s="376" t="s">
        <v>1054</v>
      </c>
      <c r="D1767" s="376">
        <v>2023</v>
      </c>
      <c r="E1767" s="376">
        <v>2030</v>
      </c>
      <c r="F1767" s="376">
        <v>0.37384575124303709</v>
      </c>
      <c r="G1767" s="376">
        <v>9928.6887826901675</v>
      </c>
      <c r="H1767" s="376">
        <v>0.26269358679872662</v>
      </c>
      <c r="I1767" s="376">
        <v>0.85</v>
      </c>
    </row>
    <row r="1768" spans="1:9" x14ac:dyDescent="0.35">
      <c r="A1768" s="376" t="s">
        <v>1612</v>
      </c>
      <c r="B1768" s="376" t="s">
        <v>1609</v>
      </c>
      <c r="C1768" s="376" t="s">
        <v>1046</v>
      </c>
      <c r="D1768" s="376">
        <v>2023</v>
      </c>
      <c r="E1768" s="376">
        <v>2031</v>
      </c>
      <c r="F1768" s="376">
        <v>0.37384575124303709</v>
      </c>
      <c r="G1768" s="376">
        <v>9928.6887826901675</v>
      </c>
      <c r="H1768" s="376">
        <v>0.26269358679872662</v>
      </c>
      <c r="I1768" s="376">
        <v>0.85</v>
      </c>
    </row>
    <row r="1769" spans="1:9" x14ac:dyDescent="0.35">
      <c r="A1769" s="376" t="s">
        <v>1612</v>
      </c>
      <c r="B1769" s="376" t="s">
        <v>1609</v>
      </c>
      <c r="C1769" s="376" t="s">
        <v>644</v>
      </c>
      <c r="D1769" s="376">
        <v>2023</v>
      </c>
      <c r="E1769" s="376">
        <v>2031</v>
      </c>
      <c r="F1769" s="376">
        <v>0.37384575124303709</v>
      </c>
      <c r="G1769" s="376">
        <v>9928.6887826901675</v>
      </c>
      <c r="H1769" s="376">
        <v>0.26269358679872662</v>
      </c>
      <c r="I1769" s="376">
        <v>0.85</v>
      </c>
    </row>
    <row r="1770" spans="1:9" x14ac:dyDescent="0.35">
      <c r="A1770" s="376" t="s">
        <v>1612</v>
      </c>
      <c r="B1770" s="376" t="s">
        <v>1609</v>
      </c>
      <c r="C1770" s="376" t="s">
        <v>628</v>
      </c>
      <c r="D1770" s="376">
        <v>2023</v>
      </c>
      <c r="E1770" s="376">
        <v>2031</v>
      </c>
      <c r="F1770" s="376">
        <v>0.37384575124303709</v>
      </c>
      <c r="G1770" s="376">
        <v>9928.6887826901675</v>
      </c>
      <c r="H1770" s="376">
        <v>0.26269358679872662</v>
      </c>
      <c r="I1770" s="376">
        <v>0.85</v>
      </c>
    </row>
    <row r="1771" spans="1:9" x14ac:dyDescent="0.35">
      <c r="A1771" s="376" t="s">
        <v>1612</v>
      </c>
      <c r="B1771" s="376" t="s">
        <v>1609</v>
      </c>
      <c r="C1771" s="376" t="s">
        <v>1051</v>
      </c>
      <c r="D1771" s="376">
        <v>2023</v>
      </c>
      <c r="E1771" s="376">
        <v>2031</v>
      </c>
      <c r="F1771" s="376">
        <v>0.37384575124303709</v>
      </c>
      <c r="G1771" s="376">
        <v>9928.6887826901675</v>
      </c>
      <c r="H1771" s="376">
        <v>0.26269358679872662</v>
      </c>
      <c r="I1771" s="376">
        <v>0.85</v>
      </c>
    </row>
    <row r="1772" spans="1:9" x14ac:dyDescent="0.35">
      <c r="A1772" s="376" t="s">
        <v>1612</v>
      </c>
      <c r="B1772" s="376" t="s">
        <v>1609</v>
      </c>
      <c r="C1772" s="376" t="s">
        <v>1054</v>
      </c>
      <c r="D1772" s="376">
        <v>2023</v>
      </c>
      <c r="E1772" s="376">
        <v>2031</v>
      </c>
      <c r="F1772" s="376">
        <v>0.37384575124303709</v>
      </c>
      <c r="G1772" s="376">
        <v>9928.6887826901675</v>
      </c>
      <c r="H1772" s="376">
        <v>0.26269358679872662</v>
      </c>
      <c r="I1772" s="376">
        <v>0.85</v>
      </c>
    </row>
    <row r="1773" spans="1:9" x14ac:dyDescent="0.35">
      <c r="A1773" s="376" t="s">
        <v>1613</v>
      </c>
      <c r="B1773" s="376" t="s">
        <v>1609</v>
      </c>
      <c r="C1773" s="376" t="s">
        <v>1046</v>
      </c>
      <c r="D1773" s="376">
        <v>2023</v>
      </c>
      <c r="E1773" s="376">
        <v>2023</v>
      </c>
      <c r="F1773" s="376">
        <v>0.40444272241720852</v>
      </c>
      <c r="G1773" s="376">
        <v>8848.5269568257354</v>
      </c>
      <c r="H1773" s="376">
        <v>0.25908039636509639</v>
      </c>
      <c r="I1773" s="376">
        <v>0.85</v>
      </c>
    </row>
    <row r="1774" spans="1:9" x14ac:dyDescent="0.35">
      <c r="A1774" s="376" t="s">
        <v>1613</v>
      </c>
      <c r="B1774" s="376" t="s">
        <v>1609</v>
      </c>
      <c r="C1774" s="376" t="s">
        <v>644</v>
      </c>
      <c r="D1774" s="376">
        <v>2023</v>
      </c>
      <c r="E1774" s="376">
        <v>2023</v>
      </c>
      <c r="F1774" s="376">
        <v>0.40444272241720852</v>
      </c>
      <c r="G1774" s="376">
        <v>8848.5269568257354</v>
      </c>
      <c r="H1774" s="376">
        <v>0.25908039636509639</v>
      </c>
      <c r="I1774" s="376">
        <v>0.85</v>
      </c>
    </row>
    <row r="1775" spans="1:9" x14ac:dyDescent="0.35">
      <c r="A1775" s="376" t="s">
        <v>1613</v>
      </c>
      <c r="B1775" s="376" t="s">
        <v>1609</v>
      </c>
      <c r="C1775" s="376" t="s">
        <v>628</v>
      </c>
      <c r="D1775" s="376">
        <v>2023</v>
      </c>
      <c r="E1775" s="376">
        <v>2023</v>
      </c>
      <c r="F1775" s="376">
        <v>0.40444272241720852</v>
      </c>
      <c r="G1775" s="376">
        <v>8848.5269568257354</v>
      </c>
      <c r="H1775" s="376">
        <v>0.25908039636509639</v>
      </c>
      <c r="I1775" s="376">
        <v>0.85</v>
      </c>
    </row>
    <row r="1776" spans="1:9" x14ac:dyDescent="0.35">
      <c r="A1776" s="376" t="s">
        <v>1613</v>
      </c>
      <c r="B1776" s="376" t="s">
        <v>1609</v>
      </c>
      <c r="C1776" s="376" t="s">
        <v>1051</v>
      </c>
      <c r="D1776" s="376">
        <v>2023</v>
      </c>
      <c r="E1776" s="376">
        <v>2023</v>
      </c>
      <c r="F1776" s="376">
        <v>0.40444272241720852</v>
      </c>
      <c r="G1776" s="376">
        <v>8848.5269568257354</v>
      </c>
      <c r="H1776" s="376">
        <v>0.25908039636509639</v>
      </c>
      <c r="I1776" s="376">
        <v>0.85</v>
      </c>
    </row>
    <row r="1777" spans="1:9" x14ac:dyDescent="0.35">
      <c r="A1777" s="376" t="s">
        <v>1613</v>
      </c>
      <c r="B1777" s="376" t="s">
        <v>1609</v>
      </c>
      <c r="C1777" s="376" t="s">
        <v>1054</v>
      </c>
      <c r="D1777" s="376">
        <v>2023</v>
      </c>
      <c r="E1777" s="376">
        <v>2023</v>
      </c>
      <c r="F1777" s="376">
        <v>0.40444272241720852</v>
      </c>
      <c r="G1777" s="376">
        <v>8848.5269568257354</v>
      </c>
      <c r="H1777" s="376">
        <v>0.25908039636509639</v>
      </c>
      <c r="I1777" s="376">
        <v>0.85</v>
      </c>
    </row>
    <row r="1778" spans="1:9" x14ac:dyDescent="0.35">
      <c r="A1778" s="376" t="s">
        <v>1613</v>
      </c>
      <c r="B1778" s="376" t="s">
        <v>1609</v>
      </c>
      <c r="C1778" s="376" t="s">
        <v>1046</v>
      </c>
      <c r="D1778" s="376">
        <v>2023</v>
      </c>
      <c r="E1778" s="376">
        <v>2024</v>
      </c>
      <c r="F1778" s="376">
        <v>0.40444272241720852</v>
      </c>
      <c r="G1778" s="376">
        <v>8848.5269568257354</v>
      </c>
      <c r="H1778" s="376">
        <v>0.25908039636509639</v>
      </c>
      <c r="I1778" s="376">
        <v>0.85</v>
      </c>
    </row>
    <row r="1779" spans="1:9" x14ac:dyDescent="0.35">
      <c r="A1779" s="376" t="s">
        <v>1613</v>
      </c>
      <c r="B1779" s="376" t="s">
        <v>1609</v>
      </c>
      <c r="C1779" s="376" t="s">
        <v>644</v>
      </c>
      <c r="D1779" s="376">
        <v>2023</v>
      </c>
      <c r="E1779" s="376">
        <v>2024</v>
      </c>
      <c r="F1779" s="376">
        <v>0.40444272241720852</v>
      </c>
      <c r="G1779" s="376">
        <v>8848.5269568257354</v>
      </c>
      <c r="H1779" s="376">
        <v>0.25908039636509639</v>
      </c>
      <c r="I1779" s="376">
        <v>0.85</v>
      </c>
    </row>
    <row r="1780" spans="1:9" x14ac:dyDescent="0.35">
      <c r="A1780" s="376" t="s">
        <v>1613</v>
      </c>
      <c r="B1780" s="376" t="s">
        <v>1609</v>
      </c>
      <c r="C1780" s="376" t="s">
        <v>628</v>
      </c>
      <c r="D1780" s="376">
        <v>2023</v>
      </c>
      <c r="E1780" s="376">
        <v>2024</v>
      </c>
      <c r="F1780" s="376">
        <v>0.40444272241720852</v>
      </c>
      <c r="G1780" s="376">
        <v>8848.5269568257354</v>
      </c>
      <c r="H1780" s="376">
        <v>0.25908039636509639</v>
      </c>
      <c r="I1780" s="376">
        <v>0.85</v>
      </c>
    </row>
    <row r="1781" spans="1:9" x14ac:dyDescent="0.35">
      <c r="A1781" s="376" t="s">
        <v>1613</v>
      </c>
      <c r="B1781" s="376" t="s">
        <v>1609</v>
      </c>
      <c r="C1781" s="376" t="s">
        <v>1051</v>
      </c>
      <c r="D1781" s="376">
        <v>2023</v>
      </c>
      <c r="E1781" s="376">
        <v>2024</v>
      </c>
      <c r="F1781" s="376">
        <v>0.40444272241720852</v>
      </c>
      <c r="G1781" s="376">
        <v>8848.5269568257354</v>
      </c>
      <c r="H1781" s="376">
        <v>0.25908039636509639</v>
      </c>
      <c r="I1781" s="376">
        <v>0.85</v>
      </c>
    </row>
    <row r="1782" spans="1:9" x14ac:dyDescent="0.35">
      <c r="A1782" s="376" t="s">
        <v>1613</v>
      </c>
      <c r="B1782" s="376" t="s">
        <v>1609</v>
      </c>
      <c r="C1782" s="376" t="s">
        <v>1054</v>
      </c>
      <c r="D1782" s="376">
        <v>2023</v>
      </c>
      <c r="E1782" s="376">
        <v>2024</v>
      </c>
      <c r="F1782" s="376">
        <v>0.40444272241720852</v>
      </c>
      <c r="G1782" s="376">
        <v>8848.5269568257354</v>
      </c>
      <c r="H1782" s="376">
        <v>0.25908039636509639</v>
      </c>
      <c r="I1782" s="376">
        <v>0.85</v>
      </c>
    </row>
    <row r="1783" spans="1:9" x14ac:dyDescent="0.35">
      <c r="A1783" s="376" t="s">
        <v>1613</v>
      </c>
      <c r="B1783" s="376" t="s">
        <v>1609</v>
      </c>
      <c r="C1783" s="376" t="s">
        <v>1046</v>
      </c>
      <c r="D1783" s="376">
        <v>2023</v>
      </c>
      <c r="E1783" s="376">
        <v>2025</v>
      </c>
      <c r="F1783" s="376">
        <v>0.40444272241720852</v>
      </c>
      <c r="G1783" s="376">
        <v>8848.5269568257354</v>
      </c>
      <c r="H1783" s="376">
        <v>0.25908039636509639</v>
      </c>
      <c r="I1783" s="376">
        <v>0.85</v>
      </c>
    </row>
    <row r="1784" spans="1:9" x14ac:dyDescent="0.35">
      <c r="A1784" s="376" t="s">
        <v>1613</v>
      </c>
      <c r="B1784" s="376" t="s">
        <v>1609</v>
      </c>
      <c r="C1784" s="376" t="s">
        <v>644</v>
      </c>
      <c r="D1784" s="376">
        <v>2023</v>
      </c>
      <c r="E1784" s="376">
        <v>2025</v>
      </c>
      <c r="F1784" s="376">
        <v>0.40444272241720852</v>
      </c>
      <c r="G1784" s="376">
        <v>8848.5269568257354</v>
      </c>
      <c r="H1784" s="376">
        <v>0.25908039636509639</v>
      </c>
      <c r="I1784" s="376">
        <v>0.85</v>
      </c>
    </row>
    <row r="1785" spans="1:9" x14ac:dyDescent="0.35">
      <c r="A1785" s="376" t="s">
        <v>1613</v>
      </c>
      <c r="B1785" s="376" t="s">
        <v>1609</v>
      </c>
      <c r="C1785" s="376" t="s">
        <v>628</v>
      </c>
      <c r="D1785" s="376">
        <v>2023</v>
      </c>
      <c r="E1785" s="376">
        <v>2025</v>
      </c>
      <c r="F1785" s="376">
        <v>0.40444272241720852</v>
      </c>
      <c r="G1785" s="376">
        <v>8848.5269568257354</v>
      </c>
      <c r="H1785" s="376">
        <v>0.25908039636509639</v>
      </c>
      <c r="I1785" s="376">
        <v>0.85</v>
      </c>
    </row>
    <row r="1786" spans="1:9" x14ac:dyDescent="0.35">
      <c r="A1786" s="376" t="s">
        <v>1613</v>
      </c>
      <c r="B1786" s="376" t="s">
        <v>1609</v>
      </c>
      <c r="C1786" s="376" t="s">
        <v>1051</v>
      </c>
      <c r="D1786" s="376">
        <v>2023</v>
      </c>
      <c r="E1786" s="376">
        <v>2025</v>
      </c>
      <c r="F1786" s="376">
        <v>0.40444272241720852</v>
      </c>
      <c r="G1786" s="376">
        <v>8848.5269568257354</v>
      </c>
      <c r="H1786" s="376">
        <v>0.25908039636509639</v>
      </c>
      <c r="I1786" s="376">
        <v>0.85</v>
      </c>
    </row>
    <row r="1787" spans="1:9" x14ac:dyDescent="0.35">
      <c r="A1787" s="376" t="s">
        <v>1613</v>
      </c>
      <c r="B1787" s="376" t="s">
        <v>1609</v>
      </c>
      <c r="C1787" s="376" t="s">
        <v>1054</v>
      </c>
      <c r="D1787" s="376">
        <v>2023</v>
      </c>
      <c r="E1787" s="376">
        <v>2025</v>
      </c>
      <c r="F1787" s="376">
        <v>0.40444272241720852</v>
      </c>
      <c r="G1787" s="376">
        <v>8848.5269568257354</v>
      </c>
      <c r="H1787" s="376">
        <v>0.25908039636509639</v>
      </c>
      <c r="I1787" s="376">
        <v>0.85</v>
      </c>
    </row>
    <row r="1788" spans="1:9" x14ac:dyDescent="0.35">
      <c r="A1788" s="376" t="s">
        <v>1613</v>
      </c>
      <c r="B1788" s="376" t="s">
        <v>1609</v>
      </c>
      <c r="C1788" s="376" t="s">
        <v>1046</v>
      </c>
      <c r="D1788" s="376">
        <v>2023</v>
      </c>
      <c r="E1788" s="376">
        <v>2026</v>
      </c>
      <c r="F1788" s="376">
        <v>0.40444272241720852</v>
      </c>
      <c r="G1788" s="376">
        <v>8848.5269568257354</v>
      </c>
      <c r="H1788" s="376">
        <v>0.25908039636509639</v>
      </c>
      <c r="I1788" s="376">
        <v>0.85</v>
      </c>
    </row>
    <row r="1789" spans="1:9" x14ac:dyDescent="0.35">
      <c r="A1789" s="376" t="s">
        <v>1613</v>
      </c>
      <c r="B1789" s="376" t="s">
        <v>1609</v>
      </c>
      <c r="C1789" s="376" t="s">
        <v>644</v>
      </c>
      <c r="D1789" s="376">
        <v>2023</v>
      </c>
      <c r="E1789" s="376">
        <v>2026</v>
      </c>
      <c r="F1789" s="376">
        <v>0.40444272241720852</v>
      </c>
      <c r="G1789" s="376">
        <v>8848.5269568257354</v>
      </c>
      <c r="H1789" s="376">
        <v>0.25908039636509639</v>
      </c>
      <c r="I1789" s="376">
        <v>0.85</v>
      </c>
    </row>
    <row r="1790" spans="1:9" x14ac:dyDescent="0.35">
      <c r="A1790" s="376" t="s">
        <v>1613</v>
      </c>
      <c r="B1790" s="376" t="s">
        <v>1609</v>
      </c>
      <c r="C1790" s="376" t="s">
        <v>628</v>
      </c>
      <c r="D1790" s="376">
        <v>2023</v>
      </c>
      <c r="E1790" s="376">
        <v>2026</v>
      </c>
      <c r="F1790" s="376">
        <v>0.40444272241720852</v>
      </c>
      <c r="G1790" s="376">
        <v>8848.5269568257354</v>
      </c>
      <c r="H1790" s="376">
        <v>0.25908039636509639</v>
      </c>
      <c r="I1790" s="376">
        <v>0.85</v>
      </c>
    </row>
    <row r="1791" spans="1:9" x14ac:dyDescent="0.35">
      <c r="A1791" s="376" t="s">
        <v>1613</v>
      </c>
      <c r="B1791" s="376" t="s">
        <v>1609</v>
      </c>
      <c r="C1791" s="376" t="s">
        <v>1051</v>
      </c>
      <c r="D1791" s="376">
        <v>2023</v>
      </c>
      <c r="E1791" s="376">
        <v>2026</v>
      </c>
      <c r="F1791" s="376">
        <v>0.40444272241720852</v>
      </c>
      <c r="G1791" s="376">
        <v>8848.5269568257354</v>
      </c>
      <c r="H1791" s="376">
        <v>0.25908039636509639</v>
      </c>
      <c r="I1791" s="376">
        <v>0.85</v>
      </c>
    </row>
    <row r="1792" spans="1:9" x14ac:dyDescent="0.35">
      <c r="A1792" s="376" t="s">
        <v>1613</v>
      </c>
      <c r="B1792" s="376" t="s">
        <v>1609</v>
      </c>
      <c r="C1792" s="376" t="s">
        <v>1054</v>
      </c>
      <c r="D1792" s="376">
        <v>2023</v>
      </c>
      <c r="E1792" s="376">
        <v>2026</v>
      </c>
      <c r="F1792" s="376">
        <v>0.40444272241720852</v>
      </c>
      <c r="G1792" s="376">
        <v>8848.5269568257354</v>
      </c>
      <c r="H1792" s="376">
        <v>0.25908039636509639</v>
      </c>
      <c r="I1792" s="376">
        <v>0.85</v>
      </c>
    </row>
    <row r="1793" spans="1:9" x14ac:dyDescent="0.35">
      <c r="A1793" s="376" t="s">
        <v>1613</v>
      </c>
      <c r="B1793" s="376" t="s">
        <v>1609</v>
      </c>
      <c r="C1793" s="376" t="s">
        <v>1046</v>
      </c>
      <c r="D1793" s="376">
        <v>2023</v>
      </c>
      <c r="E1793" s="376">
        <v>2027</v>
      </c>
      <c r="F1793" s="376">
        <v>0.40444272241720852</v>
      </c>
      <c r="G1793" s="376">
        <v>8848.5269568257354</v>
      </c>
      <c r="H1793" s="376">
        <v>0.25908039636509639</v>
      </c>
      <c r="I1793" s="376">
        <v>0.85</v>
      </c>
    </row>
    <row r="1794" spans="1:9" x14ac:dyDescent="0.35">
      <c r="A1794" s="376" t="s">
        <v>1613</v>
      </c>
      <c r="B1794" s="376" t="s">
        <v>1609</v>
      </c>
      <c r="C1794" s="376" t="s">
        <v>644</v>
      </c>
      <c r="D1794" s="376">
        <v>2023</v>
      </c>
      <c r="E1794" s="376">
        <v>2027</v>
      </c>
      <c r="F1794" s="376">
        <v>0.40444272241720852</v>
      </c>
      <c r="G1794" s="376">
        <v>8848.5269568257354</v>
      </c>
      <c r="H1794" s="376">
        <v>0.25908039636509639</v>
      </c>
      <c r="I1794" s="376">
        <v>0.85</v>
      </c>
    </row>
    <row r="1795" spans="1:9" x14ac:dyDescent="0.35">
      <c r="A1795" s="376" t="s">
        <v>1613</v>
      </c>
      <c r="B1795" s="376" t="s">
        <v>1609</v>
      </c>
      <c r="C1795" s="376" t="s">
        <v>628</v>
      </c>
      <c r="D1795" s="376">
        <v>2023</v>
      </c>
      <c r="E1795" s="376">
        <v>2027</v>
      </c>
      <c r="F1795" s="376">
        <v>0.40444272241720852</v>
      </c>
      <c r="G1795" s="376">
        <v>8848.5269568257354</v>
      </c>
      <c r="H1795" s="376">
        <v>0.25908039636509639</v>
      </c>
      <c r="I1795" s="376">
        <v>0.85</v>
      </c>
    </row>
    <row r="1796" spans="1:9" x14ac:dyDescent="0.35">
      <c r="A1796" s="376" t="s">
        <v>1613</v>
      </c>
      <c r="B1796" s="376" t="s">
        <v>1609</v>
      </c>
      <c r="C1796" s="376" t="s">
        <v>1051</v>
      </c>
      <c r="D1796" s="376">
        <v>2023</v>
      </c>
      <c r="E1796" s="376">
        <v>2027</v>
      </c>
      <c r="F1796" s="376">
        <v>0.40444272241720852</v>
      </c>
      <c r="G1796" s="376">
        <v>8848.5269568257354</v>
      </c>
      <c r="H1796" s="376">
        <v>0.25908039636509639</v>
      </c>
      <c r="I1796" s="376">
        <v>0.85</v>
      </c>
    </row>
    <row r="1797" spans="1:9" x14ac:dyDescent="0.35">
      <c r="A1797" s="376" t="s">
        <v>1613</v>
      </c>
      <c r="B1797" s="376" t="s">
        <v>1609</v>
      </c>
      <c r="C1797" s="376" t="s">
        <v>1054</v>
      </c>
      <c r="D1797" s="376">
        <v>2023</v>
      </c>
      <c r="E1797" s="376">
        <v>2027</v>
      </c>
      <c r="F1797" s="376">
        <v>0.40444272241720852</v>
      </c>
      <c r="G1797" s="376">
        <v>8848.5269568257354</v>
      </c>
      <c r="H1797" s="376">
        <v>0.25908039636509639</v>
      </c>
      <c r="I1797" s="376">
        <v>0.85</v>
      </c>
    </row>
    <row r="1798" spans="1:9" x14ac:dyDescent="0.35">
      <c r="A1798" s="376" t="s">
        <v>1613</v>
      </c>
      <c r="B1798" s="376" t="s">
        <v>1609</v>
      </c>
      <c r="C1798" s="376" t="s">
        <v>1046</v>
      </c>
      <c r="D1798" s="376">
        <v>2023</v>
      </c>
      <c r="E1798" s="376">
        <v>2028</v>
      </c>
      <c r="F1798" s="376">
        <v>0.40444272241720852</v>
      </c>
      <c r="G1798" s="376">
        <v>8848.5269568257354</v>
      </c>
      <c r="H1798" s="376">
        <v>0.25908039636509639</v>
      </c>
      <c r="I1798" s="376">
        <v>0.85</v>
      </c>
    </row>
    <row r="1799" spans="1:9" x14ac:dyDescent="0.35">
      <c r="A1799" s="376" t="s">
        <v>1613</v>
      </c>
      <c r="B1799" s="376" t="s">
        <v>1609</v>
      </c>
      <c r="C1799" s="376" t="s">
        <v>644</v>
      </c>
      <c r="D1799" s="376">
        <v>2023</v>
      </c>
      <c r="E1799" s="376">
        <v>2028</v>
      </c>
      <c r="F1799" s="376">
        <v>0.40444272241720852</v>
      </c>
      <c r="G1799" s="376">
        <v>8848.5269568257354</v>
      </c>
      <c r="H1799" s="376">
        <v>0.25908039636509639</v>
      </c>
      <c r="I1799" s="376">
        <v>0.85</v>
      </c>
    </row>
    <row r="1800" spans="1:9" x14ac:dyDescent="0.35">
      <c r="A1800" s="376" t="s">
        <v>1613</v>
      </c>
      <c r="B1800" s="376" t="s">
        <v>1609</v>
      </c>
      <c r="C1800" s="376" t="s">
        <v>628</v>
      </c>
      <c r="D1800" s="376">
        <v>2023</v>
      </c>
      <c r="E1800" s="376">
        <v>2028</v>
      </c>
      <c r="F1800" s="376">
        <v>0.40444272241720852</v>
      </c>
      <c r="G1800" s="376">
        <v>8848.5269568257354</v>
      </c>
      <c r="H1800" s="376">
        <v>0.25908039636509639</v>
      </c>
      <c r="I1800" s="376">
        <v>0.85</v>
      </c>
    </row>
    <row r="1801" spans="1:9" x14ac:dyDescent="0.35">
      <c r="A1801" s="376" t="s">
        <v>1613</v>
      </c>
      <c r="B1801" s="376" t="s">
        <v>1609</v>
      </c>
      <c r="C1801" s="376" t="s">
        <v>1051</v>
      </c>
      <c r="D1801" s="376">
        <v>2023</v>
      </c>
      <c r="E1801" s="376">
        <v>2028</v>
      </c>
      <c r="F1801" s="376">
        <v>0.40444272241720852</v>
      </c>
      <c r="G1801" s="376">
        <v>8848.5269568257354</v>
      </c>
      <c r="H1801" s="376">
        <v>0.25908039636509639</v>
      </c>
      <c r="I1801" s="376">
        <v>0.85</v>
      </c>
    </row>
    <row r="1802" spans="1:9" x14ac:dyDescent="0.35">
      <c r="A1802" s="376" t="s">
        <v>1613</v>
      </c>
      <c r="B1802" s="376" t="s">
        <v>1609</v>
      </c>
      <c r="C1802" s="376" t="s">
        <v>1054</v>
      </c>
      <c r="D1802" s="376">
        <v>2023</v>
      </c>
      <c r="E1802" s="376">
        <v>2028</v>
      </c>
      <c r="F1802" s="376">
        <v>0.40444272241720852</v>
      </c>
      <c r="G1802" s="376">
        <v>8848.5269568257354</v>
      </c>
      <c r="H1802" s="376">
        <v>0.25908039636509639</v>
      </c>
      <c r="I1802" s="376">
        <v>0.85</v>
      </c>
    </row>
    <row r="1803" spans="1:9" x14ac:dyDescent="0.35">
      <c r="A1803" s="376" t="s">
        <v>1613</v>
      </c>
      <c r="B1803" s="376" t="s">
        <v>1609</v>
      </c>
      <c r="C1803" s="376" t="s">
        <v>1046</v>
      </c>
      <c r="D1803" s="376">
        <v>2023</v>
      </c>
      <c r="E1803" s="376">
        <v>2029</v>
      </c>
      <c r="F1803" s="376">
        <v>0.40444272241720852</v>
      </c>
      <c r="G1803" s="376">
        <v>8848.5269568257354</v>
      </c>
      <c r="H1803" s="376">
        <v>0.25908039636509639</v>
      </c>
      <c r="I1803" s="376">
        <v>0.85</v>
      </c>
    </row>
    <row r="1804" spans="1:9" x14ac:dyDescent="0.35">
      <c r="A1804" s="376" t="s">
        <v>1613</v>
      </c>
      <c r="B1804" s="376" t="s">
        <v>1609</v>
      </c>
      <c r="C1804" s="376" t="s">
        <v>644</v>
      </c>
      <c r="D1804" s="376">
        <v>2023</v>
      </c>
      <c r="E1804" s="376">
        <v>2029</v>
      </c>
      <c r="F1804" s="376">
        <v>0.40444272241720852</v>
      </c>
      <c r="G1804" s="376">
        <v>8848.5269568257354</v>
      </c>
      <c r="H1804" s="376">
        <v>0.25908039636509639</v>
      </c>
      <c r="I1804" s="376">
        <v>0.85</v>
      </c>
    </row>
    <row r="1805" spans="1:9" x14ac:dyDescent="0.35">
      <c r="A1805" s="376" t="s">
        <v>1613</v>
      </c>
      <c r="B1805" s="376" t="s">
        <v>1609</v>
      </c>
      <c r="C1805" s="376" t="s">
        <v>628</v>
      </c>
      <c r="D1805" s="376">
        <v>2023</v>
      </c>
      <c r="E1805" s="376">
        <v>2029</v>
      </c>
      <c r="F1805" s="376">
        <v>0.40444272241720852</v>
      </c>
      <c r="G1805" s="376">
        <v>8848.5269568257354</v>
      </c>
      <c r="H1805" s="376">
        <v>0.25908039636509639</v>
      </c>
      <c r="I1805" s="376">
        <v>0.85</v>
      </c>
    </row>
    <row r="1806" spans="1:9" x14ac:dyDescent="0.35">
      <c r="A1806" s="376" t="s">
        <v>1613</v>
      </c>
      <c r="B1806" s="376" t="s">
        <v>1609</v>
      </c>
      <c r="C1806" s="376" t="s">
        <v>1051</v>
      </c>
      <c r="D1806" s="376">
        <v>2023</v>
      </c>
      <c r="E1806" s="376">
        <v>2029</v>
      </c>
      <c r="F1806" s="376">
        <v>0.40444272241720852</v>
      </c>
      <c r="G1806" s="376">
        <v>8848.5269568257354</v>
      </c>
      <c r="H1806" s="376">
        <v>0.25908039636509639</v>
      </c>
      <c r="I1806" s="376">
        <v>0.85</v>
      </c>
    </row>
    <row r="1807" spans="1:9" x14ac:dyDescent="0.35">
      <c r="A1807" s="376" t="s">
        <v>1613</v>
      </c>
      <c r="B1807" s="376" t="s">
        <v>1609</v>
      </c>
      <c r="C1807" s="376" t="s">
        <v>1054</v>
      </c>
      <c r="D1807" s="376">
        <v>2023</v>
      </c>
      <c r="E1807" s="376">
        <v>2029</v>
      </c>
      <c r="F1807" s="376">
        <v>0.40444272241720852</v>
      </c>
      <c r="G1807" s="376">
        <v>8848.5269568257354</v>
      </c>
      <c r="H1807" s="376">
        <v>0.25908039636509639</v>
      </c>
      <c r="I1807" s="376">
        <v>0.85</v>
      </c>
    </row>
    <row r="1808" spans="1:9" x14ac:dyDescent="0.35">
      <c r="A1808" s="376" t="s">
        <v>1613</v>
      </c>
      <c r="B1808" s="376" t="s">
        <v>1609</v>
      </c>
      <c r="C1808" s="376" t="s">
        <v>1046</v>
      </c>
      <c r="D1808" s="376">
        <v>2023</v>
      </c>
      <c r="E1808" s="376">
        <v>2030</v>
      </c>
      <c r="F1808" s="376">
        <v>0.40444272241720852</v>
      </c>
      <c r="G1808" s="376">
        <v>8848.5269568257354</v>
      </c>
      <c r="H1808" s="376">
        <v>0.25908039636509639</v>
      </c>
      <c r="I1808" s="376">
        <v>0.85</v>
      </c>
    </row>
    <row r="1809" spans="1:9" x14ac:dyDescent="0.35">
      <c r="A1809" s="376" t="s">
        <v>1613</v>
      </c>
      <c r="B1809" s="376" t="s">
        <v>1609</v>
      </c>
      <c r="C1809" s="376" t="s">
        <v>644</v>
      </c>
      <c r="D1809" s="376">
        <v>2023</v>
      </c>
      <c r="E1809" s="376">
        <v>2030</v>
      </c>
      <c r="F1809" s="376">
        <v>0.40444272241720852</v>
      </c>
      <c r="G1809" s="376">
        <v>8848.5269568257354</v>
      </c>
      <c r="H1809" s="376">
        <v>0.25908039636509639</v>
      </c>
      <c r="I1809" s="376">
        <v>0.85</v>
      </c>
    </row>
    <row r="1810" spans="1:9" x14ac:dyDescent="0.35">
      <c r="A1810" s="376" t="s">
        <v>1613</v>
      </c>
      <c r="B1810" s="376" t="s">
        <v>1609</v>
      </c>
      <c r="C1810" s="376" t="s">
        <v>628</v>
      </c>
      <c r="D1810" s="376">
        <v>2023</v>
      </c>
      <c r="E1810" s="376">
        <v>2030</v>
      </c>
      <c r="F1810" s="376">
        <v>0.40444272241720852</v>
      </c>
      <c r="G1810" s="376">
        <v>8848.5269568257354</v>
      </c>
      <c r="H1810" s="376">
        <v>0.25908039636509639</v>
      </c>
      <c r="I1810" s="376">
        <v>0.85</v>
      </c>
    </row>
    <row r="1811" spans="1:9" x14ac:dyDescent="0.35">
      <c r="A1811" s="376" t="s">
        <v>1613</v>
      </c>
      <c r="B1811" s="376" t="s">
        <v>1609</v>
      </c>
      <c r="C1811" s="376" t="s">
        <v>1051</v>
      </c>
      <c r="D1811" s="376">
        <v>2023</v>
      </c>
      <c r="E1811" s="376">
        <v>2030</v>
      </c>
      <c r="F1811" s="376">
        <v>0.40444272241720852</v>
      </c>
      <c r="G1811" s="376">
        <v>8848.5269568257354</v>
      </c>
      <c r="H1811" s="376">
        <v>0.25908039636509639</v>
      </c>
      <c r="I1811" s="376">
        <v>0.85</v>
      </c>
    </row>
    <row r="1812" spans="1:9" x14ac:dyDescent="0.35">
      <c r="A1812" s="376" t="s">
        <v>1613</v>
      </c>
      <c r="B1812" s="376" t="s">
        <v>1609</v>
      </c>
      <c r="C1812" s="376" t="s">
        <v>1054</v>
      </c>
      <c r="D1812" s="376">
        <v>2023</v>
      </c>
      <c r="E1812" s="376">
        <v>2030</v>
      </c>
      <c r="F1812" s="376">
        <v>0.40444272241720852</v>
      </c>
      <c r="G1812" s="376">
        <v>8848.5269568257354</v>
      </c>
      <c r="H1812" s="376">
        <v>0.25908039636509639</v>
      </c>
      <c r="I1812" s="376">
        <v>0.85</v>
      </c>
    </row>
    <row r="1813" spans="1:9" x14ac:dyDescent="0.35">
      <c r="A1813" s="376" t="s">
        <v>1613</v>
      </c>
      <c r="B1813" s="376" t="s">
        <v>1609</v>
      </c>
      <c r="C1813" s="376" t="s">
        <v>1046</v>
      </c>
      <c r="D1813" s="376">
        <v>2023</v>
      </c>
      <c r="E1813" s="376">
        <v>2031</v>
      </c>
      <c r="F1813" s="376">
        <v>0.40444272241720852</v>
      </c>
      <c r="G1813" s="376">
        <v>8848.5269568257354</v>
      </c>
      <c r="H1813" s="376">
        <v>0.25908039636509639</v>
      </c>
      <c r="I1813" s="376">
        <v>0.85</v>
      </c>
    </row>
    <row r="1814" spans="1:9" x14ac:dyDescent="0.35">
      <c r="A1814" s="376" t="s">
        <v>1613</v>
      </c>
      <c r="B1814" s="376" t="s">
        <v>1609</v>
      </c>
      <c r="C1814" s="376" t="s">
        <v>644</v>
      </c>
      <c r="D1814" s="376">
        <v>2023</v>
      </c>
      <c r="E1814" s="376">
        <v>2031</v>
      </c>
      <c r="F1814" s="376">
        <v>0.40444272241720852</v>
      </c>
      <c r="G1814" s="376">
        <v>8848.5269568257354</v>
      </c>
      <c r="H1814" s="376">
        <v>0.25908039636509639</v>
      </c>
      <c r="I1814" s="376">
        <v>0.85</v>
      </c>
    </row>
    <row r="1815" spans="1:9" x14ac:dyDescent="0.35">
      <c r="A1815" s="376" t="s">
        <v>1613</v>
      </c>
      <c r="B1815" s="376" t="s">
        <v>1609</v>
      </c>
      <c r="C1815" s="376" t="s">
        <v>628</v>
      </c>
      <c r="D1815" s="376">
        <v>2023</v>
      </c>
      <c r="E1815" s="376">
        <v>2031</v>
      </c>
      <c r="F1815" s="376">
        <v>0.40444272241720852</v>
      </c>
      <c r="G1815" s="376">
        <v>8848.5269568257354</v>
      </c>
      <c r="H1815" s="376">
        <v>0.25908039636509639</v>
      </c>
      <c r="I1815" s="376">
        <v>0.85</v>
      </c>
    </row>
    <row r="1816" spans="1:9" x14ac:dyDescent="0.35">
      <c r="A1816" s="376" t="s">
        <v>1613</v>
      </c>
      <c r="B1816" s="376" t="s">
        <v>1609</v>
      </c>
      <c r="C1816" s="376" t="s">
        <v>1051</v>
      </c>
      <c r="D1816" s="376">
        <v>2023</v>
      </c>
      <c r="E1816" s="376">
        <v>2031</v>
      </c>
      <c r="F1816" s="376">
        <v>0.40444272241720852</v>
      </c>
      <c r="G1816" s="376">
        <v>8848.5269568257354</v>
      </c>
      <c r="H1816" s="376">
        <v>0.25908039636509639</v>
      </c>
      <c r="I1816" s="376">
        <v>0.85</v>
      </c>
    </row>
    <row r="1817" spans="1:9" x14ac:dyDescent="0.35">
      <c r="A1817" s="376" t="s">
        <v>1613</v>
      </c>
      <c r="B1817" s="376" t="s">
        <v>1609</v>
      </c>
      <c r="C1817" s="376" t="s">
        <v>1054</v>
      </c>
      <c r="D1817" s="376">
        <v>2023</v>
      </c>
      <c r="E1817" s="376">
        <v>2031</v>
      </c>
      <c r="F1817" s="376">
        <v>0.40444272241720852</v>
      </c>
      <c r="G1817" s="376">
        <v>8848.5269568257354</v>
      </c>
      <c r="H1817" s="376">
        <v>0.25908039636509639</v>
      </c>
      <c r="I1817" s="376">
        <v>0.85</v>
      </c>
    </row>
    <row r="1818" spans="1:9" x14ac:dyDescent="0.35">
      <c r="A1818" s="376" t="s">
        <v>1614</v>
      </c>
      <c r="B1818" s="376" t="s">
        <v>1609</v>
      </c>
      <c r="C1818" s="376" t="s">
        <v>1046</v>
      </c>
      <c r="D1818" s="376">
        <v>2023</v>
      </c>
      <c r="E1818" s="376">
        <v>2023</v>
      </c>
      <c r="F1818" s="376">
        <v>0.28070162831646173</v>
      </c>
      <c r="G1818" s="376">
        <v>6454.3984013550207</v>
      </c>
      <c r="H1818" s="376">
        <v>0.25908039636509639</v>
      </c>
      <c r="I1818" s="376">
        <v>0.85</v>
      </c>
    </row>
    <row r="1819" spans="1:9" x14ac:dyDescent="0.35">
      <c r="A1819" s="376" t="s">
        <v>1614</v>
      </c>
      <c r="B1819" s="376" t="s">
        <v>1609</v>
      </c>
      <c r="C1819" s="376" t="s">
        <v>644</v>
      </c>
      <c r="D1819" s="376">
        <v>2023</v>
      </c>
      <c r="E1819" s="376">
        <v>2023</v>
      </c>
      <c r="F1819" s="376">
        <v>0.28070162831646173</v>
      </c>
      <c r="G1819" s="376">
        <v>6454.3984013550207</v>
      </c>
      <c r="H1819" s="376">
        <v>0.25908039636509639</v>
      </c>
      <c r="I1819" s="376">
        <v>0.85</v>
      </c>
    </row>
    <row r="1820" spans="1:9" x14ac:dyDescent="0.35">
      <c r="A1820" s="376" t="s">
        <v>1614</v>
      </c>
      <c r="B1820" s="376" t="s">
        <v>1609</v>
      </c>
      <c r="C1820" s="376" t="s">
        <v>628</v>
      </c>
      <c r="D1820" s="376">
        <v>2023</v>
      </c>
      <c r="E1820" s="376">
        <v>2023</v>
      </c>
      <c r="F1820" s="376">
        <v>0.28070162831646173</v>
      </c>
      <c r="G1820" s="376">
        <v>6454.3984013550207</v>
      </c>
      <c r="H1820" s="376">
        <v>0.25908039636509639</v>
      </c>
      <c r="I1820" s="376">
        <v>0.85</v>
      </c>
    </row>
    <row r="1821" spans="1:9" x14ac:dyDescent="0.35">
      <c r="A1821" s="376" t="s">
        <v>1614</v>
      </c>
      <c r="B1821" s="376" t="s">
        <v>1609</v>
      </c>
      <c r="C1821" s="376" t="s">
        <v>1051</v>
      </c>
      <c r="D1821" s="376">
        <v>2023</v>
      </c>
      <c r="E1821" s="376">
        <v>2023</v>
      </c>
      <c r="F1821" s="376">
        <v>0.28070162831646173</v>
      </c>
      <c r="G1821" s="376">
        <v>6454.3984013550207</v>
      </c>
      <c r="H1821" s="376">
        <v>0.25908039636509639</v>
      </c>
      <c r="I1821" s="376">
        <v>0.85</v>
      </c>
    </row>
    <row r="1822" spans="1:9" x14ac:dyDescent="0.35">
      <c r="A1822" s="376" t="s">
        <v>1614</v>
      </c>
      <c r="B1822" s="376" t="s">
        <v>1609</v>
      </c>
      <c r="C1822" s="376" t="s">
        <v>1054</v>
      </c>
      <c r="D1822" s="376">
        <v>2023</v>
      </c>
      <c r="E1822" s="376">
        <v>2023</v>
      </c>
      <c r="F1822" s="376">
        <v>0.28070162831646173</v>
      </c>
      <c r="G1822" s="376">
        <v>6454.3984013550207</v>
      </c>
      <c r="H1822" s="376">
        <v>0.25908039636509639</v>
      </c>
      <c r="I1822" s="376">
        <v>0.85</v>
      </c>
    </row>
    <row r="1823" spans="1:9" x14ac:dyDescent="0.35">
      <c r="A1823" s="376" t="s">
        <v>1614</v>
      </c>
      <c r="B1823" s="376" t="s">
        <v>1609</v>
      </c>
      <c r="C1823" s="376" t="s">
        <v>1046</v>
      </c>
      <c r="D1823" s="376">
        <v>2023</v>
      </c>
      <c r="E1823" s="376">
        <v>2024</v>
      </c>
      <c r="F1823" s="376">
        <v>0.28070162831646173</v>
      </c>
      <c r="G1823" s="376">
        <v>6454.3984013550207</v>
      </c>
      <c r="H1823" s="376">
        <v>0.25908039636509639</v>
      </c>
      <c r="I1823" s="376">
        <v>0.85</v>
      </c>
    </row>
    <row r="1824" spans="1:9" x14ac:dyDescent="0.35">
      <c r="A1824" s="376" t="s">
        <v>1614</v>
      </c>
      <c r="B1824" s="376" t="s">
        <v>1609</v>
      </c>
      <c r="C1824" s="376" t="s">
        <v>644</v>
      </c>
      <c r="D1824" s="376">
        <v>2023</v>
      </c>
      <c r="E1824" s="376">
        <v>2024</v>
      </c>
      <c r="F1824" s="376">
        <v>0.28070162831646173</v>
      </c>
      <c r="G1824" s="376">
        <v>6454.3984013550207</v>
      </c>
      <c r="H1824" s="376">
        <v>0.25908039636509639</v>
      </c>
      <c r="I1824" s="376">
        <v>0.85</v>
      </c>
    </row>
    <row r="1825" spans="1:9" x14ac:dyDescent="0.35">
      <c r="A1825" s="376" t="s">
        <v>1614</v>
      </c>
      <c r="B1825" s="376" t="s">
        <v>1609</v>
      </c>
      <c r="C1825" s="376" t="s">
        <v>628</v>
      </c>
      <c r="D1825" s="376">
        <v>2023</v>
      </c>
      <c r="E1825" s="376">
        <v>2024</v>
      </c>
      <c r="F1825" s="376">
        <v>0.28070162831646173</v>
      </c>
      <c r="G1825" s="376">
        <v>6454.3984013550207</v>
      </c>
      <c r="H1825" s="376">
        <v>0.25908039636509639</v>
      </c>
      <c r="I1825" s="376">
        <v>0.85</v>
      </c>
    </row>
    <row r="1826" spans="1:9" x14ac:dyDescent="0.35">
      <c r="A1826" s="376" t="s">
        <v>1614</v>
      </c>
      <c r="B1826" s="376" t="s">
        <v>1609</v>
      </c>
      <c r="C1826" s="376" t="s">
        <v>1051</v>
      </c>
      <c r="D1826" s="376">
        <v>2023</v>
      </c>
      <c r="E1826" s="376">
        <v>2024</v>
      </c>
      <c r="F1826" s="376">
        <v>0.28070162831646173</v>
      </c>
      <c r="G1826" s="376">
        <v>6454.3984013550207</v>
      </c>
      <c r="H1826" s="376">
        <v>0.25908039636509639</v>
      </c>
      <c r="I1826" s="376">
        <v>0.85</v>
      </c>
    </row>
    <row r="1827" spans="1:9" x14ac:dyDescent="0.35">
      <c r="A1827" s="376" t="s">
        <v>1614</v>
      </c>
      <c r="B1827" s="376" t="s">
        <v>1609</v>
      </c>
      <c r="C1827" s="376" t="s">
        <v>1054</v>
      </c>
      <c r="D1827" s="376">
        <v>2023</v>
      </c>
      <c r="E1827" s="376">
        <v>2024</v>
      </c>
      <c r="F1827" s="376">
        <v>0.28070162831646173</v>
      </c>
      <c r="G1827" s="376">
        <v>6454.3984013550207</v>
      </c>
      <c r="H1827" s="376">
        <v>0.25908039636509639</v>
      </c>
      <c r="I1827" s="376">
        <v>0.85</v>
      </c>
    </row>
    <row r="1828" spans="1:9" x14ac:dyDescent="0.35">
      <c r="A1828" s="376" t="s">
        <v>1614</v>
      </c>
      <c r="B1828" s="376" t="s">
        <v>1609</v>
      </c>
      <c r="C1828" s="376" t="s">
        <v>1046</v>
      </c>
      <c r="D1828" s="376">
        <v>2023</v>
      </c>
      <c r="E1828" s="376">
        <v>2025</v>
      </c>
      <c r="F1828" s="376">
        <v>0.28070162831646173</v>
      </c>
      <c r="G1828" s="376">
        <v>6454.3984013550207</v>
      </c>
      <c r="H1828" s="376">
        <v>0.25908039636509639</v>
      </c>
      <c r="I1828" s="376">
        <v>0.85</v>
      </c>
    </row>
    <row r="1829" spans="1:9" x14ac:dyDescent="0.35">
      <c r="A1829" s="376" t="s">
        <v>1614</v>
      </c>
      <c r="B1829" s="376" t="s">
        <v>1609</v>
      </c>
      <c r="C1829" s="376" t="s">
        <v>644</v>
      </c>
      <c r="D1829" s="376">
        <v>2023</v>
      </c>
      <c r="E1829" s="376">
        <v>2025</v>
      </c>
      <c r="F1829" s="376">
        <v>0.28070162831646173</v>
      </c>
      <c r="G1829" s="376">
        <v>6454.3984013550207</v>
      </c>
      <c r="H1829" s="376">
        <v>0.25908039636509639</v>
      </c>
      <c r="I1829" s="376">
        <v>0.85</v>
      </c>
    </row>
    <row r="1830" spans="1:9" x14ac:dyDescent="0.35">
      <c r="A1830" s="376" t="s">
        <v>1614</v>
      </c>
      <c r="B1830" s="376" t="s">
        <v>1609</v>
      </c>
      <c r="C1830" s="376" t="s">
        <v>628</v>
      </c>
      <c r="D1830" s="376">
        <v>2023</v>
      </c>
      <c r="E1830" s="376">
        <v>2025</v>
      </c>
      <c r="F1830" s="376">
        <v>0.28070162831646173</v>
      </c>
      <c r="G1830" s="376">
        <v>6454.3984013550207</v>
      </c>
      <c r="H1830" s="376">
        <v>0.25908039636509639</v>
      </c>
      <c r="I1830" s="376">
        <v>0.85</v>
      </c>
    </row>
    <row r="1831" spans="1:9" x14ac:dyDescent="0.35">
      <c r="A1831" s="376" t="s">
        <v>1614</v>
      </c>
      <c r="B1831" s="376" t="s">
        <v>1609</v>
      </c>
      <c r="C1831" s="376" t="s">
        <v>1051</v>
      </c>
      <c r="D1831" s="376">
        <v>2023</v>
      </c>
      <c r="E1831" s="376">
        <v>2025</v>
      </c>
      <c r="F1831" s="376">
        <v>0.28070162831646173</v>
      </c>
      <c r="G1831" s="376">
        <v>6454.3984013550207</v>
      </c>
      <c r="H1831" s="376">
        <v>0.25908039636509639</v>
      </c>
      <c r="I1831" s="376">
        <v>0.85</v>
      </c>
    </row>
    <row r="1832" spans="1:9" x14ac:dyDescent="0.35">
      <c r="A1832" s="376" t="s">
        <v>1614</v>
      </c>
      <c r="B1832" s="376" t="s">
        <v>1609</v>
      </c>
      <c r="C1832" s="376" t="s">
        <v>1054</v>
      </c>
      <c r="D1832" s="376">
        <v>2023</v>
      </c>
      <c r="E1832" s="376">
        <v>2025</v>
      </c>
      <c r="F1832" s="376">
        <v>0.28070162831646173</v>
      </c>
      <c r="G1832" s="376">
        <v>6454.3984013550207</v>
      </c>
      <c r="H1832" s="376">
        <v>0.25908039636509639</v>
      </c>
      <c r="I1832" s="376">
        <v>0.85</v>
      </c>
    </row>
    <row r="1833" spans="1:9" x14ac:dyDescent="0.35">
      <c r="A1833" s="376" t="s">
        <v>1614</v>
      </c>
      <c r="B1833" s="376" t="s">
        <v>1609</v>
      </c>
      <c r="C1833" s="376" t="s">
        <v>1046</v>
      </c>
      <c r="D1833" s="376">
        <v>2023</v>
      </c>
      <c r="E1833" s="376">
        <v>2026</v>
      </c>
      <c r="F1833" s="376">
        <v>0.28070162831646173</v>
      </c>
      <c r="G1833" s="376">
        <v>6454.3984013550207</v>
      </c>
      <c r="H1833" s="376">
        <v>0.25908039636509639</v>
      </c>
      <c r="I1833" s="376">
        <v>0.85</v>
      </c>
    </row>
    <row r="1834" spans="1:9" x14ac:dyDescent="0.35">
      <c r="A1834" s="376" t="s">
        <v>1614</v>
      </c>
      <c r="B1834" s="376" t="s">
        <v>1609</v>
      </c>
      <c r="C1834" s="376" t="s">
        <v>644</v>
      </c>
      <c r="D1834" s="376">
        <v>2023</v>
      </c>
      <c r="E1834" s="376">
        <v>2026</v>
      </c>
      <c r="F1834" s="376">
        <v>0.28070162831646173</v>
      </c>
      <c r="G1834" s="376">
        <v>6454.3984013550207</v>
      </c>
      <c r="H1834" s="376">
        <v>0.25908039636509639</v>
      </c>
      <c r="I1834" s="376">
        <v>0.85</v>
      </c>
    </row>
    <row r="1835" spans="1:9" x14ac:dyDescent="0.35">
      <c r="A1835" s="376" t="s">
        <v>1614</v>
      </c>
      <c r="B1835" s="376" t="s">
        <v>1609</v>
      </c>
      <c r="C1835" s="376" t="s">
        <v>628</v>
      </c>
      <c r="D1835" s="376">
        <v>2023</v>
      </c>
      <c r="E1835" s="376">
        <v>2026</v>
      </c>
      <c r="F1835" s="376">
        <v>0.28070162831646173</v>
      </c>
      <c r="G1835" s="376">
        <v>6454.3984013550207</v>
      </c>
      <c r="H1835" s="376">
        <v>0.25908039636509639</v>
      </c>
      <c r="I1835" s="376">
        <v>0.85</v>
      </c>
    </row>
    <row r="1836" spans="1:9" x14ac:dyDescent="0.35">
      <c r="A1836" s="376" t="s">
        <v>1614</v>
      </c>
      <c r="B1836" s="376" t="s">
        <v>1609</v>
      </c>
      <c r="C1836" s="376" t="s">
        <v>1051</v>
      </c>
      <c r="D1836" s="376">
        <v>2023</v>
      </c>
      <c r="E1836" s="376">
        <v>2026</v>
      </c>
      <c r="F1836" s="376">
        <v>0.28070162831646173</v>
      </c>
      <c r="G1836" s="376">
        <v>6454.3984013550207</v>
      </c>
      <c r="H1836" s="376">
        <v>0.25908039636509639</v>
      </c>
      <c r="I1836" s="376">
        <v>0.85</v>
      </c>
    </row>
    <row r="1837" spans="1:9" x14ac:dyDescent="0.35">
      <c r="A1837" s="376" t="s">
        <v>1614</v>
      </c>
      <c r="B1837" s="376" t="s">
        <v>1609</v>
      </c>
      <c r="C1837" s="376" t="s">
        <v>1054</v>
      </c>
      <c r="D1837" s="376">
        <v>2023</v>
      </c>
      <c r="E1837" s="376">
        <v>2026</v>
      </c>
      <c r="F1837" s="376">
        <v>0.28070162831646173</v>
      </c>
      <c r="G1837" s="376">
        <v>6454.3984013550207</v>
      </c>
      <c r="H1837" s="376">
        <v>0.25908039636509639</v>
      </c>
      <c r="I1837" s="376">
        <v>0.85</v>
      </c>
    </row>
    <row r="1838" spans="1:9" x14ac:dyDescent="0.35">
      <c r="A1838" s="376" t="s">
        <v>1614</v>
      </c>
      <c r="B1838" s="376" t="s">
        <v>1609</v>
      </c>
      <c r="C1838" s="376" t="s">
        <v>1046</v>
      </c>
      <c r="D1838" s="376">
        <v>2023</v>
      </c>
      <c r="E1838" s="376">
        <v>2027</v>
      </c>
      <c r="F1838" s="376">
        <v>0.28070162831646173</v>
      </c>
      <c r="G1838" s="376">
        <v>6454.3984013550207</v>
      </c>
      <c r="H1838" s="376">
        <v>0.25908039636509639</v>
      </c>
      <c r="I1838" s="376">
        <v>0.85</v>
      </c>
    </row>
    <row r="1839" spans="1:9" x14ac:dyDescent="0.35">
      <c r="A1839" s="376" t="s">
        <v>1614</v>
      </c>
      <c r="B1839" s="376" t="s">
        <v>1609</v>
      </c>
      <c r="C1839" s="376" t="s">
        <v>644</v>
      </c>
      <c r="D1839" s="376">
        <v>2023</v>
      </c>
      <c r="E1839" s="376">
        <v>2027</v>
      </c>
      <c r="F1839" s="376">
        <v>0.28070162831646173</v>
      </c>
      <c r="G1839" s="376">
        <v>6454.3984013550207</v>
      </c>
      <c r="H1839" s="376">
        <v>0.25908039636509639</v>
      </c>
      <c r="I1839" s="376">
        <v>0.85</v>
      </c>
    </row>
    <row r="1840" spans="1:9" x14ac:dyDescent="0.35">
      <c r="A1840" s="376" t="s">
        <v>1614</v>
      </c>
      <c r="B1840" s="376" t="s">
        <v>1609</v>
      </c>
      <c r="C1840" s="376" t="s">
        <v>628</v>
      </c>
      <c r="D1840" s="376">
        <v>2023</v>
      </c>
      <c r="E1840" s="376">
        <v>2027</v>
      </c>
      <c r="F1840" s="376">
        <v>0.28070162831646173</v>
      </c>
      <c r="G1840" s="376">
        <v>6454.3984013550207</v>
      </c>
      <c r="H1840" s="376">
        <v>0.25908039636509639</v>
      </c>
      <c r="I1840" s="376">
        <v>0.85</v>
      </c>
    </row>
    <row r="1841" spans="1:9" x14ac:dyDescent="0.35">
      <c r="A1841" s="376" t="s">
        <v>1614</v>
      </c>
      <c r="B1841" s="376" t="s">
        <v>1609</v>
      </c>
      <c r="C1841" s="376" t="s">
        <v>1051</v>
      </c>
      <c r="D1841" s="376">
        <v>2023</v>
      </c>
      <c r="E1841" s="376">
        <v>2027</v>
      </c>
      <c r="F1841" s="376">
        <v>0.28070162831646173</v>
      </c>
      <c r="G1841" s="376">
        <v>6454.3984013550207</v>
      </c>
      <c r="H1841" s="376">
        <v>0.25908039636509639</v>
      </c>
      <c r="I1841" s="376">
        <v>0.85</v>
      </c>
    </row>
    <row r="1842" spans="1:9" x14ac:dyDescent="0.35">
      <c r="A1842" s="376" t="s">
        <v>1614</v>
      </c>
      <c r="B1842" s="376" t="s">
        <v>1609</v>
      </c>
      <c r="C1842" s="376" t="s">
        <v>1054</v>
      </c>
      <c r="D1842" s="376">
        <v>2023</v>
      </c>
      <c r="E1842" s="376">
        <v>2027</v>
      </c>
      <c r="F1842" s="376">
        <v>0.28070162831646173</v>
      </c>
      <c r="G1842" s="376">
        <v>6454.3984013550207</v>
      </c>
      <c r="H1842" s="376">
        <v>0.25908039636509639</v>
      </c>
      <c r="I1842" s="376">
        <v>0.85</v>
      </c>
    </row>
    <row r="1843" spans="1:9" x14ac:dyDescent="0.35">
      <c r="A1843" s="376" t="s">
        <v>1614</v>
      </c>
      <c r="B1843" s="376" t="s">
        <v>1609</v>
      </c>
      <c r="C1843" s="376" t="s">
        <v>1046</v>
      </c>
      <c r="D1843" s="376">
        <v>2023</v>
      </c>
      <c r="E1843" s="376">
        <v>2028</v>
      </c>
      <c r="F1843" s="376">
        <v>0.28070162831646173</v>
      </c>
      <c r="G1843" s="376">
        <v>6454.3984013550207</v>
      </c>
      <c r="H1843" s="376">
        <v>0.25908039636509639</v>
      </c>
      <c r="I1843" s="376">
        <v>0.85</v>
      </c>
    </row>
    <row r="1844" spans="1:9" x14ac:dyDescent="0.35">
      <c r="A1844" s="376" t="s">
        <v>1614</v>
      </c>
      <c r="B1844" s="376" t="s">
        <v>1609</v>
      </c>
      <c r="C1844" s="376" t="s">
        <v>644</v>
      </c>
      <c r="D1844" s="376">
        <v>2023</v>
      </c>
      <c r="E1844" s="376">
        <v>2028</v>
      </c>
      <c r="F1844" s="376">
        <v>0.28070162831646173</v>
      </c>
      <c r="G1844" s="376">
        <v>6454.3984013550207</v>
      </c>
      <c r="H1844" s="376">
        <v>0.25908039636509639</v>
      </c>
      <c r="I1844" s="376">
        <v>0.85</v>
      </c>
    </row>
    <row r="1845" spans="1:9" x14ac:dyDescent="0.35">
      <c r="A1845" s="376" t="s">
        <v>1614</v>
      </c>
      <c r="B1845" s="376" t="s">
        <v>1609</v>
      </c>
      <c r="C1845" s="376" t="s">
        <v>628</v>
      </c>
      <c r="D1845" s="376">
        <v>2023</v>
      </c>
      <c r="E1845" s="376">
        <v>2028</v>
      </c>
      <c r="F1845" s="376">
        <v>0.28070162831646173</v>
      </c>
      <c r="G1845" s="376">
        <v>6454.3984013550207</v>
      </c>
      <c r="H1845" s="376">
        <v>0.25908039636509639</v>
      </c>
      <c r="I1845" s="376">
        <v>0.85</v>
      </c>
    </row>
    <row r="1846" spans="1:9" x14ac:dyDescent="0.35">
      <c r="A1846" s="376" t="s">
        <v>1614</v>
      </c>
      <c r="B1846" s="376" t="s">
        <v>1609</v>
      </c>
      <c r="C1846" s="376" t="s">
        <v>1051</v>
      </c>
      <c r="D1846" s="376">
        <v>2023</v>
      </c>
      <c r="E1846" s="376">
        <v>2028</v>
      </c>
      <c r="F1846" s="376">
        <v>0.28070162831646173</v>
      </c>
      <c r="G1846" s="376">
        <v>6454.3984013550207</v>
      </c>
      <c r="H1846" s="376">
        <v>0.25908039636509639</v>
      </c>
      <c r="I1846" s="376">
        <v>0.85</v>
      </c>
    </row>
    <row r="1847" spans="1:9" x14ac:dyDescent="0.35">
      <c r="A1847" s="376" t="s">
        <v>1614</v>
      </c>
      <c r="B1847" s="376" t="s">
        <v>1609</v>
      </c>
      <c r="C1847" s="376" t="s">
        <v>1054</v>
      </c>
      <c r="D1847" s="376">
        <v>2023</v>
      </c>
      <c r="E1847" s="376">
        <v>2028</v>
      </c>
      <c r="F1847" s="376">
        <v>0.28070162831646173</v>
      </c>
      <c r="G1847" s="376">
        <v>6454.3984013550207</v>
      </c>
      <c r="H1847" s="376">
        <v>0.25908039636509639</v>
      </c>
      <c r="I1847" s="376">
        <v>0.85</v>
      </c>
    </row>
    <row r="1848" spans="1:9" x14ac:dyDescent="0.35">
      <c r="A1848" s="376" t="s">
        <v>1614</v>
      </c>
      <c r="B1848" s="376" t="s">
        <v>1609</v>
      </c>
      <c r="C1848" s="376" t="s">
        <v>1046</v>
      </c>
      <c r="D1848" s="376">
        <v>2023</v>
      </c>
      <c r="E1848" s="376">
        <v>2029</v>
      </c>
      <c r="F1848" s="376">
        <v>0.28070162831646173</v>
      </c>
      <c r="G1848" s="376">
        <v>6454.3984013550207</v>
      </c>
      <c r="H1848" s="376">
        <v>0.25908039636509639</v>
      </c>
      <c r="I1848" s="376">
        <v>0.85</v>
      </c>
    </row>
    <row r="1849" spans="1:9" x14ac:dyDescent="0.35">
      <c r="A1849" s="376" t="s">
        <v>1614</v>
      </c>
      <c r="B1849" s="376" t="s">
        <v>1609</v>
      </c>
      <c r="C1849" s="376" t="s">
        <v>644</v>
      </c>
      <c r="D1849" s="376">
        <v>2023</v>
      </c>
      <c r="E1849" s="376">
        <v>2029</v>
      </c>
      <c r="F1849" s="376">
        <v>0.28070162831646173</v>
      </c>
      <c r="G1849" s="376">
        <v>6454.3984013550207</v>
      </c>
      <c r="H1849" s="376">
        <v>0.25908039636509639</v>
      </c>
      <c r="I1849" s="376">
        <v>0.85</v>
      </c>
    </row>
    <row r="1850" spans="1:9" x14ac:dyDescent="0.35">
      <c r="A1850" s="376" t="s">
        <v>1614</v>
      </c>
      <c r="B1850" s="376" t="s">
        <v>1609</v>
      </c>
      <c r="C1850" s="376" t="s">
        <v>628</v>
      </c>
      <c r="D1850" s="376">
        <v>2023</v>
      </c>
      <c r="E1850" s="376">
        <v>2029</v>
      </c>
      <c r="F1850" s="376">
        <v>0.28070162831646173</v>
      </c>
      <c r="G1850" s="376">
        <v>6454.3984013550207</v>
      </c>
      <c r="H1850" s="376">
        <v>0.25908039636509639</v>
      </c>
      <c r="I1850" s="376">
        <v>0.85</v>
      </c>
    </row>
    <row r="1851" spans="1:9" x14ac:dyDescent="0.35">
      <c r="A1851" s="376" t="s">
        <v>1614</v>
      </c>
      <c r="B1851" s="376" t="s">
        <v>1609</v>
      </c>
      <c r="C1851" s="376" t="s">
        <v>1051</v>
      </c>
      <c r="D1851" s="376">
        <v>2023</v>
      </c>
      <c r="E1851" s="376">
        <v>2029</v>
      </c>
      <c r="F1851" s="376">
        <v>0.28070162831646173</v>
      </c>
      <c r="G1851" s="376">
        <v>6454.3984013550207</v>
      </c>
      <c r="H1851" s="376">
        <v>0.25908039636509639</v>
      </c>
      <c r="I1851" s="376">
        <v>0.85</v>
      </c>
    </row>
    <row r="1852" spans="1:9" x14ac:dyDescent="0.35">
      <c r="A1852" s="376" t="s">
        <v>1614</v>
      </c>
      <c r="B1852" s="376" t="s">
        <v>1609</v>
      </c>
      <c r="C1852" s="376" t="s">
        <v>1054</v>
      </c>
      <c r="D1852" s="376">
        <v>2023</v>
      </c>
      <c r="E1852" s="376">
        <v>2029</v>
      </c>
      <c r="F1852" s="376">
        <v>0.28070162831646173</v>
      </c>
      <c r="G1852" s="376">
        <v>6454.3984013550207</v>
      </c>
      <c r="H1852" s="376">
        <v>0.25908039636509639</v>
      </c>
      <c r="I1852" s="376">
        <v>0.85</v>
      </c>
    </row>
    <row r="1853" spans="1:9" x14ac:dyDescent="0.35">
      <c r="A1853" s="376" t="s">
        <v>1614</v>
      </c>
      <c r="B1853" s="376" t="s">
        <v>1609</v>
      </c>
      <c r="C1853" s="376" t="s">
        <v>1046</v>
      </c>
      <c r="D1853" s="376">
        <v>2023</v>
      </c>
      <c r="E1853" s="376">
        <v>2030</v>
      </c>
      <c r="F1853" s="376">
        <v>0.28070162831646173</v>
      </c>
      <c r="G1853" s="376">
        <v>6454.3984013550207</v>
      </c>
      <c r="H1853" s="376">
        <v>0.25908039636509639</v>
      </c>
      <c r="I1853" s="376">
        <v>0.85</v>
      </c>
    </row>
    <row r="1854" spans="1:9" x14ac:dyDescent="0.35">
      <c r="A1854" s="376" t="s">
        <v>1614</v>
      </c>
      <c r="B1854" s="376" t="s">
        <v>1609</v>
      </c>
      <c r="C1854" s="376" t="s">
        <v>644</v>
      </c>
      <c r="D1854" s="376">
        <v>2023</v>
      </c>
      <c r="E1854" s="376">
        <v>2030</v>
      </c>
      <c r="F1854" s="376">
        <v>0.28070162831646173</v>
      </c>
      <c r="G1854" s="376">
        <v>6454.3984013550207</v>
      </c>
      <c r="H1854" s="376">
        <v>0.25908039636509639</v>
      </c>
      <c r="I1854" s="376">
        <v>0.85</v>
      </c>
    </row>
    <row r="1855" spans="1:9" x14ac:dyDescent="0.35">
      <c r="A1855" s="376" t="s">
        <v>1614</v>
      </c>
      <c r="B1855" s="376" t="s">
        <v>1609</v>
      </c>
      <c r="C1855" s="376" t="s">
        <v>628</v>
      </c>
      <c r="D1855" s="376">
        <v>2023</v>
      </c>
      <c r="E1855" s="376">
        <v>2030</v>
      </c>
      <c r="F1855" s="376">
        <v>0.28070162831646173</v>
      </c>
      <c r="G1855" s="376">
        <v>6454.3984013550207</v>
      </c>
      <c r="H1855" s="376">
        <v>0.25908039636509639</v>
      </c>
      <c r="I1855" s="376">
        <v>0.85</v>
      </c>
    </row>
    <row r="1856" spans="1:9" x14ac:dyDescent="0.35">
      <c r="A1856" s="376" t="s">
        <v>1614</v>
      </c>
      <c r="B1856" s="376" t="s">
        <v>1609</v>
      </c>
      <c r="C1856" s="376" t="s">
        <v>1051</v>
      </c>
      <c r="D1856" s="376">
        <v>2023</v>
      </c>
      <c r="E1856" s="376">
        <v>2030</v>
      </c>
      <c r="F1856" s="376">
        <v>0.28070162831646173</v>
      </c>
      <c r="G1856" s="376">
        <v>6454.3984013550207</v>
      </c>
      <c r="H1856" s="376">
        <v>0.25908039636509639</v>
      </c>
      <c r="I1856" s="376">
        <v>0.85</v>
      </c>
    </row>
    <row r="1857" spans="1:9" x14ac:dyDescent="0.35">
      <c r="A1857" s="376" t="s">
        <v>1614</v>
      </c>
      <c r="B1857" s="376" t="s">
        <v>1609</v>
      </c>
      <c r="C1857" s="376" t="s">
        <v>1054</v>
      </c>
      <c r="D1857" s="376">
        <v>2023</v>
      </c>
      <c r="E1857" s="376">
        <v>2030</v>
      </c>
      <c r="F1857" s="376">
        <v>0.28070162831646173</v>
      </c>
      <c r="G1857" s="376">
        <v>6454.3984013550207</v>
      </c>
      <c r="H1857" s="376">
        <v>0.25908039636509639</v>
      </c>
      <c r="I1857" s="376">
        <v>0.85</v>
      </c>
    </row>
    <row r="1858" spans="1:9" x14ac:dyDescent="0.35">
      <c r="A1858" s="376" t="s">
        <v>1614</v>
      </c>
      <c r="B1858" s="376" t="s">
        <v>1609</v>
      </c>
      <c r="C1858" s="376" t="s">
        <v>1046</v>
      </c>
      <c r="D1858" s="376">
        <v>2023</v>
      </c>
      <c r="E1858" s="376">
        <v>2031</v>
      </c>
      <c r="F1858" s="376">
        <v>0.28070162831646173</v>
      </c>
      <c r="G1858" s="376">
        <v>6454.3984013550207</v>
      </c>
      <c r="H1858" s="376">
        <v>0.25908039636509639</v>
      </c>
      <c r="I1858" s="376">
        <v>0.85</v>
      </c>
    </row>
    <row r="1859" spans="1:9" x14ac:dyDescent="0.35">
      <c r="A1859" s="376" t="s">
        <v>1614</v>
      </c>
      <c r="B1859" s="376" t="s">
        <v>1609</v>
      </c>
      <c r="C1859" s="376" t="s">
        <v>644</v>
      </c>
      <c r="D1859" s="376">
        <v>2023</v>
      </c>
      <c r="E1859" s="376">
        <v>2031</v>
      </c>
      <c r="F1859" s="376">
        <v>0.28070162831646173</v>
      </c>
      <c r="G1859" s="376">
        <v>6454.3984013550207</v>
      </c>
      <c r="H1859" s="376">
        <v>0.25908039636509639</v>
      </c>
      <c r="I1859" s="376">
        <v>0.85</v>
      </c>
    </row>
    <row r="1860" spans="1:9" x14ac:dyDescent="0.35">
      <c r="A1860" s="376" t="s">
        <v>1614</v>
      </c>
      <c r="B1860" s="376" t="s">
        <v>1609</v>
      </c>
      <c r="C1860" s="376" t="s">
        <v>628</v>
      </c>
      <c r="D1860" s="376">
        <v>2023</v>
      </c>
      <c r="E1860" s="376">
        <v>2031</v>
      </c>
      <c r="F1860" s="376">
        <v>0.28070162831646173</v>
      </c>
      <c r="G1860" s="376">
        <v>6454.3984013550207</v>
      </c>
      <c r="H1860" s="376">
        <v>0.25908039636509639</v>
      </c>
      <c r="I1860" s="376">
        <v>0.85</v>
      </c>
    </row>
    <row r="1861" spans="1:9" x14ac:dyDescent="0.35">
      <c r="A1861" s="376" t="s">
        <v>1614</v>
      </c>
      <c r="B1861" s="376" t="s">
        <v>1609</v>
      </c>
      <c r="C1861" s="376" t="s">
        <v>1051</v>
      </c>
      <c r="D1861" s="376">
        <v>2023</v>
      </c>
      <c r="E1861" s="376">
        <v>2031</v>
      </c>
      <c r="F1861" s="376">
        <v>0.28070162831646173</v>
      </c>
      <c r="G1861" s="376">
        <v>6454.3984013550207</v>
      </c>
      <c r="H1861" s="376">
        <v>0.25908039636509639</v>
      </c>
      <c r="I1861" s="376">
        <v>0.85</v>
      </c>
    </row>
    <row r="1862" spans="1:9" x14ac:dyDescent="0.35">
      <c r="A1862" s="376" t="s">
        <v>1614</v>
      </c>
      <c r="B1862" s="376" t="s">
        <v>1609</v>
      </c>
      <c r="C1862" s="376" t="s">
        <v>1054</v>
      </c>
      <c r="D1862" s="376">
        <v>2023</v>
      </c>
      <c r="E1862" s="376">
        <v>2031</v>
      </c>
      <c r="F1862" s="376">
        <v>0.28070162831646173</v>
      </c>
      <c r="G1862" s="376">
        <v>6454.3984013550207</v>
      </c>
      <c r="H1862" s="376">
        <v>0.25908039636509639</v>
      </c>
      <c r="I1862" s="376">
        <v>0.85</v>
      </c>
    </row>
    <row r="1863" spans="1:9" x14ac:dyDescent="0.35">
      <c r="A1863" s="376" t="s">
        <v>1604</v>
      </c>
      <c r="B1863" s="376" t="s">
        <v>1609</v>
      </c>
      <c r="C1863" s="376" t="s">
        <v>1046</v>
      </c>
      <c r="D1863" s="376">
        <v>2023</v>
      </c>
      <c r="E1863" s="376">
        <v>2023</v>
      </c>
      <c r="F1863" s="376">
        <v>1</v>
      </c>
      <c r="G1863" s="376">
        <v>10872.741503138899</v>
      </c>
      <c r="H1863" s="376">
        <v>0</v>
      </c>
      <c r="I1863" s="376">
        <v>1</v>
      </c>
    </row>
    <row r="1864" spans="1:9" x14ac:dyDescent="0.35">
      <c r="A1864" s="376" t="s">
        <v>1604</v>
      </c>
      <c r="B1864" s="376" t="s">
        <v>1609</v>
      </c>
      <c r="C1864" s="376" t="s">
        <v>644</v>
      </c>
      <c r="D1864" s="376">
        <v>2023</v>
      </c>
      <c r="E1864" s="376">
        <v>2023</v>
      </c>
      <c r="F1864" s="376">
        <v>1</v>
      </c>
      <c r="G1864" s="376">
        <v>10872.741503138899</v>
      </c>
      <c r="H1864" s="376">
        <v>0</v>
      </c>
      <c r="I1864" s="376">
        <v>1</v>
      </c>
    </row>
    <row r="1865" spans="1:9" x14ac:dyDescent="0.35">
      <c r="A1865" s="376" t="s">
        <v>1604</v>
      </c>
      <c r="B1865" s="376" t="s">
        <v>1609</v>
      </c>
      <c r="C1865" s="376" t="s">
        <v>628</v>
      </c>
      <c r="D1865" s="376">
        <v>2023</v>
      </c>
      <c r="E1865" s="376">
        <v>2023</v>
      </c>
      <c r="F1865" s="376">
        <v>1</v>
      </c>
      <c r="G1865" s="376">
        <v>10872.741503138899</v>
      </c>
      <c r="H1865" s="376">
        <v>0</v>
      </c>
      <c r="I1865" s="376">
        <v>1</v>
      </c>
    </row>
    <row r="1866" spans="1:9" x14ac:dyDescent="0.35">
      <c r="A1866" s="376" t="s">
        <v>1604</v>
      </c>
      <c r="B1866" s="376" t="s">
        <v>1609</v>
      </c>
      <c r="C1866" s="376" t="s">
        <v>1051</v>
      </c>
      <c r="D1866" s="376">
        <v>2023</v>
      </c>
      <c r="E1866" s="376">
        <v>2023</v>
      </c>
      <c r="F1866" s="376">
        <v>1</v>
      </c>
      <c r="G1866" s="376">
        <v>10872.741503138899</v>
      </c>
      <c r="H1866" s="376">
        <v>0</v>
      </c>
      <c r="I1866" s="376">
        <v>1</v>
      </c>
    </row>
    <row r="1867" spans="1:9" x14ac:dyDescent="0.35">
      <c r="A1867" s="376" t="s">
        <v>1604</v>
      </c>
      <c r="B1867" s="376" t="s">
        <v>1609</v>
      </c>
      <c r="C1867" s="376" t="s">
        <v>1054</v>
      </c>
      <c r="D1867" s="376">
        <v>2023</v>
      </c>
      <c r="E1867" s="376">
        <v>2023</v>
      </c>
      <c r="F1867" s="376">
        <v>1</v>
      </c>
      <c r="G1867" s="376">
        <v>10872.741503138899</v>
      </c>
      <c r="H1867" s="376">
        <v>0</v>
      </c>
      <c r="I1867" s="376">
        <v>1</v>
      </c>
    </row>
    <row r="1868" spans="1:9" x14ac:dyDescent="0.35">
      <c r="A1868" s="376" t="s">
        <v>1604</v>
      </c>
      <c r="B1868" s="376" t="s">
        <v>1609</v>
      </c>
      <c r="C1868" s="376" t="s">
        <v>1046</v>
      </c>
      <c r="D1868" s="376">
        <v>2023</v>
      </c>
      <c r="E1868" s="376">
        <v>2024</v>
      </c>
      <c r="F1868" s="376">
        <v>1</v>
      </c>
      <c r="G1868" s="376">
        <v>10872.741503138899</v>
      </c>
      <c r="H1868" s="376">
        <v>0</v>
      </c>
      <c r="I1868" s="376">
        <v>1</v>
      </c>
    </row>
    <row r="1869" spans="1:9" x14ac:dyDescent="0.35">
      <c r="A1869" s="376" t="s">
        <v>1604</v>
      </c>
      <c r="B1869" s="376" t="s">
        <v>1609</v>
      </c>
      <c r="C1869" s="376" t="s">
        <v>644</v>
      </c>
      <c r="D1869" s="376">
        <v>2023</v>
      </c>
      <c r="E1869" s="376">
        <v>2024</v>
      </c>
      <c r="F1869" s="376">
        <v>1</v>
      </c>
      <c r="G1869" s="376">
        <v>10872.741503138899</v>
      </c>
      <c r="H1869" s="376">
        <v>0</v>
      </c>
      <c r="I1869" s="376">
        <v>1</v>
      </c>
    </row>
    <row r="1870" spans="1:9" x14ac:dyDescent="0.35">
      <c r="A1870" s="376" t="s">
        <v>1604</v>
      </c>
      <c r="B1870" s="376" t="s">
        <v>1609</v>
      </c>
      <c r="C1870" s="376" t="s">
        <v>628</v>
      </c>
      <c r="D1870" s="376">
        <v>2023</v>
      </c>
      <c r="E1870" s="376">
        <v>2024</v>
      </c>
      <c r="F1870" s="376">
        <v>1</v>
      </c>
      <c r="G1870" s="376">
        <v>10872.741503138899</v>
      </c>
      <c r="H1870" s="376">
        <v>0</v>
      </c>
      <c r="I1870" s="376">
        <v>1</v>
      </c>
    </row>
    <row r="1871" spans="1:9" x14ac:dyDescent="0.35">
      <c r="A1871" s="376" t="s">
        <v>1604</v>
      </c>
      <c r="B1871" s="376" t="s">
        <v>1609</v>
      </c>
      <c r="C1871" s="376" t="s">
        <v>1051</v>
      </c>
      <c r="D1871" s="376">
        <v>2023</v>
      </c>
      <c r="E1871" s="376">
        <v>2024</v>
      </c>
      <c r="F1871" s="376">
        <v>1</v>
      </c>
      <c r="G1871" s="376">
        <v>10872.741503138899</v>
      </c>
      <c r="H1871" s="376">
        <v>0</v>
      </c>
      <c r="I1871" s="376">
        <v>1</v>
      </c>
    </row>
    <row r="1872" spans="1:9" x14ac:dyDescent="0.35">
      <c r="A1872" s="376" t="s">
        <v>1604</v>
      </c>
      <c r="B1872" s="376" t="s">
        <v>1609</v>
      </c>
      <c r="C1872" s="376" t="s">
        <v>1054</v>
      </c>
      <c r="D1872" s="376">
        <v>2023</v>
      </c>
      <c r="E1872" s="376">
        <v>2024</v>
      </c>
      <c r="F1872" s="376">
        <v>1</v>
      </c>
      <c r="G1872" s="376">
        <v>10872.741503138899</v>
      </c>
      <c r="H1872" s="376">
        <v>0</v>
      </c>
      <c r="I1872" s="376">
        <v>1</v>
      </c>
    </row>
    <row r="1873" spans="1:9" x14ac:dyDescent="0.35">
      <c r="A1873" s="376" t="s">
        <v>1604</v>
      </c>
      <c r="B1873" s="376" t="s">
        <v>1609</v>
      </c>
      <c r="C1873" s="376" t="s">
        <v>1046</v>
      </c>
      <c r="D1873" s="376">
        <v>2023</v>
      </c>
      <c r="E1873" s="376">
        <v>2025</v>
      </c>
      <c r="F1873" s="376">
        <v>1</v>
      </c>
      <c r="G1873" s="376">
        <v>10872.741503138899</v>
      </c>
      <c r="H1873" s="376">
        <v>0</v>
      </c>
      <c r="I1873" s="376">
        <v>1</v>
      </c>
    </row>
    <row r="1874" spans="1:9" x14ac:dyDescent="0.35">
      <c r="A1874" s="376" t="s">
        <v>1604</v>
      </c>
      <c r="B1874" s="376" t="s">
        <v>1609</v>
      </c>
      <c r="C1874" s="376" t="s">
        <v>644</v>
      </c>
      <c r="D1874" s="376">
        <v>2023</v>
      </c>
      <c r="E1874" s="376">
        <v>2025</v>
      </c>
      <c r="F1874" s="376">
        <v>1</v>
      </c>
      <c r="G1874" s="376">
        <v>10872.741503138899</v>
      </c>
      <c r="H1874" s="376">
        <v>0</v>
      </c>
      <c r="I1874" s="376">
        <v>1</v>
      </c>
    </row>
    <row r="1875" spans="1:9" x14ac:dyDescent="0.35">
      <c r="A1875" s="376" t="s">
        <v>1604</v>
      </c>
      <c r="B1875" s="376" t="s">
        <v>1609</v>
      </c>
      <c r="C1875" s="376" t="s">
        <v>628</v>
      </c>
      <c r="D1875" s="376">
        <v>2023</v>
      </c>
      <c r="E1875" s="376">
        <v>2025</v>
      </c>
      <c r="F1875" s="376">
        <v>1</v>
      </c>
      <c r="G1875" s="376">
        <v>10872.741503138899</v>
      </c>
      <c r="H1875" s="376">
        <v>0</v>
      </c>
      <c r="I1875" s="376">
        <v>1</v>
      </c>
    </row>
    <row r="1876" spans="1:9" x14ac:dyDescent="0.35">
      <c r="A1876" s="376" t="s">
        <v>1604</v>
      </c>
      <c r="B1876" s="376" t="s">
        <v>1609</v>
      </c>
      <c r="C1876" s="376" t="s">
        <v>1051</v>
      </c>
      <c r="D1876" s="376">
        <v>2023</v>
      </c>
      <c r="E1876" s="376">
        <v>2025</v>
      </c>
      <c r="F1876" s="376">
        <v>1</v>
      </c>
      <c r="G1876" s="376">
        <v>10872.741503138899</v>
      </c>
      <c r="H1876" s="376">
        <v>0</v>
      </c>
      <c r="I1876" s="376">
        <v>1</v>
      </c>
    </row>
    <row r="1877" spans="1:9" x14ac:dyDescent="0.35">
      <c r="A1877" s="376" t="s">
        <v>1604</v>
      </c>
      <c r="B1877" s="376" t="s">
        <v>1609</v>
      </c>
      <c r="C1877" s="376" t="s">
        <v>1054</v>
      </c>
      <c r="D1877" s="376">
        <v>2023</v>
      </c>
      <c r="E1877" s="376">
        <v>2025</v>
      </c>
      <c r="F1877" s="376">
        <v>1</v>
      </c>
      <c r="G1877" s="376">
        <v>10872.741503138899</v>
      </c>
      <c r="H1877" s="376">
        <v>0</v>
      </c>
      <c r="I1877" s="376">
        <v>1</v>
      </c>
    </row>
    <row r="1878" spans="1:9" x14ac:dyDescent="0.35">
      <c r="A1878" s="376" t="s">
        <v>1604</v>
      </c>
      <c r="B1878" s="376" t="s">
        <v>1609</v>
      </c>
      <c r="C1878" s="376" t="s">
        <v>1046</v>
      </c>
      <c r="D1878" s="376">
        <v>2023</v>
      </c>
      <c r="E1878" s="376">
        <v>2026</v>
      </c>
      <c r="F1878" s="376">
        <v>1</v>
      </c>
      <c r="G1878" s="376">
        <v>10872.741503138899</v>
      </c>
      <c r="H1878" s="376">
        <v>0</v>
      </c>
      <c r="I1878" s="376">
        <v>1</v>
      </c>
    </row>
    <row r="1879" spans="1:9" x14ac:dyDescent="0.35">
      <c r="A1879" s="376" t="s">
        <v>1604</v>
      </c>
      <c r="B1879" s="376" t="s">
        <v>1609</v>
      </c>
      <c r="C1879" s="376" t="s">
        <v>644</v>
      </c>
      <c r="D1879" s="376">
        <v>2023</v>
      </c>
      <c r="E1879" s="376">
        <v>2026</v>
      </c>
      <c r="F1879" s="376">
        <v>1</v>
      </c>
      <c r="G1879" s="376">
        <v>10872.741503138899</v>
      </c>
      <c r="H1879" s="376">
        <v>0</v>
      </c>
      <c r="I1879" s="376">
        <v>1</v>
      </c>
    </row>
    <row r="1880" spans="1:9" x14ac:dyDescent="0.35">
      <c r="A1880" s="376" t="s">
        <v>1604</v>
      </c>
      <c r="B1880" s="376" t="s">
        <v>1609</v>
      </c>
      <c r="C1880" s="376" t="s">
        <v>628</v>
      </c>
      <c r="D1880" s="376">
        <v>2023</v>
      </c>
      <c r="E1880" s="376">
        <v>2026</v>
      </c>
      <c r="F1880" s="376">
        <v>1</v>
      </c>
      <c r="G1880" s="376">
        <v>10872.741503138899</v>
      </c>
      <c r="H1880" s="376">
        <v>0</v>
      </c>
      <c r="I1880" s="376">
        <v>1</v>
      </c>
    </row>
    <row r="1881" spans="1:9" x14ac:dyDescent="0.35">
      <c r="A1881" s="376" t="s">
        <v>1604</v>
      </c>
      <c r="B1881" s="376" t="s">
        <v>1609</v>
      </c>
      <c r="C1881" s="376" t="s">
        <v>1051</v>
      </c>
      <c r="D1881" s="376">
        <v>2023</v>
      </c>
      <c r="E1881" s="376">
        <v>2026</v>
      </c>
      <c r="F1881" s="376">
        <v>1</v>
      </c>
      <c r="G1881" s="376">
        <v>10872.741503138899</v>
      </c>
      <c r="H1881" s="376">
        <v>0</v>
      </c>
      <c r="I1881" s="376">
        <v>1</v>
      </c>
    </row>
    <row r="1882" spans="1:9" x14ac:dyDescent="0.35">
      <c r="A1882" s="376" t="s">
        <v>1604</v>
      </c>
      <c r="B1882" s="376" t="s">
        <v>1609</v>
      </c>
      <c r="C1882" s="376" t="s">
        <v>1054</v>
      </c>
      <c r="D1882" s="376">
        <v>2023</v>
      </c>
      <c r="E1882" s="376">
        <v>2026</v>
      </c>
      <c r="F1882" s="376">
        <v>1</v>
      </c>
      <c r="G1882" s="376">
        <v>10872.741503138899</v>
      </c>
      <c r="H1882" s="376">
        <v>0</v>
      </c>
      <c r="I1882" s="376">
        <v>1</v>
      </c>
    </row>
    <row r="1883" spans="1:9" x14ac:dyDescent="0.35">
      <c r="A1883" s="376" t="s">
        <v>1604</v>
      </c>
      <c r="B1883" s="376" t="s">
        <v>1609</v>
      </c>
      <c r="C1883" s="376" t="s">
        <v>1046</v>
      </c>
      <c r="D1883" s="376">
        <v>2023</v>
      </c>
      <c r="E1883" s="376">
        <v>2027</v>
      </c>
      <c r="F1883" s="376">
        <v>1</v>
      </c>
      <c r="G1883" s="376">
        <v>10872.741503138899</v>
      </c>
      <c r="H1883" s="376">
        <v>0</v>
      </c>
      <c r="I1883" s="376">
        <v>1</v>
      </c>
    </row>
    <row r="1884" spans="1:9" x14ac:dyDescent="0.35">
      <c r="A1884" s="376" t="s">
        <v>1604</v>
      </c>
      <c r="B1884" s="376" t="s">
        <v>1609</v>
      </c>
      <c r="C1884" s="376" t="s">
        <v>644</v>
      </c>
      <c r="D1884" s="376">
        <v>2023</v>
      </c>
      <c r="E1884" s="376">
        <v>2027</v>
      </c>
      <c r="F1884" s="376">
        <v>1</v>
      </c>
      <c r="G1884" s="376">
        <v>10872.741503138899</v>
      </c>
      <c r="H1884" s="376">
        <v>0</v>
      </c>
      <c r="I1884" s="376">
        <v>1</v>
      </c>
    </row>
    <row r="1885" spans="1:9" x14ac:dyDescent="0.35">
      <c r="A1885" s="376" t="s">
        <v>1604</v>
      </c>
      <c r="B1885" s="376" t="s">
        <v>1609</v>
      </c>
      <c r="C1885" s="376" t="s">
        <v>628</v>
      </c>
      <c r="D1885" s="376">
        <v>2023</v>
      </c>
      <c r="E1885" s="376">
        <v>2027</v>
      </c>
      <c r="F1885" s="376">
        <v>1</v>
      </c>
      <c r="G1885" s="376">
        <v>10872.741503138899</v>
      </c>
      <c r="H1885" s="376">
        <v>0</v>
      </c>
      <c r="I1885" s="376">
        <v>1</v>
      </c>
    </row>
    <row r="1886" spans="1:9" x14ac:dyDescent="0.35">
      <c r="A1886" s="376" t="s">
        <v>1604</v>
      </c>
      <c r="B1886" s="376" t="s">
        <v>1609</v>
      </c>
      <c r="C1886" s="376" t="s">
        <v>1051</v>
      </c>
      <c r="D1886" s="376">
        <v>2023</v>
      </c>
      <c r="E1886" s="376">
        <v>2027</v>
      </c>
      <c r="F1886" s="376">
        <v>1</v>
      </c>
      <c r="G1886" s="376">
        <v>10872.741503138899</v>
      </c>
      <c r="H1886" s="376">
        <v>0</v>
      </c>
      <c r="I1886" s="376">
        <v>1</v>
      </c>
    </row>
    <row r="1887" spans="1:9" x14ac:dyDescent="0.35">
      <c r="A1887" s="376" t="s">
        <v>1604</v>
      </c>
      <c r="B1887" s="376" t="s">
        <v>1609</v>
      </c>
      <c r="C1887" s="376" t="s">
        <v>1054</v>
      </c>
      <c r="D1887" s="376">
        <v>2023</v>
      </c>
      <c r="E1887" s="376">
        <v>2027</v>
      </c>
      <c r="F1887" s="376">
        <v>1</v>
      </c>
      <c r="G1887" s="376">
        <v>10872.741503138899</v>
      </c>
      <c r="H1887" s="376">
        <v>0</v>
      </c>
      <c r="I1887" s="376">
        <v>1</v>
      </c>
    </row>
    <row r="1888" spans="1:9" x14ac:dyDescent="0.35">
      <c r="A1888" s="376" t="s">
        <v>1604</v>
      </c>
      <c r="B1888" s="376" t="s">
        <v>1609</v>
      </c>
      <c r="C1888" s="376" t="s">
        <v>1046</v>
      </c>
      <c r="D1888" s="376">
        <v>2023</v>
      </c>
      <c r="E1888" s="376">
        <v>2028</v>
      </c>
      <c r="F1888" s="376">
        <v>1</v>
      </c>
      <c r="G1888" s="376">
        <v>10872.741503138899</v>
      </c>
      <c r="H1888" s="376">
        <v>0</v>
      </c>
      <c r="I1888" s="376">
        <v>1</v>
      </c>
    </row>
    <row r="1889" spans="1:9" x14ac:dyDescent="0.35">
      <c r="A1889" s="376" t="s">
        <v>1604</v>
      </c>
      <c r="B1889" s="376" t="s">
        <v>1609</v>
      </c>
      <c r="C1889" s="376" t="s">
        <v>644</v>
      </c>
      <c r="D1889" s="376">
        <v>2023</v>
      </c>
      <c r="E1889" s="376">
        <v>2028</v>
      </c>
      <c r="F1889" s="376">
        <v>1</v>
      </c>
      <c r="G1889" s="376">
        <v>10872.741503138899</v>
      </c>
      <c r="H1889" s="376">
        <v>0</v>
      </c>
      <c r="I1889" s="376">
        <v>1</v>
      </c>
    </row>
    <row r="1890" spans="1:9" x14ac:dyDescent="0.35">
      <c r="A1890" s="376" t="s">
        <v>1604</v>
      </c>
      <c r="B1890" s="376" t="s">
        <v>1609</v>
      </c>
      <c r="C1890" s="376" t="s">
        <v>628</v>
      </c>
      <c r="D1890" s="376">
        <v>2023</v>
      </c>
      <c r="E1890" s="376">
        <v>2028</v>
      </c>
      <c r="F1890" s="376">
        <v>1</v>
      </c>
      <c r="G1890" s="376">
        <v>10872.741503138899</v>
      </c>
      <c r="H1890" s="376">
        <v>0</v>
      </c>
      <c r="I1890" s="376">
        <v>1</v>
      </c>
    </row>
    <row r="1891" spans="1:9" x14ac:dyDescent="0.35">
      <c r="A1891" s="376" t="s">
        <v>1604</v>
      </c>
      <c r="B1891" s="376" t="s">
        <v>1609</v>
      </c>
      <c r="C1891" s="376" t="s">
        <v>1051</v>
      </c>
      <c r="D1891" s="376">
        <v>2023</v>
      </c>
      <c r="E1891" s="376">
        <v>2028</v>
      </c>
      <c r="F1891" s="376">
        <v>1</v>
      </c>
      <c r="G1891" s="376">
        <v>10872.741503138899</v>
      </c>
      <c r="H1891" s="376">
        <v>0</v>
      </c>
      <c r="I1891" s="376">
        <v>1</v>
      </c>
    </row>
    <row r="1892" spans="1:9" x14ac:dyDescent="0.35">
      <c r="A1892" s="376" t="s">
        <v>1604</v>
      </c>
      <c r="B1892" s="376" t="s">
        <v>1609</v>
      </c>
      <c r="C1892" s="376" t="s">
        <v>1054</v>
      </c>
      <c r="D1892" s="376">
        <v>2023</v>
      </c>
      <c r="E1892" s="376">
        <v>2028</v>
      </c>
      <c r="F1892" s="376">
        <v>1</v>
      </c>
      <c r="G1892" s="376">
        <v>10872.741503138899</v>
      </c>
      <c r="H1892" s="376">
        <v>0</v>
      </c>
      <c r="I1892" s="376">
        <v>1</v>
      </c>
    </row>
    <row r="1893" spans="1:9" x14ac:dyDescent="0.35">
      <c r="A1893" s="376" t="s">
        <v>1604</v>
      </c>
      <c r="B1893" s="376" t="s">
        <v>1609</v>
      </c>
      <c r="C1893" s="376" t="s">
        <v>1046</v>
      </c>
      <c r="D1893" s="376">
        <v>2023</v>
      </c>
      <c r="E1893" s="376">
        <v>2029</v>
      </c>
      <c r="F1893" s="376">
        <v>1</v>
      </c>
      <c r="G1893" s="376">
        <v>10872.741503138899</v>
      </c>
      <c r="H1893" s="376">
        <v>0</v>
      </c>
      <c r="I1893" s="376">
        <v>1</v>
      </c>
    </row>
    <row r="1894" spans="1:9" x14ac:dyDescent="0.35">
      <c r="A1894" s="376" t="s">
        <v>1604</v>
      </c>
      <c r="B1894" s="376" t="s">
        <v>1609</v>
      </c>
      <c r="C1894" s="376" t="s">
        <v>644</v>
      </c>
      <c r="D1894" s="376">
        <v>2023</v>
      </c>
      <c r="E1894" s="376">
        <v>2029</v>
      </c>
      <c r="F1894" s="376">
        <v>1</v>
      </c>
      <c r="G1894" s="376">
        <v>10872.741503138899</v>
      </c>
      <c r="H1894" s="376">
        <v>0</v>
      </c>
      <c r="I1894" s="376">
        <v>1</v>
      </c>
    </row>
    <row r="1895" spans="1:9" x14ac:dyDescent="0.35">
      <c r="A1895" s="376" t="s">
        <v>1604</v>
      </c>
      <c r="B1895" s="376" t="s">
        <v>1609</v>
      </c>
      <c r="C1895" s="376" t="s">
        <v>628</v>
      </c>
      <c r="D1895" s="376">
        <v>2023</v>
      </c>
      <c r="E1895" s="376">
        <v>2029</v>
      </c>
      <c r="F1895" s="376">
        <v>1</v>
      </c>
      <c r="G1895" s="376">
        <v>10872.741503138899</v>
      </c>
      <c r="H1895" s="376">
        <v>0</v>
      </c>
      <c r="I1895" s="376">
        <v>1</v>
      </c>
    </row>
    <row r="1896" spans="1:9" x14ac:dyDescent="0.35">
      <c r="A1896" s="376" t="s">
        <v>1604</v>
      </c>
      <c r="B1896" s="376" t="s">
        <v>1609</v>
      </c>
      <c r="C1896" s="376" t="s">
        <v>1051</v>
      </c>
      <c r="D1896" s="376">
        <v>2023</v>
      </c>
      <c r="E1896" s="376">
        <v>2029</v>
      </c>
      <c r="F1896" s="376">
        <v>1</v>
      </c>
      <c r="G1896" s="376">
        <v>10872.741503138899</v>
      </c>
      <c r="H1896" s="376">
        <v>0</v>
      </c>
      <c r="I1896" s="376">
        <v>1</v>
      </c>
    </row>
    <row r="1897" spans="1:9" x14ac:dyDescent="0.35">
      <c r="A1897" s="376" t="s">
        <v>1604</v>
      </c>
      <c r="B1897" s="376" t="s">
        <v>1609</v>
      </c>
      <c r="C1897" s="376" t="s">
        <v>1054</v>
      </c>
      <c r="D1897" s="376">
        <v>2023</v>
      </c>
      <c r="E1897" s="376">
        <v>2029</v>
      </c>
      <c r="F1897" s="376">
        <v>1</v>
      </c>
      <c r="G1897" s="376">
        <v>10872.741503138899</v>
      </c>
      <c r="H1897" s="376">
        <v>0</v>
      </c>
      <c r="I1897" s="376">
        <v>1</v>
      </c>
    </row>
    <row r="1898" spans="1:9" x14ac:dyDescent="0.35">
      <c r="A1898" s="376" t="s">
        <v>1604</v>
      </c>
      <c r="B1898" s="376" t="s">
        <v>1609</v>
      </c>
      <c r="C1898" s="376" t="s">
        <v>1046</v>
      </c>
      <c r="D1898" s="376">
        <v>2023</v>
      </c>
      <c r="E1898" s="376">
        <v>2030</v>
      </c>
      <c r="F1898" s="376">
        <v>1</v>
      </c>
      <c r="G1898" s="376">
        <v>10872.741503138899</v>
      </c>
      <c r="H1898" s="376">
        <v>0</v>
      </c>
      <c r="I1898" s="376">
        <v>1</v>
      </c>
    </row>
    <row r="1899" spans="1:9" x14ac:dyDescent="0.35">
      <c r="A1899" s="376" t="s">
        <v>1604</v>
      </c>
      <c r="B1899" s="376" t="s">
        <v>1609</v>
      </c>
      <c r="C1899" s="376" t="s">
        <v>644</v>
      </c>
      <c r="D1899" s="376">
        <v>2023</v>
      </c>
      <c r="E1899" s="376">
        <v>2030</v>
      </c>
      <c r="F1899" s="376">
        <v>1</v>
      </c>
      <c r="G1899" s="376">
        <v>10872.741503138899</v>
      </c>
      <c r="H1899" s="376">
        <v>0</v>
      </c>
      <c r="I1899" s="376">
        <v>1</v>
      </c>
    </row>
    <row r="1900" spans="1:9" x14ac:dyDescent="0.35">
      <c r="A1900" s="376" t="s">
        <v>1604</v>
      </c>
      <c r="B1900" s="376" t="s">
        <v>1609</v>
      </c>
      <c r="C1900" s="376" t="s">
        <v>628</v>
      </c>
      <c r="D1900" s="376">
        <v>2023</v>
      </c>
      <c r="E1900" s="376">
        <v>2030</v>
      </c>
      <c r="F1900" s="376">
        <v>1</v>
      </c>
      <c r="G1900" s="376">
        <v>10872.741503138899</v>
      </c>
      <c r="H1900" s="376">
        <v>0</v>
      </c>
      <c r="I1900" s="376">
        <v>1</v>
      </c>
    </row>
    <row r="1901" spans="1:9" x14ac:dyDescent="0.35">
      <c r="A1901" s="376" t="s">
        <v>1604</v>
      </c>
      <c r="B1901" s="376" t="s">
        <v>1609</v>
      </c>
      <c r="C1901" s="376" t="s">
        <v>1051</v>
      </c>
      <c r="D1901" s="376">
        <v>2023</v>
      </c>
      <c r="E1901" s="376">
        <v>2030</v>
      </c>
      <c r="F1901" s="376">
        <v>1</v>
      </c>
      <c r="G1901" s="376">
        <v>10872.741503138899</v>
      </c>
      <c r="H1901" s="376">
        <v>0</v>
      </c>
      <c r="I1901" s="376">
        <v>1</v>
      </c>
    </row>
    <row r="1902" spans="1:9" x14ac:dyDescent="0.35">
      <c r="A1902" s="376" t="s">
        <v>1604</v>
      </c>
      <c r="B1902" s="376" t="s">
        <v>1609</v>
      </c>
      <c r="C1902" s="376" t="s">
        <v>1054</v>
      </c>
      <c r="D1902" s="376">
        <v>2023</v>
      </c>
      <c r="E1902" s="376">
        <v>2030</v>
      </c>
      <c r="F1902" s="376">
        <v>1</v>
      </c>
      <c r="G1902" s="376">
        <v>10872.741503138899</v>
      </c>
      <c r="H1902" s="376">
        <v>0</v>
      </c>
      <c r="I1902" s="376">
        <v>1</v>
      </c>
    </row>
    <row r="1903" spans="1:9" x14ac:dyDescent="0.35">
      <c r="A1903" s="376" t="s">
        <v>1604</v>
      </c>
      <c r="B1903" s="376" t="s">
        <v>1609</v>
      </c>
      <c r="C1903" s="376" t="s">
        <v>1046</v>
      </c>
      <c r="D1903" s="376">
        <v>2023</v>
      </c>
      <c r="E1903" s="376">
        <v>2031</v>
      </c>
      <c r="F1903" s="376">
        <v>1</v>
      </c>
      <c r="G1903" s="376">
        <v>10872.741503138899</v>
      </c>
      <c r="H1903" s="376">
        <v>0</v>
      </c>
      <c r="I1903" s="376">
        <v>1</v>
      </c>
    </row>
    <row r="1904" spans="1:9" x14ac:dyDescent="0.35">
      <c r="A1904" s="376" t="s">
        <v>1604</v>
      </c>
      <c r="B1904" s="376" t="s">
        <v>1609</v>
      </c>
      <c r="C1904" s="376" t="s">
        <v>644</v>
      </c>
      <c r="D1904" s="376">
        <v>2023</v>
      </c>
      <c r="E1904" s="376">
        <v>2031</v>
      </c>
      <c r="F1904" s="376">
        <v>1</v>
      </c>
      <c r="G1904" s="376">
        <v>10872.741503138899</v>
      </c>
      <c r="H1904" s="376">
        <v>0</v>
      </c>
      <c r="I1904" s="376">
        <v>1</v>
      </c>
    </row>
    <row r="1905" spans="1:9" x14ac:dyDescent="0.35">
      <c r="A1905" s="376" t="s">
        <v>1604</v>
      </c>
      <c r="B1905" s="376" t="s">
        <v>1609</v>
      </c>
      <c r="C1905" s="376" t="s">
        <v>628</v>
      </c>
      <c r="D1905" s="376">
        <v>2023</v>
      </c>
      <c r="E1905" s="376">
        <v>2031</v>
      </c>
      <c r="F1905" s="376">
        <v>1</v>
      </c>
      <c r="G1905" s="376">
        <v>10872.741503138899</v>
      </c>
      <c r="H1905" s="376">
        <v>0</v>
      </c>
      <c r="I1905" s="376">
        <v>1</v>
      </c>
    </row>
    <row r="1906" spans="1:9" x14ac:dyDescent="0.35">
      <c r="A1906" s="376" t="s">
        <v>1604</v>
      </c>
      <c r="B1906" s="376" t="s">
        <v>1609</v>
      </c>
      <c r="C1906" s="376" t="s">
        <v>1051</v>
      </c>
      <c r="D1906" s="376">
        <v>2023</v>
      </c>
      <c r="E1906" s="376">
        <v>2031</v>
      </c>
      <c r="F1906" s="376">
        <v>1</v>
      </c>
      <c r="G1906" s="376">
        <v>10872.741503138899</v>
      </c>
      <c r="H1906" s="376">
        <v>0</v>
      </c>
      <c r="I1906" s="376">
        <v>1</v>
      </c>
    </row>
    <row r="1907" spans="1:9" x14ac:dyDescent="0.35">
      <c r="A1907" s="376" t="s">
        <v>1604</v>
      </c>
      <c r="B1907" s="376" t="s">
        <v>1609</v>
      </c>
      <c r="C1907" s="376" t="s">
        <v>1054</v>
      </c>
      <c r="D1907" s="376">
        <v>2023</v>
      </c>
      <c r="E1907" s="376">
        <v>2031</v>
      </c>
      <c r="F1907" s="376">
        <v>1</v>
      </c>
      <c r="G1907" s="376">
        <v>10872.741503138899</v>
      </c>
      <c r="H1907" s="376">
        <v>0</v>
      </c>
      <c r="I1907" s="376">
        <v>1</v>
      </c>
    </row>
    <row r="1908" spans="1:9" x14ac:dyDescent="0.35">
      <c r="A1908" s="376" t="s">
        <v>1615</v>
      </c>
      <c r="B1908" s="376" t="s">
        <v>1609</v>
      </c>
      <c r="C1908" s="376" t="s">
        <v>1046</v>
      </c>
      <c r="D1908" s="376">
        <v>2023</v>
      </c>
      <c r="E1908" s="376">
        <v>2023</v>
      </c>
      <c r="F1908" s="376">
        <v>1</v>
      </c>
      <c r="G1908" s="376">
        <v>20148.813739673951</v>
      </c>
      <c r="H1908" s="376">
        <v>0</v>
      </c>
      <c r="I1908" s="376">
        <v>0.65716939790195539</v>
      </c>
    </row>
    <row r="1909" spans="1:9" x14ac:dyDescent="0.35">
      <c r="A1909" s="376" t="s">
        <v>1615</v>
      </c>
      <c r="B1909" s="376" t="s">
        <v>1609</v>
      </c>
      <c r="C1909" s="376" t="s">
        <v>644</v>
      </c>
      <c r="D1909" s="376">
        <v>2023</v>
      </c>
      <c r="E1909" s="376">
        <v>2023</v>
      </c>
      <c r="F1909" s="376">
        <v>1</v>
      </c>
      <c r="G1909" s="376">
        <v>20148.813739673951</v>
      </c>
      <c r="H1909" s="376">
        <v>0</v>
      </c>
      <c r="I1909" s="376">
        <v>0.65716939790195539</v>
      </c>
    </row>
    <row r="1910" spans="1:9" x14ac:dyDescent="0.35">
      <c r="A1910" s="376" t="s">
        <v>1615</v>
      </c>
      <c r="B1910" s="376" t="s">
        <v>1609</v>
      </c>
      <c r="C1910" s="376" t="s">
        <v>628</v>
      </c>
      <c r="D1910" s="376">
        <v>2023</v>
      </c>
      <c r="E1910" s="376">
        <v>2023</v>
      </c>
      <c r="F1910" s="376">
        <v>1</v>
      </c>
      <c r="G1910" s="376">
        <v>20148.813739673951</v>
      </c>
      <c r="H1910" s="376">
        <v>0</v>
      </c>
      <c r="I1910" s="376">
        <v>0.65716939790195539</v>
      </c>
    </row>
    <row r="1911" spans="1:9" x14ac:dyDescent="0.35">
      <c r="A1911" s="376" t="s">
        <v>1615</v>
      </c>
      <c r="B1911" s="376" t="s">
        <v>1609</v>
      </c>
      <c r="C1911" s="376" t="s">
        <v>1051</v>
      </c>
      <c r="D1911" s="376">
        <v>2023</v>
      </c>
      <c r="E1911" s="376">
        <v>2023</v>
      </c>
      <c r="F1911" s="376">
        <v>1</v>
      </c>
      <c r="G1911" s="376">
        <v>20148.813739673951</v>
      </c>
      <c r="H1911" s="376">
        <v>0</v>
      </c>
      <c r="I1911" s="376">
        <v>0.65716939790195539</v>
      </c>
    </row>
    <row r="1912" spans="1:9" x14ac:dyDescent="0.35">
      <c r="A1912" s="376" t="s">
        <v>1615</v>
      </c>
      <c r="B1912" s="376" t="s">
        <v>1609</v>
      </c>
      <c r="C1912" s="376" t="s">
        <v>1054</v>
      </c>
      <c r="D1912" s="376">
        <v>2023</v>
      </c>
      <c r="E1912" s="376">
        <v>2023</v>
      </c>
      <c r="F1912" s="376">
        <v>1</v>
      </c>
      <c r="G1912" s="376">
        <v>20148.813739673951</v>
      </c>
      <c r="H1912" s="376">
        <v>0</v>
      </c>
      <c r="I1912" s="376">
        <v>0.65716939790195539</v>
      </c>
    </row>
    <row r="1913" spans="1:9" x14ac:dyDescent="0.35">
      <c r="A1913" s="376" t="s">
        <v>1615</v>
      </c>
      <c r="B1913" s="376" t="s">
        <v>1609</v>
      </c>
      <c r="C1913" s="376" t="s">
        <v>1046</v>
      </c>
      <c r="D1913" s="376">
        <v>2023</v>
      </c>
      <c r="E1913" s="376">
        <v>2024</v>
      </c>
      <c r="F1913" s="376">
        <v>1</v>
      </c>
      <c r="G1913" s="376">
        <v>20148.813739673951</v>
      </c>
      <c r="H1913" s="376">
        <v>0</v>
      </c>
      <c r="I1913" s="376">
        <v>0.65716939790195539</v>
      </c>
    </row>
    <row r="1914" spans="1:9" x14ac:dyDescent="0.35">
      <c r="A1914" s="376" t="s">
        <v>1615</v>
      </c>
      <c r="B1914" s="376" t="s">
        <v>1609</v>
      </c>
      <c r="C1914" s="376" t="s">
        <v>644</v>
      </c>
      <c r="D1914" s="376">
        <v>2023</v>
      </c>
      <c r="E1914" s="376">
        <v>2024</v>
      </c>
      <c r="F1914" s="376">
        <v>1</v>
      </c>
      <c r="G1914" s="376">
        <v>20148.813739673951</v>
      </c>
      <c r="H1914" s="376">
        <v>0</v>
      </c>
      <c r="I1914" s="376">
        <v>0.65716939790195539</v>
      </c>
    </row>
    <row r="1915" spans="1:9" x14ac:dyDescent="0.35">
      <c r="A1915" s="376" t="s">
        <v>1615</v>
      </c>
      <c r="B1915" s="376" t="s">
        <v>1609</v>
      </c>
      <c r="C1915" s="376" t="s">
        <v>628</v>
      </c>
      <c r="D1915" s="376">
        <v>2023</v>
      </c>
      <c r="E1915" s="376">
        <v>2024</v>
      </c>
      <c r="F1915" s="376">
        <v>1</v>
      </c>
      <c r="G1915" s="376">
        <v>20148.813739673951</v>
      </c>
      <c r="H1915" s="376">
        <v>0</v>
      </c>
      <c r="I1915" s="376">
        <v>0.65716939790195539</v>
      </c>
    </row>
    <row r="1916" spans="1:9" x14ac:dyDescent="0.35">
      <c r="A1916" s="376" t="s">
        <v>1615</v>
      </c>
      <c r="B1916" s="376" t="s">
        <v>1609</v>
      </c>
      <c r="C1916" s="376" t="s">
        <v>1051</v>
      </c>
      <c r="D1916" s="376">
        <v>2023</v>
      </c>
      <c r="E1916" s="376">
        <v>2024</v>
      </c>
      <c r="F1916" s="376">
        <v>1</v>
      </c>
      <c r="G1916" s="376">
        <v>20148.813739673951</v>
      </c>
      <c r="H1916" s="376">
        <v>0</v>
      </c>
      <c r="I1916" s="376">
        <v>0.65716939790195539</v>
      </c>
    </row>
    <row r="1917" spans="1:9" x14ac:dyDescent="0.35">
      <c r="A1917" s="376" t="s">
        <v>1615</v>
      </c>
      <c r="B1917" s="376" t="s">
        <v>1609</v>
      </c>
      <c r="C1917" s="376" t="s">
        <v>1054</v>
      </c>
      <c r="D1917" s="376">
        <v>2023</v>
      </c>
      <c r="E1917" s="376">
        <v>2024</v>
      </c>
      <c r="F1917" s="376">
        <v>1</v>
      </c>
      <c r="G1917" s="376">
        <v>20148.813739673951</v>
      </c>
      <c r="H1917" s="376">
        <v>0</v>
      </c>
      <c r="I1917" s="376">
        <v>0.65716939790195539</v>
      </c>
    </row>
    <row r="1918" spans="1:9" x14ac:dyDescent="0.35">
      <c r="A1918" s="376" t="s">
        <v>1615</v>
      </c>
      <c r="B1918" s="376" t="s">
        <v>1609</v>
      </c>
      <c r="C1918" s="376" t="s">
        <v>1046</v>
      </c>
      <c r="D1918" s="376">
        <v>2023</v>
      </c>
      <c r="E1918" s="376">
        <v>2025</v>
      </c>
      <c r="F1918" s="376">
        <v>1</v>
      </c>
      <c r="G1918" s="376">
        <v>20148.813739673951</v>
      </c>
      <c r="H1918" s="376">
        <v>0</v>
      </c>
      <c r="I1918" s="376">
        <v>0.65716939790195539</v>
      </c>
    </row>
    <row r="1919" spans="1:9" x14ac:dyDescent="0.35">
      <c r="A1919" s="376" t="s">
        <v>1615</v>
      </c>
      <c r="B1919" s="376" t="s">
        <v>1609</v>
      </c>
      <c r="C1919" s="376" t="s">
        <v>644</v>
      </c>
      <c r="D1919" s="376">
        <v>2023</v>
      </c>
      <c r="E1919" s="376">
        <v>2025</v>
      </c>
      <c r="F1919" s="376">
        <v>1</v>
      </c>
      <c r="G1919" s="376">
        <v>20148.813739673951</v>
      </c>
      <c r="H1919" s="376">
        <v>0</v>
      </c>
      <c r="I1919" s="376">
        <v>0.65716939790195539</v>
      </c>
    </row>
    <row r="1920" spans="1:9" x14ac:dyDescent="0.35">
      <c r="A1920" s="376" t="s">
        <v>1615</v>
      </c>
      <c r="B1920" s="376" t="s">
        <v>1609</v>
      </c>
      <c r="C1920" s="376" t="s">
        <v>628</v>
      </c>
      <c r="D1920" s="376">
        <v>2023</v>
      </c>
      <c r="E1920" s="376">
        <v>2025</v>
      </c>
      <c r="F1920" s="376">
        <v>1</v>
      </c>
      <c r="G1920" s="376">
        <v>20148.813739673951</v>
      </c>
      <c r="H1920" s="376">
        <v>0</v>
      </c>
      <c r="I1920" s="376">
        <v>0.65716939790195539</v>
      </c>
    </row>
    <row r="1921" spans="1:9" x14ac:dyDescent="0.35">
      <c r="A1921" s="376" t="s">
        <v>1615</v>
      </c>
      <c r="B1921" s="376" t="s">
        <v>1609</v>
      </c>
      <c r="C1921" s="376" t="s">
        <v>1051</v>
      </c>
      <c r="D1921" s="376">
        <v>2023</v>
      </c>
      <c r="E1921" s="376">
        <v>2025</v>
      </c>
      <c r="F1921" s="376">
        <v>1</v>
      </c>
      <c r="G1921" s="376">
        <v>20148.813739673951</v>
      </c>
      <c r="H1921" s="376">
        <v>0</v>
      </c>
      <c r="I1921" s="376">
        <v>0.65716939790195539</v>
      </c>
    </row>
    <row r="1922" spans="1:9" x14ac:dyDescent="0.35">
      <c r="A1922" s="376" t="s">
        <v>1615</v>
      </c>
      <c r="B1922" s="376" t="s">
        <v>1609</v>
      </c>
      <c r="C1922" s="376" t="s">
        <v>1054</v>
      </c>
      <c r="D1922" s="376">
        <v>2023</v>
      </c>
      <c r="E1922" s="376">
        <v>2025</v>
      </c>
      <c r="F1922" s="376">
        <v>1</v>
      </c>
      <c r="G1922" s="376">
        <v>20148.813739673951</v>
      </c>
      <c r="H1922" s="376">
        <v>0</v>
      </c>
      <c r="I1922" s="376">
        <v>0.65716939790195539</v>
      </c>
    </row>
    <row r="1923" spans="1:9" x14ac:dyDescent="0.35">
      <c r="A1923" s="376" t="s">
        <v>1615</v>
      </c>
      <c r="B1923" s="376" t="s">
        <v>1609</v>
      </c>
      <c r="C1923" s="376" t="s">
        <v>1046</v>
      </c>
      <c r="D1923" s="376">
        <v>2023</v>
      </c>
      <c r="E1923" s="376">
        <v>2026</v>
      </c>
      <c r="F1923" s="376">
        <v>1</v>
      </c>
      <c r="G1923" s="376">
        <v>20148.813739673951</v>
      </c>
      <c r="H1923" s="376">
        <v>0</v>
      </c>
      <c r="I1923" s="376">
        <v>0.65716939790195539</v>
      </c>
    </row>
    <row r="1924" spans="1:9" x14ac:dyDescent="0.35">
      <c r="A1924" s="376" t="s">
        <v>1615</v>
      </c>
      <c r="B1924" s="376" t="s">
        <v>1609</v>
      </c>
      <c r="C1924" s="376" t="s">
        <v>644</v>
      </c>
      <c r="D1924" s="376">
        <v>2023</v>
      </c>
      <c r="E1924" s="376">
        <v>2026</v>
      </c>
      <c r="F1924" s="376">
        <v>1</v>
      </c>
      <c r="G1924" s="376">
        <v>20148.813739673951</v>
      </c>
      <c r="H1924" s="376">
        <v>0</v>
      </c>
      <c r="I1924" s="376">
        <v>0.65716939790195539</v>
      </c>
    </row>
    <row r="1925" spans="1:9" x14ac:dyDescent="0.35">
      <c r="A1925" s="376" t="s">
        <v>1615</v>
      </c>
      <c r="B1925" s="376" t="s">
        <v>1609</v>
      </c>
      <c r="C1925" s="376" t="s">
        <v>628</v>
      </c>
      <c r="D1925" s="376">
        <v>2023</v>
      </c>
      <c r="E1925" s="376">
        <v>2026</v>
      </c>
      <c r="F1925" s="376">
        <v>1</v>
      </c>
      <c r="G1925" s="376">
        <v>20148.813739673951</v>
      </c>
      <c r="H1925" s="376">
        <v>0</v>
      </c>
      <c r="I1925" s="376">
        <v>0.65716939790195539</v>
      </c>
    </row>
    <row r="1926" spans="1:9" x14ac:dyDescent="0.35">
      <c r="A1926" s="376" t="s">
        <v>1615</v>
      </c>
      <c r="B1926" s="376" t="s">
        <v>1609</v>
      </c>
      <c r="C1926" s="376" t="s">
        <v>1051</v>
      </c>
      <c r="D1926" s="376">
        <v>2023</v>
      </c>
      <c r="E1926" s="376">
        <v>2026</v>
      </c>
      <c r="F1926" s="376">
        <v>1</v>
      </c>
      <c r="G1926" s="376">
        <v>20148.813739673951</v>
      </c>
      <c r="H1926" s="376">
        <v>0</v>
      </c>
      <c r="I1926" s="376">
        <v>0.65716939790195539</v>
      </c>
    </row>
    <row r="1927" spans="1:9" x14ac:dyDescent="0.35">
      <c r="A1927" s="376" t="s">
        <v>1615</v>
      </c>
      <c r="B1927" s="376" t="s">
        <v>1609</v>
      </c>
      <c r="C1927" s="376" t="s">
        <v>1054</v>
      </c>
      <c r="D1927" s="376">
        <v>2023</v>
      </c>
      <c r="E1927" s="376">
        <v>2026</v>
      </c>
      <c r="F1927" s="376">
        <v>1</v>
      </c>
      <c r="G1927" s="376">
        <v>20148.813739673951</v>
      </c>
      <c r="H1927" s="376">
        <v>0</v>
      </c>
      <c r="I1927" s="376">
        <v>0.65716939790195539</v>
      </c>
    </row>
    <row r="1928" spans="1:9" x14ac:dyDescent="0.35">
      <c r="A1928" s="376" t="s">
        <v>1615</v>
      </c>
      <c r="B1928" s="376" t="s">
        <v>1609</v>
      </c>
      <c r="C1928" s="376" t="s">
        <v>1046</v>
      </c>
      <c r="D1928" s="376">
        <v>2023</v>
      </c>
      <c r="E1928" s="376">
        <v>2027</v>
      </c>
      <c r="F1928" s="376">
        <v>1</v>
      </c>
      <c r="G1928" s="376">
        <v>20148.813739673951</v>
      </c>
      <c r="H1928" s="376">
        <v>0</v>
      </c>
      <c r="I1928" s="376">
        <v>0.65716939790195539</v>
      </c>
    </row>
    <row r="1929" spans="1:9" x14ac:dyDescent="0.35">
      <c r="A1929" s="376" t="s">
        <v>1615</v>
      </c>
      <c r="B1929" s="376" t="s">
        <v>1609</v>
      </c>
      <c r="C1929" s="376" t="s">
        <v>644</v>
      </c>
      <c r="D1929" s="376">
        <v>2023</v>
      </c>
      <c r="E1929" s="376">
        <v>2027</v>
      </c>
      <c r="F1929" s="376">
        <v>1</v>
      </c>
      <c r="G1929" s="376">
        <v>20148.813739673951</v>
      </c>
      <c r="H1929" s="376">
        <v>0</v>
      </c>
      <c r="I1929" s="376">
        <v>0.65716939790195539</v>
      </c>
    </row>
    <row r="1930" spans="1:9" x14ac:dyDescent="0.35">
      <c r="A1930" s="376" t="s">
        <v>1615</v>
      </c>
      <c r="B1930" s="376" t="s">
        <v>1609</v>
      </c>
      <c r="C1930" s="376" t="s">
        <v>628</v>
      </c>
      <c r="D1930" s="376">
        <v>2023</v>
      </c>
      <c r="E1930" s="376">
        <v>2027</v>
      </c>
      <c r="F1930" s="376">
        <v>1</v>
      </c>
      <c r="G1930" s="376">
        <v>20148.813739673951</v>
      </c>
      <c r="H1930" s="376">
        <v>0</v>
      </c>
      <c r="I1930" s="376">
        <v>0.65716939790195539</v>
      </c>
    </row>
    <row r="1931" spans="1:9" x14ac:dyDescent="0.35">
      <c r="A1931" s="376" t="s">
        <v>1615</v>
      </c>
      <c r="B1931" s="376" t="s">
        <v>1609</v>
      </c>
      <c r="C1931" s="376" t="s">
        <v>1051</v>
      </c>
      <c r="D1931" s="376">
        <v>2023</v>
      </c>
      <c r="E1931" s="376">
        <v>2027</v>
      </c>
      <c r="F1931" s="376">
        <v>1</v>
      </c>
      <c r="G1931" s="376">
        <v>20148.813739673951</v>
      </c>
      <c r="H1931" s="376">
        <v>0</v>
      </c>
      <c r="I1931" s="376">
        <v>0.65716939790195539</v>
      </c>
    </row>
    <row r="1932" spans="1:9" x14ac:dyDescent="0.35">
      <c r="A1932" s="376" t="s">
        <v>1615</v>
      </c>
      <c r="B1932" s="376" t="s">
        <v>1609</v>
      </c>
      <c r="C1932" s="376" t="s">
        <v>1054</v>
      </c>
      <c r="D1932" s="376">
        <v>2023</v>
      </c>
      <c r="E1932" s="376">
        <v>2027</v>
      </c>
      <c r="F1932" s="376">
        <v>1</v>
      </c>
      <c r="G1932" s="376">
        <v>20148.813739673951</v>
      </c>
      <c r="H1932" s="376">
        <v>0</v>
      </c>
      <c r="I1932" s="376">
        <v>0.65716939790195539</v>
      </c>
    </row>
    <row r="1933" spans="1:9" x14ac:dyDescent="0.35">
      <c r="A1933" s="376" t="s">
        <v>1615</v>
      </c>
      <c r="B1933" s="376" t="s">
        <v>1609</v>
      </c>
      <c r="C1933" s="376" t="s">
        <v>1046</v>
      </c>
      <c r="D1933" s="376">
        <v>2023</v>
      </c>
      <c r="E1933" s="376">
        <v>2028</v>
      </c>
      <c r="F1933" s="376">
        <v>1</v>
      </c>
      <c r="G1933" s="376">
        <v>20148.813739673951</v>
      </c>
      <c r="H1933" s="376">
        <v>0</v>
      </c>
      <c r="I1933" s="376">
        <v>0.65716939790195539</v>
      </c>
    </row>
    <row r="1934" spans="1:9" x14ac:dyDescent="0.35">
      <c r="A1934" s="376" t="s">
        <v>1615</v>
      </c>
      <c r="B1934" s="376" t="s">
        <v>1609</v>
      </c>
      <c r="C1934" s="376" t="s">
        <v>644</v>
      </c>
      <c r="D1934" s="376">
        <v>2023</v>
      </c>
      <c r="E1934" s="376">
        <v>2028</v>
      </c>
      <c r="F1934" s="376">
        <v>1</v>
      </c>
      <c r="G1934" s="376">
        <v>20148.813739673951</v>
      </c>
      <c r="H1934" s="376">
        <v>0</v>
      </c>
      <c r="I1934" s="376">
        <v>0.65716939790195539</v>
      </c>
    </row>
    <row r="1935" spans="1:9" x14ac:dyDescent="0.35">
      <c r="A1935" s="376" t="s">
        <v>1615</v>
      </c>
      <c r="B1935" s="376" t="s">
        <v>1609</v>
      </c>
      <c r="C1935" s="376" t="s">
        <v>628</v>
      </c>
      <c r="D1935" s="376">
        <v>2023</v>
      </c>
      <c r="E1935" s="376">
        <v>2028</v>
      </c>
      <c r="F1935" s="376">
        <v>1</v>
      </c>
      <c r="G1935" s="376">
        <v>20148.813739673951</v>
      </c>
      <c r="H1935" s="376">
        <v>0</v>
      </c>
      <c r="I1935" s="376">
        <v>0.65716939790195539</v>
      </c>
    </row>
    <row r="1936" spans="1:9" x14ac:dyDescent="0.35">
      <c r="A1936" s="376" t="s">
        <v>1615</v>
      </c>
      <c r="B1936" s="376" t="s">
        <v>1609</v>
      </c>
      <c r="C1936" s="376" t="s">
        <v>1051</v>
      </c>
      <c r="D1936" s="376">
        <v>2023</v>
      </c>
      <c r="E1936" s="376">
        <v>2028</v>
      </c>
      <c r="F1936" s="376">
        <v>1</v>
      </c>
      <c r="G1936" s="376">
        <v>20148.813739673951</v>
      </c>
      <c r="H1936" s="376">
        <v>0</v>
      </c>
      <c r="I1936" s="376">
        <v>0.65716939790195539</v>
      </c>
    </row>
    <row r="1937" spans="1:9" x14ac:dyDescent="0.35">
      <c r="A1937" s="376" t="s">
        <v>1615</v>
      </c>
      <c r="B1937" s="376" t="s">
        <v>1609</v>
      </c>
      <c r="C1937" s="376" t="s">
        <v>1054</v>
      </c>
      <c r="D1937" s="376">
        <v>2023</v>
      </c>
      <c r="E1937" s="376">
        <v>2028</v>
      </c>
      <c r="F1937" s="376">
        <v>1</v>
      </c>
      <c r="G1937" s="376">
        <v>20148.813739673951</v>
      </c>
      <c r="H1937" s="376">
        <v>0</v>
      </c>
      <c r="I1937" s="376">
        <v>0.65716939790195539</v>
      </c>
    </row>
    <row r="1938" spans="1:9" x14ac:dyDescent="0.35">
      <c r="A1938" s="376" t="s">
        <v>1615</v>
      </c>
      <c r="B1938" s="376" t="s">
        <v>1609</v>
      </c>
      <c r="C1938" s="376" t="s">
        <v>1046</v>
      </c>
      <c r="D1938" s="376">
        <v>2023</v>
      </c>
      <c r="E1938" s="376">
        <v>2029</v>
      </c>
      <c r="F1938" s="376">
        <v>1</v>
      </c>
      <c r="G1938" s="376">
        <v>20148.813739673951</v>
      </c>
      <c r="H1938" s="376">
        <v>0</v>
      </c>
      <c r="I1938" s="376">
        <v>0.65716939790195539</v>
      </c>
    </row>
    <row r="1939" spans="1:9" x14ac:dyDescent="0.35">
      <c r="A1939" s="376" t="s">
        <v>1615</v>
      </c>
      <c r="B1939" s="376" t="s">
        <v>1609</v>
      </c>
      <c r="C1939" s="376" t="s">
        <v>644</v>
      </c>
      <c r="D1939" s="376">
        <v>2023</v>
      </c>
      <c r="E1939" s="376">
        <v>2029</v>
      </c>
      <c r="F1939" s="376">
        <v>1</v>
      </c>
      <c r="G1939" s="376">
        <v>20148.813739673951</v>
      </c>
      <c r="H1939" s="376">
        <v>0</v>
      </c>
      <c r="I1939" s="376">
        <v>0.65716939790195539</v>
      </c>
    </row>
    <row r="1940" spans="1:9" x14ac:dyDescent="0.35">
      <c r="A1940" s="376" t="s">
        <v>1615</v>
      </c>
      <c r="B1940" s="376" t="s">
        <v>1609</v>
      </c>
      <c r="C1940" s="376" t="s">
        <v>628</v>
      </c>
      <c r="D1940" s="376">
        <v>2023</v>
      </c>
      <c r="E1940" s="376">
        <v>2029</v>
      </c>
      <c r="F1940" s="376">
        <v>1</v>
      </c>
      <c r="G1940" s="376">
        <v>20148.813739673951</v>
      </c>
      <c r="H1940" s="376">
        <v>0</v>
      </c>
      <c r="I1940" s="376">
        <v>0.65716939790195539</v>
      </c>
    </row>
    <row r="1941" spans="1:9" x14ac:dyDescent="0.35">
      <c r="A1941" s="376" t="s">
        <v>1615</v>
      </c>
      <c r="B1941" s="376" t="s">
        <v>1609</v>
      </c>
      <c r="C1941" s="376" t="s">
        <v>1051</v>
      </c>
      <c r="D1941" s="376">
        <v>2023</v>
      </c>
      <c r="E1941" s="376">
        <v>2029</v>
      </c>
      <c r="F1941" s="376">
        <v>1</v>
      </c>
      <c r="G1941" s="376">
        <v>20148.813739673951</v>
      </c>
      <c r="H1941" s="376">
        <v>0</v>
      </c>
      <c r="I1941" s="376">
        <v>0.65716939790195539</v>
      </c>
    </row>
    <row r="1942" spans="1:9" x14ac:dyDescent="0.35">
      <c r="A1942" s="376" t="s">
        <v>1615</v>
      </c>
      <c r="B1942" s="376" t="s">
        <v>1609</v>
      </c>
      <c r="C1942" s="376" t="s">
        <v>1054</v>
      </c>
      <c r="D1942" s="376">
        <v>2023</v>
      </c>
      <c r="E1942" s="376">
        <v>2029</v>
      </c>
      <c r="F1942" s="376">
        <v>1</v>
      </c>
      <c r="G1942" s="376">
        <v>20148.813739673951</v>
      </c>
      <c r="H1942" s="376">
        <v>0</v>
      </c>
      <c r="I1942" s="376">
        <v>0.65716939790195539</v>
      </c>
    </row>
    <row r="1943" spans="1:9" x14ac:dyDescent="0.35">
      <c r="A1943" s="376" t="s">
        <v>1615</v>
      </c>
      <c r="B1943" s="376" t="s">
        <v>1609</v>
      </c>
      <c r="C1943" s="376" t="s">
        <v>1046</v>
      </c>
      <c r="D1943" s="376">
        <v>2023</v>
      </c>
      <c r="E1943" s="376">
        <v>2030</v>
      </c>
      <c r="F1943" s="376">
        <v>1</v>
      </c>
      <c r="G1943" s="376">
        <v>20148.813739673951</v>
      </c>
      <c r="H1943" s="376">
        <v>0</v>
      </c>
      <c r="I1943" s="376">
        <v>0.65716939790195539</v>
      </c>
    </row>
    <row r="1944" spans="1:9" x14ac:dyDescent="0.35">
      <c r="A1944" s="376" t="s">
        <v>1615</v>
      </c>
      <c r="B1944" s="376" t="s">
        <v>1609</v>
      </c>
      <c r="C1944" s="376" t="s">
        <v>644</v>
      </c>
      <c r="D1944" s="376">
        <v>2023</v>
      </c>
      <c r="E1944" s="376">
        <v>2030</v>
      </c>
      <c r="F1944" s="376">
        <v>1</v>
      </c>
      <c r="G1944" s="376">
        <v>20148.813739673951</v>
      </c>
      <c r="H1944" s="376">
        <v>0</v>
      </c>
      <c r="I1944" s="376">
        <v>0.65716939790195539</v>
      </c>
    </row>
    <row r="1945" spans="1:9" x14ac:dyDescent="0.35">
      <c r="A1945" s="376" t="s">
        <v>1615</v>
      </c>
      <c r="B1945" s="376" t="s">
        <v>1609</v>
      </c>
      <c r="C1945" s="376" t="s">
        <v>628</v>
      </c>
      <c r="D1945" s="376">
        <v>2023</v>
      </c>
      <c r="E1945" s="376">
        <v>2030</v>
      </c>
      <c r="F1945" s="376">
        <v>1</v>
      </c>
      <c r="G1945" s="376">
        <v>20148.813739673951</v>
      </c>
      <c r="H1945" s="376">
        <v>0</v>
      </c>
      <c r="I1945" s="376">
        <v>0.65716939790195539</v>
      </c>
    </row>
    <row r="1946" spans="1:9" x14ac:dyDescent="0.35">
      <c r="A1946" s="376" t="s">
        <v>1615</v>
      </c>
      <c r="B1946" s="376" t="s">
        <v>1609</v>
      </c>
      <c r="C1946" s="376" t="s">
        <v>1051</v>
      </c>
      <c r="D1946" s="376">
        <v>2023</v>
      </c>
      <c r="E1946" s="376">
        <v>2030</v>
      </c>
      <c r="F1946" s="376">
        <v>1</v>
      </c>
      <c r="G1946" s="376">
        <v>20148.813739673951</v>
      </c>
      <c r="H1946" s="376">
        <v>0</v>
      </c>
      <c r="I1946" s="376">
        <v>0.65716939790195539</v>
      </c>
    </row>
    <row r="1947" spans="1:9" x14ac:dyDescent="0.35">
      <c r="A1947" s="376" t="s">
        <v>1615</v>
      </c>
      <c r="B1947" s="376" t="s">
        <v>1609</v>
      </c>
      <c r="C1947" s="376" t="s">
        <v>1054</v>
      </c>
      <c r="D1947" s="376">
        <v>2023</v>
      </c>
      <c r="E1947" s="376">
        <v>2030</v>
      </c>
      <c r="F1947" s="376">
        <v>1</v>
      </c>
      <c r="G1947" s="376">
        <v>20148.813739673951</v>
      </c>
      <c r="H1947" s="376">
        <v>0</v>
      </c>
      <c r="I1947" s="376">
        <v>0.65716939790195539</v>
      </c>
    </row>
    <row r="1948" spans="1:9" x14ac:dyDescent="0.35">
      <c r="A1948" s="376" t="s">
        <v>1615</v>
      </c>
      <c r="B1948" s="376" t="s">
        <v>1609</v>
      </c>
      <c r="C1948" s="376" t="s">
        <v>1046</v>
      </c>
      <c r="D1948" s="376">
        <v>2023</v>
      </c>
      <c r="E1948" s="376">
        <v>2031</v>
      </c>
      <c r="F1948" s="376">
        <v>1</v>
      </c>
      <c r="G1948" s="376">
        <v>20148.813739673951</v>
      </c>
      <c r="H1948" s="376">
        <v>0</v>
      </c>
      <c r="I1948" s="376">
        <v>0.65716939790195539</v>
      </c>
    </row>
    <row r="1949" spans="1:9" x14ac:dyDescent="0.35">
      <c r="A1949" s="376" t="s">
        <v>1615</v>
      </c>
      <c r="B1949" s="376" t="s">
        <v>1609</v>
      </c>
      <c r="C1949" s="376" t="s">
        <v>644</v>
      </c>
      <c r="D1949" s="376">
        <v>2023</v>
      </c>
      <c r="E1949" s="376">
        <v>2031</v>
      </c>
      <c r="F1949" s="376">
        <v>1</v>
      </c>
      <c r="G1949" s="376">
        <v>20148.813739673951</v>
      </c>
      <c r="H1949" s="376">
        <v>0</v>
      </c>
      <c r="I1949" s="376">
        <v>0.65716939790195539</v>
      </c>
    </row>
    <row r="1950" spans="1:9" x14ac:dyDescent="0.35">
      <c r="A1950" s="376" t="s">
        <v>1615</v>
      </c>
      <c r="B1950" s="376" t="s">
        <v>1609</v>
      </c>
      <c r="C1950" s="376" t="s">
        <v>628</v>
      </c>
      <c r="D1950" s="376">
        <v>2023</v>
      </c>
      <c r="E1950" s="376">
        <v>2031</v>
      </c>
      <c r="F1950" s="376">
        <v>1</v>
      </c>
      <c r="G1950" s="376">
        <v>20148.813739673951</v>
      </c>
      <c r="H1950" s="376">
        <v>0</v>
      </c>
      <c r="I1950" s="376">
        <v>0.65716939790195539</v>
      </c>
    </row>
    <row r="1951" spans="1:9" x14ac:dyDescent="0.35">
      <c r="A1951" s="376" t="s">
        <v>1615</v>
      </c>
      <c r="B1951" s="376" t="s">
        <v>1609</v>
      </c>
      <c r="C1951" s="376" t="s">
        <v>1051</v>
      </c>
      <c r="D1951" s="376">
        <v>2023</v>
      </c>
      <c r="E1951" s="376">
        <v>2031</v>
      </c>
      <c r="F1951" s="376">
        <v>1</v>
      </c>
      <c r="G1951" s="376">
        <v>20148.813739673951</v>
      </c>
      <c r="H1951" s="376">
        <v>0</v>
      </c>
      <c r="I1951" s="376">
        <v>0.65716939790195539</v>
      </c>
    </row>
    <row r="1952" spans="1:9" x14ac:dyDescent="0.35">
      <c r="A1952" s="376" t="s">
        <v>1615</v>
      </c>
      <c r="B1952" s="376" t="s">
        <v>1609</v>
      </c>
      <c r="C1952" s="376" t="s">
        <v>1054</v>
      </c>
      <c r="D1952" s="376">
        <v>2023</v>
      </c>
      <c r="E1952" s="376">
        <v>2031</v>
      </c>
      <c r="F1952" s="376">
        <v>1</v>
      </c>
      <c r="G1952" s="376">
        <v>20148.813739673951</v>
      </c>
      <c r="H1952" s="376">
        <v>0</v>
      </c>
      <c r="I1952" s="376">
        <v>0.65716939790195539</v>
      </c>
    </row>
    <row r="1953" spans="1:9" x14ac:dyDescent="0.35">
      <c r="A1953" s="376" t="s">
        <v>1603</v>
      </c>
      <c r="B1953" s="376" t="s">
        <v>1609</v>
      </c>
      <c r="C1953" s="376" t="s">
        <v>1046</v>
      </c>
      <c r="D1953" s="376">
        <v>2023</v>
      </c>
      <c r="E1953" s="376">
        <v>2023</v>
      </c>
      <c r="F1953" s="376">
        <v>1</v>
      </c>
      <c r="G1953" s="376">
        <v>6101.463203368502</v>
      </c>
      <c r="H1953" s="376">
        <v>0</v>
      </c>
      <c r="I1953" s="376">
        <v>1</v>
      </c>
    </row>
    <row r="1954" spans="1:9" x14ac:dyDescent="0.35">
      <c r="A1954" s="376" t="s">
        <v>1603</v>
      </c>
      <c r="B1954" s="376" t="s">
        <v>1609</v>
      </c>
      <c r="C1954" s="376" t="s">
        <v>644</v>
      </c>
      <c r="D1954" s="376">
        <v>2023</v>
      </c>
      <c r="E1954" s="376">
        <v>2023</v>
      </c>
      <c r="F1954" s="376">
        <v>1</v>
      </c>
      <c r="G1954" s="376">
        <v>6101.463203368502</v>
      </c>
      <c r="H1954" s="376">
        <v>0</v>
      </c>
      <c r="I1954" s="376">
        <v>1</v>
      </c>
    </row>
    <row r="1955" spans="1:9" x14ac:dyDescent="0.35">
      <c r="A1955" s="376" t="s">
        <v>1603</v>
      </c>
      <c r="B1955" s="376" t="s">
        <v>1609</v>
      </c>
      <c r="C1955" s="376" t="s">
        <v>628</v>
      </c>
      <c r="D1955" s="376">
        <v>2023</v>
      </c>
      <c r="E1955" s="376">
        <v>2023</v>
      </c>
      <c r="F1955" s="376">
        <v>1</v>
      </c>
      <c r="G1955" s="376">
        <v>6101.463203368502</v>
      </c>
      <c r="H1955" s="376">
        <v>0</v>
      </c>
      <c r="I1955" s="376">
        <v>1</v>
      </c>
    </row>
    <row r="1956" spans="1:9" x14ac:dyDescent="0.35">
      <c r="A1956" s="376" t="s">
        <v>1603</v>
      </c>
      <c r="B1956" s="376" t="s">
        <v>1609</v>
      </c>
      <c r="C1956" s="376" t="s">
        <v>1051</v>
      </c>
      <c r="D1956" s="376">
        <v>2023</v>
      </c>
      <c r="E1956" s="376">
        <v>2023</v>
      </c>
      <c r="F1956" s="376">
        <v>1</v>
      </c>
      <c r="G1956" s="376">
        <v>6101.463203368502</v>
      </c>
      <c r="H1956" s="376">
        <v>0</v>
      </c>
      <c r="I1956" s="376">
        <v>1</v>
      </c>
    </row>
    <row r="1957" spans="1:9" x14ac:dyDescent="0.35">
      <c r="A1957" s="376" t="s">
        <v>1603</v>
      </c>
      <c r="B1957" s="376" t="s">
        <v>1609</v>
      </c>
      <c r="C1957" s="376" t="s">
        <v>1054</v>
      </c>
      <c r="D1957" s="376">
        <v>2023</v>
      </c>
      <c r="E1957" s="376">
        <v>2023</v>
      </c>
      <c r="F1957" s="376">
        <v>1</v>
      </c>
      <c r="G1957" s="376">
        <v>6101.463203368502</v>
      </c>
      <c r="H1957" s="376">
        <v>0</v>
      </c>
      <c r="I1957" s="376">
        <v>1</v>
      </c>
    </row>
    <row r="1958" spans="1:9" x14ac:dyDescent="0.35">
      <c r="A1958" s="376" t="s">
        <v>1603</v>
      </c>
      <c r="B1958" s="376" t="s">
        <v>1609</v>
      </c>
      <c r="C1958" s="376" t="s">
        <v>1046</v>
      </c>
      <c r="D1958" s="376">
        <v>2023</v>
      </c>
      <c r="E1958" s="376">
        <v>2024</v>
      </c>
      <c r="F1958" s="376">
        <v>1</v>
      </c>
      <c r="G1958" s="376">
        <v>6101.463203368502</v>
      </c>
      <c r="H1958" s="376">
        <v>0</v>
      </c>
      <c r="I1958" s="376">
        <v>1</v>
      </c>
    </row>
    <row r="1959" spans="1:9" x14ac:dyDescent="0.35">
      <c r="A1959" s="376" t="s">
        <v>1603</v>
      </c>
      <c r="B1959" s="376" t="s">
        <v>1609</v>
      </c>
      <c r="C1959" s="376" t="s">
        <v>644</v>
      </c>
      <c r="D1959" s="376">
        <v>2023</v>
      </c>
      <c r="E1959" s="376">
        <v>2024</v>
      </c>
      <c r="F1959" s="376">
        <v>1</v>
      </c>
      <c r="G1959" s="376">
        <v>6101.463203368502</v>
      </c>
      <c r="H1959" s="376">
        <v>0</v>
      </c>
      <c r="I1959" s="376">
        <v>1</v>
      </c>
    </row>
    <row r="1960" spans="1:9" x14ac:dyDescent="0.35">
      <c r="A1960" s="376" t="s">
        <v>1603</v>
      </c>
      <c r="B1960" s="376" t="s">
        <v>1609</v>
      </c>
      <c r="C1960" s="376" t="s">
        <v>628</v>
      </c>
      <c r="D1960" s="376">
        <v>2023</v>
      </c>
      <c r="E1960" s="376">
        <v>2024</v>
      </c>
      <c r="F1960" s="376">
        <v>1</v>
      </c>
      <c r="G1960" s="376">
        <v>6101.463203368502</v>
      </c>
      <c r="H1960" s="376">
        <v>0</v>
      </c>
      <c r="I1960" s="376">
        <v>1</v>
      </c>
    </row>
    <row r="1961" spans="1:9" x14ac:dyDescent="0.35">
      <c r="A1961" s="376" t="s">
        <v>1603</v>
      </c>
      <c r="B1961" s="376" t="s">
        <v>1609</v>
      </c>
      <c r="C1961" s="376" t="s">
        <v>1051</v>
      </c>
      <c r="D1961" s="376">
        <v>2023</v>
      </c>
      <c r="E1961" s="376">
        <v>2024</v>
      </c>
      <c r="F1961" s="376">
        <v>1</v>
      </c>
      <c r="G1961" s="376">
        <v>6101.463203368502</v>
      </c>
      <c r="H1961" s="376">
        <v>0</v>
      </c>
      <c r="I1961" s="376">
        <v>1</v>
      </c>
    </row>
    <row r="1962" spans="1:9" x14ac:dyDescent="0.35">
      <c r="A1962" s="376" t="s">
        <v>1603</v>
      </c>
      <c r="B1962" s="376" t="s">
        <v>1609</v>
      </c>
      <c r="C1962" s="376" t="s">
        <v>1054</v>
      </c>
      <c r="D1962" s="376">
        <v>2023</v>
      </c>
      <c r="E1962" s="376">
        <v>2024</v>
      </c>
      <c r="F1962" s="376">
        <v>1</v>
      </c>
      <c r="G1962" s="376">
        <v>6101.463203368502</v>
      </c>
      <c r="H1962" s="376">
        <v>0</v>
      </c>
      <c r="I1962" s="376">
        <v>1</v>
      </c>
    </row>
    <row r="1963" spans="1:9" x14ac:dyDescent="0.35">
      <c r="A1963" s="376" t="s">
        <v>1603</v>
      </c>
      <c r="B1963" s="376" t="s">
        <v>1609</v>
      </c>
      <c r="C1963" s="376" t="s">
        <v>1046</v>
      </c>
      <c r="D1963" s="376">
        <v>2023</v>
      </c>
      <c r="E1963" s="376">
        <v>2025</v>
      </c>
      <c r="F1963" s="376">
        <v>1</v>
      </c>
      <c r="G1963" s="376">
        <v>6101.463203368502</v>
      </c>
      <c r="H1963" s="376">
        <v>0</v>
      </c>
      <c r="I1963" s="376">
        <v>1</v>
      </c>
    </row>
    <row r="1964" spans="1:9" x14ac:dyDescent="0.35">
      <c r="A1964" s="376" t="s">
        <v>1603</v>
      </c>
      <c r="B1964" s="376" t="s">
        <v>1609</v>
      </c>
      <c r="C1964" s="376" t="s">
        <v>644</v>
      </c>
      <c r="D1964" s="376">
        <v>2023</v>
      </c>
      <c r="E1964" s="376">
        <v>2025</v>
      </c>
      <c r="F1964" s="376">
        <v>1</v>
      </c>
      <c r="G1964" s="376">
        <v>6101.463203368502</v>
      </c>
      <c r="H1964" s="376">
        <v>0</v>
      </c>
      <c r="I1964" s="376">
        <v>1</v>
      </c>
    </row>
    <row r="1965" spans="1:9" x14ac:dyDescent="0.35">
      <c r="A1965" s="376" t="s">
        <v>1603</v>
      </c>
      <c r="B1965" s="376" t="s">
        <v>1609</v>
      </c>
      <c r="C1965" s="376" t="s">
        <v>628</v>
      </c>
      <c r="D1965" s="376">
        <v>2023</v>
      </c>
      <c r="E1965" s="376">
        <v>2025</v>
      </c>
      <c r="F1965" s="376">
        <v>1</v>
      </c>
      <c r="G1965" s="376">
        <v>6101.463203368502</v>
      </c>
      <c r="H1965" s="376">
        <v>0</v>
      </c>
      <c r="I1965" s="376">
        <v>1</v>
      </c>
    </row>
    <row r="1966" spans="1:9" x14ac:dyDescent="0.35">
      <c r="A1966" s="376" t="s">
        <v>1603</v>
      </c>
      <c r="B1966" s="376" t="s">
        <v>1609</v>
      </c>
      <c r="C1966" s="376" t="s">
        <v>1051</v>
      </c>
      <c r="D1966" s="376">
        <v>2023</v>
      </c>
      <c r="E1966" s="376">
        <v>2025</v>
      </c>
      <c r="F1966" s="376">
        <v>1</v>
      </c>
      <c r="G1966" s="376">
        <v>6101.463203368502</v>
      </c>
      <c r="H1966" s="376">
        <v>0</v>
      </c>
      <c r="I1966" s="376">
        <v>1</v>
      </c>
    </row>
    <row r="1967" spans="1:9" x14ac:dyDescent="0.35">
      <c r="A1967" s="376" t="s">
        <v>1603</v>
      </c>
      <c r="B1967" s="376" t="s">
        <v>1609</v>
      </c>
      <c r="C1967" s="376" t="s">
        <v>1054</v>
      </c>
      <c r="D1967" s="376">
        <v>2023</v>
      </c>
      <c r="E1967" s="376">
        <v>2025</v>
      </c>
      <c r="F1967" s="376">
        <v>1</v>
      </c>
      <c r="G1967" s="376">
        <v>6101.463203368502</v>
      </c>
      <c r="H1967" s="376">
        <v>0</v>
      </c>
      <c r="I1967" s="376">
        <v>1</v>
      </c>
    </row>
    <row r="1968" spans="1:9" x14ac:dyDescent="0.35">
      <c r="A1968" s="376" t="s">
        <v>1603</v>
      </c>
      <c r="B1968" s="376" t="s">
        <v>1609</v>
      </c>
      <c r="C1968" s="376" t="s">
        <v>1046</v>
      </c>
      <c r="D1968" s="376">
        <v>2023</v>
      </c>
      <c r="E1968" s="376">
        <v>2026</v>
      </c>
      <c r="F1968" s="376">
        <v>1</v>
      </c>
      <c r="G1968" s="376">
        <v>6101.463203368502</v>
      </c>
      <c r="H1968" s="376">
        <v>0</v>
      </c>
      <c r="I1968" s="376">
        <v>1</v>
      </c>
    </row>
    <row r="1969" spans="1:9" x14ac:dyDescent="0.35">
      <c r="A1969" s="376" t="s">
        <v>1603</v>
      </c>
      <c r="B1969" s="376" t="s">
        <v>1609</v>
      </c>
      <c r="C1969" s="376" t="s">
        <v>644</v>
      </c>
      <c r="D1969" s="376">
        <v>2023</v>
      </c>
      <c r="E1969" s="376">
        <v>2026</v>
      </c>
      <c r="F1969" s="376">
        <v>1</v>
      </c>
      <c r="G1969" s="376">
        <v>6101.463203368502</v>
      </c>
      <c r="H1969" s="376">
        <v>0</v>
      </c>
      <c r="I1969" s="376">
        <v>1</v>
      </c>
    </row>
    <row r="1970" spans="1:9" x14ac:dyDescent="0.35">
      <c r="A1970" s="376" t="s">
        <v>1603</v>
      </c>
      <c r="B1970" s="376" t="s">
        <v>1609</v>
      </c>
      <c r="C1970" s="376" t="s">
        <v>628</v>
      </c>
      <c r="D1970" s="376">
        <v>2023</v>
      </c>
      <c r="E1970" s="376">
        <v>2026</v>
      </c>
      <c r="F1970" s="376">
        <v>1</v>
      </c>
      <c r="G1970" s="376">
        <v>6101.463203368502</v>
      </c>
      <c r="H1970" s="376">
        <v>0</v>
      </c>
      <c r="I1970" s="376">
        <v>1</v>
      </c>
    </row>
    <row r="1971" spans="1:9" x14ac:dyDescent="0.35">
      <c r="A1971" s="376" t="s">
        <v>1603</v>
      </c>
      <c r="B1971" s="376" t="s">
        <v>1609</v>
      </c>
      <c r="C1971" s="376" t="s">
        <v>1051</v>
      </c>
      <c r="D1971" s="376">
        <v>2023</v>
      </c>
      <c r="E1971" s="376">
        <v>2026</v>
      </c>
      <c r="F1971" s="376">
        <v>1</v>
      </c>
      <c r="G1971" s="376">
        <v>6101.463203368502</v>
      </c>
      <c r="H1971" s="376">
        <v>0</v>
      </c>
      <c r="I1971" s="376">
        <v>1</v>
      </c>
    </row>
    <row r="1972" spans="1:9" x14ac:dyDescent="0.35">
      <c r="A1972" s="376" t="s">
        <v>1603</v>
      </c>
      <c r="B1972" s="376" t="s">
        <v>1609</v>
      </c>
      <c r="C1972" s="376" t="s">
        <v>1054</v>
      </c>
      <c r="D1972" s="376">
        <v>2023</v>
      </c>
      <c r="E1972" s="376">
        <v>2026</v>
      </c>
      <c r="F1972" s="376">
        <v>1</v>
      </c>
      <c r="G1972" s="376">
        <v>6101.463203368502</v>
      </c>
      <c r="H1972" s="376">
        <v>0</v>
      </c>
      <c r="I1972" s="376">
        <v>1</v>
      </c>
    </row>
    <row r="1973" spans="1:9" x14ac:dyDescent="0.35">
      <c r="A1973" s="376" t="s">
        <v>1603</v>
      </c>
      <c r="B1973" s="376" t="s">
        <v>1609</v>
      </c>
      <c r="C1973" s="376" t="s">
        <v>1046</v>
      </c>
      <c r="D1973" s="376">
        <v>2023</v>
      </c>
      <c r="E1973" s="376">
        <v>2027</v>
      </c>
      <c r="F1973" s="376">
        <v>1</v>
      </c>
      <c r="G1973" s="376">
        <v>6101.463203368502</v>
      </c>
      <c r="H1973" s="376">
        <v>0</v>
      </c>
      <c r="I1973" s="376">
        <v>1</v>
      </c>
    </row>
    <row r="1974" spans="1:9" x14ac:dyDescent="0.35">
      <c r="A1974" s="376" t="s">
        <v>1603</v>
      </c>
      <c r="B1974" s="376" t="s">
        <v>1609</v>
      </c>
      <c r="C1974" s="376" t="s">
        <v>644</v>
      </c>
      <c r="D1974" s="376">
        <v>2023</v>
      </c>
      <c r="E1974" s="376">
        <v>2027</v>
      </c>
      <c r="F1974" s="376">
        <v>1</v>
      </c>
      <c r="G1974" s="376">
        <v>6101.463203368502</v>
      </c>
      <c r="H1974" s="376">
        <v>0</v>
      </c>
      <c r="I1974" s="376">
        <v>1</v>
      </c>
    </row>
    <row r="1975" spans="1:9" x14ac:dyDescent="0.35">
      <c r="A1975" s="376" t="s">
        <v>1603</v>
      </c>
      <c r="B1975" s="376" t="s">
        <v>1609</v>
      </c>
      <c r="C1975" s="376" t="s">
        <v>628</v>
      </c>
      <c r="D1975" s="376">
        <v>2023</v>
      </c>
      <c r="E1975" s="376">
        <v>2027</v>
      </c>
      <c r="F1975" s="376">
        <v>1</v>
      </c>
      <c r="G1975" s="376">
        <v>6101.463203368502</v>
      </c>
      <c r="H1975" s="376">
        <v>0</v>
      </c>
      <c r="I1975" s="376">
        <v>1</v>
      </c>
    </row>
    <row r="1976" spans="1:9" x14ac:dyDescent="0.35">
      <c r="A1976" s="376" t="s">
        <v>1603</v>
      </c>
      <c r="B1976" s="376" t="s">
        <v>1609</v>
      </c>
      <c r="C1976" s="376" t="s">
        <v>1051</v>
      </c>
      <c r="D1976" s="376">
        <v>2023</v>
      </c>
      <c r="E1976" s="376">
        <v>2027</v>
      </c>
      <c r="F1976" s="376">
        <v>1</v>
      </c>
      <c r="G1976" s="376">
        <v>6101.463203368502</v>
      </c>
      <c r="H1976" s="376">
        <v>0</v>
      </c>
      <c r="I1976" s="376">
        <v>1</v>
      </c>
    </row>
    <row r="1977" spans="1:9" x14ac:dyDescent="0.35">
      <c r="A1977" s="376" t="s">
        <v>1603</v>
      </c>
      <c r="B1977" s="376" t="s">
        <v>1609</v>
      </c>
      <c r="C1977" s="376" t="s">
        <v>1054</v>
      </c>
      <c r="D1977" s="376">
        <v>2023</v>
      </c>
      <c r="E1977" s="376">
        <v>2027</v>
      </c>
      <c r="F1977" s="376">
        <v>1</v>
      </c>
      <c r="G1977" s="376">
        <v>6101.463203368502</v>
      </c>
      <c r="H1977" s="376">
        <v>0</v>
      </c>
      <c r="I1977" s="376">
        <v>1</v>
      </c>
    </row>
    <row r="1978" spans="1:9" x14ac:dyDescent="0.35">
      <c r="A1978" s="376" t="s">
        <v>1603</v>
      </c>
      <c r="B1978" s="376" t="s">
        <v>1609</v>
      </c>
      <c r="C1978" s="376" t="s">
        <v>1046</v>
      </c>
      <c r="D1978" s="376">
        <v>2023</v>
      </c>
      <c r="E1978" s="376">
        <v>2028</v>
      </c>
      <c r="F1978" s="376">
        <v>1</v>
      </c>
      <c r="G1978" s="376">
        <v>6101.463203368502</v>
      </c>
      <c r="H1978" s="376">
        <v>0</v>
      </c>
      <c r="I1978" s="376">
        <v>1</v>
      </c>
    </row>
    <row r="1979" spans="1:9" x14ac:dyDescent="0.35">
      <c r="A1979" s="376" t="s">
        <v>1603</v>
      </c>
      <c r="B1979" s="376" t="s">
        <v>1609</v>
      </c>
      <c r="C1979" s="376" t="s">
        <v>644</v>
      </c>
      <c r="D1979" s="376">
        <v>2023</v>
      </c>
      <c r="E1979" s="376">
        <v>2028</v>
      </c>
      <c r="F1979" s="376">
        <v>1</v>
      </c>
      <c r="G1979" s="376">
        <v>6101.463203368502</v>
      </c>
      <c r="H1979" s="376">
        <v>0</v>
      </c>
      <c r="I1979" s="376">
        <v>1</v>
      </c>
    </row>
    <row r="1980" spans="1:9" x14ac:dyDescent="0.35">
      <c r="A1980" s="376" t="s">
        <v>1603</v>
      </c>
      <c r="B1980" s="376" t="s">
        <v>1609</v>
      </c>
      <c r="C1980" s="376" t="s">
        <v>628</v>
      </c>
      <c r="D1980" s="376">
        <v>2023</v>
      </c>
      <c r="E1980" s="376">
        <v>2028</v>
      </c>
      <c r="F1980" s="376">
        <v>1</v>
      </c>
      <c r="G1980" s="376">
        <v>6101.463203368502</v>
      </c>
      <c r="H1980" s="376">
        <v>0</v>
      </c>
      <c r="I1980" s="376">
        <v>1</v>
      </c>
    </row>
    <row r="1981" spans="1:9" x14ac:dyDescent="0.35">
      <c r="A1981" s="376" t="s">
        <v>1603</v>
      </c>
      <c r="B1981" s="376" t="s">
        <v>1609</v>
      </c>
      <c r="C1981" s="376" t="s">
        <v>1051</v>
      </c>
      <c r="D1981" s="376">
        <v>2023</v>
      </c>
      <c r="E1981" s="376">
        <v>2028</v>
      </c>
      <c r="F1981" s="376">
        <v>1</v>
      </c>
      <c r="G1981" s="376">
        <v>6101.463203368502</v>
      </c>
      <c r="H1981" s="376">
        <v>0</v>
      </c>
      <c r="I1981" s="376">
        <v>1</v>
      </c>
    </row>
    <row r="1982" spans="1:9" x14ac:dyDescent="0.35">
      <c r="A1982" s="376" t="s">
        <v>1603</v>
      </c>
      <c r="B1982" s="376" t="s">
        <v>1609</v>
      </c>
      <c r="C1982" s="376" t="s">
        <v>1054</v>
      </c>
      <c r="D1982" s="376">
        <v>2023</v>
      </c>
      <c r="E1982" s="376">
        <v>2028</v>
      </c>
      <c r="F1982" s="376">
        <v>1</v>
      </c>
      <c r="G1982" s="376">
        <v>6101.463203368502</v>
      </c>
      <c r="H1982" s="376">
        <v>0</v>
      </c>
      <c r="I1982" s="376">
        <v>1</v>
      </c>
    </row>
    <row r="1983" spans="1:9" x14ac:dyDescent="0.35">
      <c r="A1983" s="376" t="s">
        <v>1603</v>
      </c>
      <c r="B1983" s="376" t="s">
        <v>1609</v>
      </c>
      <c r="C1983" s="376" t="s">
        <v>1046</v>
      </c>
      <c r="D1983" s="376">
        <v>2023</v>
      </c>
      <c r="E1983" s="376">
        <v>2029</v>
      </c>
      <c r="F1983" s="376">
        <v>1</v>
      </c>
      <c r="G1983" s="376">
        <v>6101.463203368502</v>
      </c>
      <c r="H1983" s="376">
        <v>0</v>
      </c>
      <c r="I1983" s="376">
        <v>1</v>
      </c>
    </row>
    <row r="1984" spans="1:9" x14ac:dyDescent="0.35">
      <c r="A1984" s="376" t="s">
        <v>1603</v>
      </c>
      <c r="B1984" s="376" t="s">
        <v>1609</v>
      </c>
      <c r="C1984" s="376" t="s">
        <v>644</v>
      </c>
      <c r="D1984" s="376">
        <v>2023</v>
      </c>
      <c r="E1984" s="376">
        <v>2029</v>
      </c>
      <c r="F1984" s="376">
        <v>1</v>
      </c>
      <c r="G1984" s="376">
        <v>6101.463203368502</v>
      </c>
      <c r="H1984" s="376">
        <v>0</v>
      </c>
      <c r="I1984" s="376">
        <v>1</v>
      </c>
    </row>
    <row r="1985" spans="1:9" x14ac:dyDescent="0.35">
      <c r="A1985" s="376" t="s">
        <v>1603</v>
      </c>
      <c r="B1985" s="376" t="s">
        <v>1609</v>
      </c>
      <c r="C1985" s="376" t="s">
        <v>628</v>
      </c>
      <c r="D1985" s="376">
        <v>2023</v>
      </c>
      <c r="E1985" s="376">
        <v>2029</v>
      </c>
      <c r="F1985" s="376">
        <v>1</v>
      </c>
      <c r="G1985" s="376">
        <v>6101.463203368502</v>
      </c>
      <c r="H1985" s="376">
        <v>0</v>
      </c>
      <c r="I1985" s="376">
        <v>1</v>
      </c>
    </row>
    <row r="1986" spans="1:9" x14ac:dyDescent="0.35">
      <c r="A1986" s="376" t="s">
        <v>1603</v>
      </c>
      <c r="B1986" s="376" t="s">
        <v>1609</v>
      </c>
      <c r="C1986" s="376" t="s">
        <v>1051</v>
      </c>
      <c r="D1986" s="376">
        <v>2023</v>
      </c>
      <c r="E1986" s="376">
        <v>2029</v>
      </c>
      <c r="F1986" s="376">
        <v>1</v>
      </c>
      <c r="G1986" s="376">
        <v>6101.463203368502</v>
      </c>
      <c r="H1986" s="376">
        <v>0</v>
      </c>
      <c r="I1986" s="376">
        <v>1</v>
      </c>
    </row>
    <row r="1987" spans="1:9" x14ac:dyDescent="0.35">
      <c r="A1987" s="376" t="s">
        <v>1603</v>
      </c>
      <c r="B1987" s="376" t="s">
        <v>1609</v>
      </c>
      <c r="C1987" s="376" t="s">
        <v>1054</v>
      </c>
      <c r="D1987" s="376">
        <v>2023</v>
      </c>
      <c r="E1987" s="376">
        <v>2029</v>
      </c>
      <c r="F1987" s="376">
        <v>1</v>
      </c>
      <c r="G1987" s="376">
        <v>6101.463203368502</v>
      </c>
      <c r="H1987" s="376">
        <v>0</v>
      </c>
      <c r="I1987" s="376">
        <v>1</v>
      </c>
    </row>
    <row r="1988" spans="1:9" x14ac:dyDescent="0.35">
      <c r="A1988" s="376" t="s">
        <v>1603</v>
      </c>
      <c r="B1988" s="376" t="s">
        <v>1609</v>
      </c>
      <c r="C1988" s="376" t="s">
        <v>1046</v>
      </c>
      <c r="D1988" s="376">
        <v>2023</v>
      </c>
      <c r="E1988" s="376">
        <v>2030</v>
      </c>
      <c r="F1988" s="376">
        <v>1</v>
      </c>
      <c r="G1988" s="376">
        <v>6101.463203368502</v>
      </c>
      <c r="H1988" s="376">
        <v>0</v>
      </c>
      <c r="I1988" s="376">
        <v>1</v>
      </c>
    </row>
    <row r="1989" spans="1:9" x14ac:dyDescent="0.35">
      <c r="A1989" s="376" t="s">
        <v>1603</v>
      </c>
      <c r="B1989" s="376" t="s">
        <v>1609</v>
      </c>
      <c r="C1989" s="376" t="s">
        <v>644</v>
      </c>
      <c r="D1989" s="376">
        <v>2023</v>
      </c>
      <c r="E1989" s="376">
        <v>2030</v>
      </c>
      <c r="F1989" s="376">
        <v>1</v>
      </c>
      <c r="G1989" s="376">
        <v>6101.463203368502</v>
      </c>
      <c r="H1989" s="376">
        <v>0</v>
      </c>
      <c r="I1989" s="376">
        <v>1</v>
      </c>
    </row>
    <row r="1990" spans="1:9" x14ac:dyDescent="0.35">
      <c r="A1990" s="376" t="s">
        <v>1603</v>
      </c>
      <c r="B1990" s="376" t="s">
        <v>1609</v>
      </c>
      <c r="C1990" s="376" t="s">
        <v>628</v>
      </c>
      <c r="D1990" s="376">
        <v>2023</v>
      </c>
      <c r="E1990" s="376">
        <v>2030</v>
      </c>
      <c r="F1990" s="376">
        <v>1</v>
      </c>
      <c r="G1990" s="376">
        <v>6101.463203368502</v>
      </c>
      <c r="H1990" s="376">
        <v>0</v>
      </c>
      <c r="I1990" s="376">
        <v>1</v>
      </c>
    </row>
    <row r="1991" spans="1:9" x14ac:dyDescent="0.35">
      <c r="A1991" s="376" t="s">
        <v>1603</v>
      </c>
      <c r="B1991" s="376" t="s">
        <v>1609</v>
      </c>
      <c r="C1991" s="376" t="s">
        <v>1051</v>
      </c>
      <c r="D1991" s="376">
        <v>2023</v>
      </c>
      <c r="E1991" s="376">
        <v>2030</v>
      </c>
      <c r="F1991" s="376">
        <v>1</v>
      </c>
      <c r="G1991" s="376">
        <v>6101.463203368502</v>
      </c>
      <c r="H1991" s="376">
        <v>0</v>
      </c>
      <c r="I1991" s="376">
        <v>1</v>
      </c>
    </row>
    <row r="1992" spans="1:9" x14ac:dyDescent="0.35">
      <c r="A1992" s="376" t="s">
        <v>1603</v>
      </c>
      <c r="B1992" s="376" t="s">
        <v>1609</v>
      </c>
      <c r="C1992" s="376" t="s">
        <v>1054</v>
      </c>
      <c r="D1992" s="376">
        <v>2023</v>
      </c>
      <c r="E1992" s="376">
        <v>2030</v>
      </c>
      <c r="F1992" s="376">
        <v>1</v>
      </c>
      <c r="G1992" s="376">
        <v>6101.463203368502</v>
      </c>
      <c r="H1992" s="376">
        <v>0</v>
      </c>
      <c r="I1992" s="376">
        <v>1</v>
      </c>
    </row>
    <row r="1993" spans="1:9" x14ac:dyDescent="0.35">
      <c r="A1993" s="376" t="s">
        <v>1603</v>
      </c>
      <c r="B1993" s="376" t="s">
        <v>1609</v>
      </c>
      <c r="C1993" s="376" t="s">
        <v>1046</v>
      </c>
      <c r="D1993" s="376">
        <v>2023</v>
      </c>
      <c r="E1993" s="376">
        <v>2031</v>
      </c>
      <c r="F1993" s="376">
        <v>1</v>
      </c>
      <c r="G1993" s="376">
        <v>6101.463203368502</v>
      </c>
      <c r="H1993" s="376">
        <v>0</v>
      </c>
      <c r="I1993" s="376">
        <v>1</v>
      </c>
    </row>
    <row r="1994" spans="1:9" x14ac:dyDescent="0.35">
      <c r="A1994" s="376" t="s">
        <v>1603</v>
      </c>
      <c r="B1994" s="376" t="s">
        <v>1609</v>
      </c>
      <c r="C1994" s="376" t="s">
        <v>644</v>
      </c>
      <c r="D1994" s="376">
        <v>2023</v>
      </c>
      <c r="E1994" s="376">
        <v>2031</v>
      </c>
      <c r="F1994" s="376">
        <v>1</v>
      </c>
      <c r="G1994" s="376">
        <v>6101.463203368502</v>
      </c>
      <c r="H1994" s="376">
        <v>0</v>
      </c>
      <c r="I1994" s="376">
        <v>1</v>
      </c>
    </row>
    <row r="1995" spans="1:9" x14ac:dyDescent="0.35">
      <c r="A1995" s="376" t="s">
        <v>1603</v>
      </c>
      <c r="B1995" s="376" t="s">
        <v>1609</v>
      </c>
      <c r="C1995" s="376" t="s">
        <v>628</v>
      </c>
      <c r="D1995" s="376">
        <v>2023</v>
      </c>
      <c r="E1995" s="376">
        <v>2031</v>
      </c>
      <c r="F1995" s="376">
        <v>1</v>
      </c>
      <c r="G1995" s="376">
        <v>6101.463203368502</v>
      </c>
      <c r="H1995" s="376">
        <v>0</v>
      </c>
      <c r="I1995" s="376">
        <v>1</v>
      </c>
    </row>
    <row r="1996" spans="1:9" x14ac:dyDescent="0.35">
      <c r="A1996" s="376" t="s">
        <v>1603</v>
      </c>
      <c r="B1996" s="376" t="s">
        <v>1609</v>
      </c>
      <c r="C1996" s="376" t="s">
        <v>1051</v>
      </c>
      <c r="D1996" s="376">
        <v>2023</v>
      </c>
      <c r="E1996" s="376">
        <v>2031</v>
      </c>
      <c r="F1996" s="376">
        <v>1</v>
      </c>
      <c r="G1996" s="376">
        <v>6101.463203368502</v>
      </c>
      <c r="H1996" s="376">
        <v>0</v>
      </c>
      <c r="I1996" s="376">
        <v>1</v>
      </c>
    </row>
    <row r="1997" spans="1:9" x14ac:dyDescent="0.35">
      <c r="A1997" s="376" t="s">
        <v>1603</v>
      </c>
      <c r="B1997" s="376" t="s">
        <v>1609</v>
      </c>
      <c r="C1997" s="376" t="s">
        <v>1054</v>
      </c>
      <c r="D1997" s="376">
        <v>2023</v>
      </c>
      <c r="E1997" s="376">
        <v>2031</v>
      </c>
      <c r="F1997" s="376">
        <v>1</v>
      </c>
      <c r="G1997" s="376">
        <v>6101.463203368502</v>
      </c>
      <c r="H1997" s="376">
        <v>0</v>
      </c>
      <c r="I1997" s="376">
        <v>1</v>
      </c>
    </row>
    <row r="1998" spans="1:9" x14ac:dyDescent="0.35">
      <c r="A1998" s="376" t="s">
        <v>1605</v>
      </c>
      <c r="B1998" s="376" t="s">
        <v>1609</v>
      </c>
      <c r="C1998" s="376" t="s">
        <v>1046</v>
      </c>
      <c r="D1998" s="376">
        <v>2023</v>
      </c>
      <c r="E1998" s="376">
        <v>2023</v>
      </c>
      <c r="F1998" s="376">
        <v>0.23884589662749595</v>
      </c>
      <c r="G1998" s="376">
        <v>10426.102375692073</v>
      </c>
      <c r="H1998" s="376">
        <v>0</v>
      </c>
      <c r="I1998" s="376">
        <v>1</v>
      </c>
    </row>
    <row r="1999" spans="1:9" x14ac:dyDescent="0.35">
      <c r="A1999" s="376" t="s">
        <v>1605</v>
      </c>
      <c r="B1999" s="376" t="s">
        <v>1609</v>
      </c>
      <c r="C1999" s="376" t="s">
        <v>644</v>
      </c>
      <c r="D1999" s="376">
        <v>2023</v>
      </c>
      <c r="E1999" s="376">
        <v>2023</v>
      </c>
      <c r="F1999" s="376">
        <v>0.23884589662749595</v>
      </c>
      <c r="G1999" s="376">
        <v>10426.102375692073</v>
      </c>
      <c r="H1999" s="376">
        <v>0</v>
      </c>
      <c r="I1999" s="376">
        <v>1</v>
      </c>
    </row>
    <row r="2000" spans="1:9" x14ac:dyDescent="0.35">
      <c r="A2000" s="376" t="s">
        <v>1605</v>
      </c>
      <c r="B2000" s="376" t="s">
        <v>1609</v>
      </c>
      <c r="C2000" s="376" t="s">
        <v>628</v>
      </c>
      <c r="D2000" s="376">
        <v>2023</v>
      </c>
      <c r="E2000" s="376">
        <v>2023</v>
      </c>
      <c r="F2000" s="376">
        <v>0.23884589662749595</v>
      </c>
      <c r="G2000" s="376">
        <v>10426.102375692073</v>
      </c>
      <c r="H2000" s="376">
        <v>0</v>
      </c>
      <c r="I2000" s="376">
        <v>1</v>
      </c>
    </row>
    <row r="2001" spans="1:9" x14ac:dyDescent="0.35">
      <c r="A2001" s="376" t="s">
        <v>1605</v>
      </c>
      <c r="B2001" s="376" t="s">
        <v>1609</v>
      </c>
      <c r="C2001" s="376" t="s">
        <v>1051</v>
      </c>
      <c r="D2001" s="376">
        <v>2023</v>
      </c>
      <c r="E2001" s="376">
        <v>2023</v>
      </c>
      <c r="F2001" s="376">
        <v>0.23884589662749595</v>
      </c>
      <c r="G2001" s="376">
        <v>10426.102375692073</v>
      </c>
      <c r="H2001" s="376">
        <v>0</v>
      </c>
      <c r="I2001" s="376">
        <v>1</v>
      </c>
    </row>
    <row r="2002" spans="1:9" x14ac:dyDescent="0.35">
      <c r="A2002" s="376" t="s">
        <v>1605</v>
      </c>
      <c r="B2002" s="376" t="s">
        <v>1609</v>
      </c>
      <c r="C2002" s="376" t="s">
        <v>1054</v>
      </c>
      <c r="D2002" s="376">
        <v>2023</v>
      </c>
      <c r="E2002" s="376">
        <v>2023</v>
      </c>
      <c r="F2002" s="376">
        <v>0.23884589662749595</v>
      </c>
      <c r="G2002" s="376">
        <v>10426.102375692073</v>
      </c>
      <c r="H2002" s="376">
        <v>0</v>
      </c>
      <c r="I2002" s="376">
        <v>1</v>
      </c>
    </row>
    <row r="2003" spans="1:9" x14ac:dyDescent="0.35">
      <c r="A2003" s="376" t="s">
        <v>1605</v>
      </c>
      <c r="B2003" s="376" t="s">
        <v>1609</v>
      </c>
      <c r="C2003" s="376" t="s">
        <v>1046</v>
      </c>
      <c r="D2003" s="376">
        <v>2023</v>
      </c>
      <c r="E2003" s="376">
        <v>2024</v>
      </c>
      <c r="F2003" s="376">
        <v>0.23884589662749595</v>
      </c>
      <c r="G2003" s="376">
        <v>10426.102375692073</v>
      </c>
      <c r="H2003" s="376">
        <v>0</v>
      </c>
      <c r="I2003" s="376">
        <v>1</v>
      </c>
    </row>
    <row r="2004" spans="1:9" x14ac:dyDescent="0.35">
      <c r="A2004" s="376" t="s">
        <v>1605</v>
      </c>
      <c r="B2004" s="376" t="s">
        <v>1609</v>
      </c>
      <c r="C2004" s="376" t="s">
        <v>644</v>
      </c>
      <c r="D2004" s="376">
        <v>2023</v>
      </c>
      <c r="E2004" s="376">
        <v>2024</v>
      </c>
      <c r="F2004" s="376">
        <v>0.23884589662749595</v>
      </c>
      <c r="G2004" s="376">
        <v>10426.102375692073</v>
      </c>
      <c r="H2004" s="376">
        <v>0</v>
      </c>
      <c r="I2004" s="376">
        <v>1</v>
      </c>
    </row>
    <row r="2005" spans="1:9" x14ac:dyDescent="0.35">
      <c r="A2005" s="376" t="s">
        <v>1605</v>
      </c>
      <c r="B2005" s="376" t="s">
        <v>1609</v>
      </c>
      <c r="C2005" s="376" t="s">
        <v>628</v>
      </c>
      <c r="D2005" s="376">
        <v>2023</v>
      </c>
      <c r="E2005" s="376">
        <v>2024</v>
      </c>
      <c r="F2005" s="376">
        <v>0.23884589662749595</v>
      </c>
      <c r="G2005" s="376">
        <v>10426.102375692073</v>
      </c>
      <c r="H2005" s="376">
        <v>0</v>
      </c>
      <c r="I2005" s="376">
        <v>1</v>
      </c>
    </row>
    <row r="2006" spans="1:9" x14ac:dyDescent="0.35">
      <c r="A2006" s="376" t="s">
        <v>1605</v>
      </c>
      <c r="B2006" s="376" t="s">
        <v>1609</v>
      </c>
      <c r="C2006" s="376" t="s">
        <v>1051</v>
      </c>
      <c r="D2006" s="376">
        <v>2023</v>
      </c>
      <c r="E2006" s="376">
        <v>2024</v>
      </c>
      <c r="F2006" s="376">
        <v>0.23884589662749595</v>
      </c>
      <c r="G2006" s="376">
        <v>10426.102375692073</v>
      </c>
      <c r="H2006" s="376">
        <v>0</v>
      </c>
      <c r="I2006" s="376">
        <v>1</v>
      </c>
    </row>
    <row r="2007" spans="1:9" x14ac:dyDescent="0.35">
      <c r="A2007" s="376" t="s">
        <v>1605</v>
      </c>
      <c r="B2007" s="376" t="s">
        <v>1609</v>
      </c>
      <c r="C2007" s="376" t="s">
        <v>1054</v>
      </c>
      <c r="D2007" s="376">
        <v>2023</v>
      </c>
      <c r="E2007" s="376">
        <v>2024</v>
      </c>
      <c r="F2007" s="376">
        <v>0.23884589662749595</v>
      </c>
      <c r="G2007" s="376">
        <v>10426.102375692073</v>
      </c>
      <c r="H2007" s="376">
        <v>0</v>
      </c>
      <c r="I2007" s="376">
        <v>1</v>
      </c>
    </row>
    <row r="2008" spans="1:9" x14ac:dyDescent="0.35">
      <c r="A2008" s="376" t="s">
        <v>1605</v>
      </c>
      <c r="B2008" s="376" t="s">
        <v>1609</v>
      </c>
      <c r="C2008" s="376" t="s">
        <v>1046</v>
      </c>
      <c r="D2008" s="376">
        <v>2023</v>
      </c>
      <c r="E2008" s="376">
        <v>2025</v>
      </c>
      <c r="F2008" s="376">
        <v>0.23884589662749595</v>
      </c>
      <c r="G2008" s="376">
        <v>10426.102375692073</v>
      </c>
      <c r="H2008" s="376">
        <v>0</v>
      </c>
      <c r="I2008" s="376">
        <v>1</v>
      </c>
    </row>
    <row r="2009" spans="1:9" x14ac:dyDescent="0.35">
      <c r="A2009" s="376" t="s">
        <v>1605</v>
      </c>
      <c r="B2009" s="376" t="s">
        <v>1609</v>
      </c>
      <c r="C2009" s="376" t="s">
        <v>644</v>
      </c>
      <c r="D2009" s="376">
        <v>2023</v>
      </c>
      <c r="E2009" s="376">
        <v>2025</v>
      </c>
      <c r="F2009" s="376">
        <v>0.23884589662749595</v>
      </c>
      <c r="G2009" s="376">
        <v>10426.102375692073</v>
      </c>
      <c r="H2009" s="376">
        <v>0</v>
      </c>
      <c r="I2009" s="376">
        <v>1</v>
      </c>
    </row>
    <row r="2010" spans="1:9" x14ac:dyDescent="0.35">
      <c r="A2010" s="376" t="s">
        <v>1605</v>
      </c>
      <c r="B2010" s="376" t="s">
        <v>1609</v>
      </c>
      <c r="C2010" s="376" t="s">
        <v>628</v>
      </c>
      <c r="D2010" s="376">
        <v>2023</v>
      </c>
      <c r="E2010" s="376">
        <v>2025</v>
      </c>
      <c r="F2010" s="376">
        <v>0.23884589662749595</v>
      </c>
      <c r="G2010" s="376">
        <v>10426.102375692073</v>
      </c>
      <c r="H2010" s="376">
        <v>0</v>
      </c>
      <c r="I2010" s="376">
        <v>1</v>
      </c>
    </row>
    <row r="2011" spans="1:9" x14ac:dyDescent="0.35">
      <c r="A2011" s="376" t="s">
        <v>1605</v>
      </c>
      <c r="B2011" s="376" t="s">
        <v>1609</v>
      </c>
      <c r="C2011" s="376" t="s">
        <v>1051</v>
      </c>
      <c r="D2011" s="376">
        <v>2023</v>
      </c>
      <c r="E2011" s="376">
        <v>2025</v>
      </c>
      <c r="F2011" s="376">
        <v>0.23884589662749595</v>
      </c>
      <c r="G2011" s="376">
        <v>10426.102375692073</v>
      </c>
      <c r="H2011" s="376">
        <v>0</v>
      </c>
      <c r="I2011" s="376">
        <v>1</v>
      </c>
    </row>
    <row r="2012" spans="1:9" x14ac:dyDescent="0.35">
      <c r="A2012" s="376" t="s">
        <v>1605</v>
      </c>
      <c r="B2012" s="376" t="s">
        <v>1609</v>
      </c>
      <c r="C2012" s="376" t="s">
        <v>1054</v>
      </c>
      <c r="D2012" s="376">
        <v>2023</v>
      </c>
      <c r="E2012" s="376">
        <v>2025</v>
      </c>
      <c r="F2012" s="376">
        <v>0.23884589662749595</v>
      </c>
      <c r="G2012" s="376">
        <v>10426.102375692073</v>
      </c>
      <c r="H2012" s="376">
        <v>0</v>
      </c>
      <c r="I2012" s="376">
        <v>1</v>
      </c>
    </row>
    <row r="2013" spans="1:9" x14ac:dyDescent="0.35">
      <c r="A2013" s="376" t="s">
        <v>1605</v>
      </c>
      <c r="B2013" s="376" t="s">
        <v>1609</v>
      </c>
      <c r="C2013" s="376" t="s">
        <v>1046</v>
      </c>
      <c r="D2013" s="376">
        <v>2023</v>
      </c>
      <c r="E2013" s="376">
        <v>2026</v>
      </c>
      <c r="F2013" s="376">
        <v>0.23884589662749595</v>
      </c>
      <c r="G2013" s="376">
        <v>10426.102375692073</v>
      </c>
      <c r="H2013" s="376">
        <v>0</v>
      </c>
      <c r="I2013" s="376">
        <v>1</v>
      </c>
    </row>
    <row r="2014" spans="1:9" x14ac:dyDescent="0.35">
      <c r="A2014" s="376" t="s">
        <v>1605</v>
      </c>
      <c r="B2014" s="376" t="s">
        <v>1609</v>
      </c>
      <c r="C2014" s="376" t="s">
        <v>644</v>
      </c>
      <c r="D2014" s="376">
        <v>2023</v>
      </c>
      <c r="E2014" s="376">
        <v>2026</v>
      </c>
      <c r="F2014" s="376">
        <v>0.23884589662749595</v>
      </c>
      <c r="G2014" s="376">
        <v>10426.102375692073</v>
      </c>
      <c r="H2014" s="376">
        <v>0</v>
      </c>
      <c r="I2014" s="376">
        <v>1</v>
      </c>
    </row>
    <row r="2015" spans="1:9" x14ac:dyDescent="0.35">
      <c r="A2015" s="376" t="s">
        <v>1605</v>
      </c>
      <c r="B2015" s="376" t="s">
        <v>1609</v>
      </c>
      <c r="C2015" s="376" t="s">
        <v>628</v>
      </c>
      <c r="D2015" s="376">
        <v>2023</v>
      </c>
      <c r="E2015" s="376">
        <v>2026</v>
      </c>
      <c r="F2015" s="376">
        <v>0.23884589662749595</v>
      </c>
      <c r="G2015" s="376">
        <v>10426.102375692073</v>
      </c>
      <c r="H2015" s="376">
        <v>0</v>
      </c>
      <c r="I2015" s="376">
        <v>1</v>
      </c>
    </row>
    <row r="2016" spans="1:9" x14ac:dyDescent="0.35">
      <c r="A2016" s="376" t="s">
        <v>1605</v>
      </c>
      <c r="B2016" s="376" t="s">
        <v>1609</v>
      </c>
      <c r="C2016" s="376" t="s">
        <v>1051</v>
      </c>
      <c r="D2016" s="376">
        <v>2023</v>
      </c>
      <c r="E2016" s="376">
        <v>2026</v>
      </c>
      <c r="F2016" s="376">
        <v>0.23884589662749595</v>
      </c>
      <c r="G2016" s="376">
        <v>10426.102375692073</v>
      </c>
      <c r="H2016" s="376">
        <v>0</v>
      </c>
      <c r="I2016" s="376">
        <v>1</v>
      </c>
    </row>
    <row r="2017" spans="1:9" x14ac:dyDescent="0.35">
      <c r="A2017" s="376" t="s">
        <v>1605</v>
      </c>
      <c r="B2017" s="376" t="s">
        <v>1609</v>
      </c>
      <c r="C2017" s="376" t="s">
        <v>1054</v>
      </c>
      <c r="D2017" s="376">
        <v>2023</v>
      </c>
      <c r="E2017" s="376">
        <v>2026</v>
      </c>
      <c r="F2017" s="376">
        <v>0.23884589662749595</v>
      </c>
      <c r="G2017" s="376">
        <v>10426.102375692073</v>
      </c>
      <c r="H2017" s="376">
        <v>0</v>
      </c>
      <c r="I2017" s="376">
        <v>1</v>
      </c>
    </row>
    <row r="2018" spans="1:9" x14ac:dyDescent="0.35">
      <c r="A2018" s="376" t="s">
        <v>1605</v>
      </c>
      <c r="B2018" s="376" t="s">
        <v>1609</v>
      </c>
      <c r="C2018" s="376" t="s">
        <v>1046</v>
      </c>
      <c r="D2018" s="376">
        <v>2023</v>
      </c>
      <c r="E2018" s="376">
        <v>2027</v>
      </c>
      <c r="F2018" s="376">
        <v>0.23884589662749595</v>
      </c>
      <c r="G2018" s="376">
        <v>10426.102375692073</v>
      </c>
      <c r="H2018" s="376">
        <v>0</v>
      </c>
      <c r="I2018" s="376">
        <v>1</v>
      </c>
    </row>
    <row r="2019" spans="1:9" x14ac:dyDescent="0.35">
      <c r="A2019" s="376" t="s">
        <v>1605</v>
      </c>
      <c r="B2019" s="376" t="s">
        <v>1609</v>
      </c>
      <c r="C2019" s="376" t="s">
        <v>644</v>
      </c>
      <c r="D2019" s="376">
        <v>2023</v>
      </c>
      <c r="E2019" s="376">
        <v>2027</v>
      </c>
      <c r="F2019" s="376">
        <v>0.23884589662749595</v>
      </c>
      <c r="G2019" s="376">
        <v>10426.102375692073</v>
      </c>
      <c r="H2019" s="376">
        <v>0</v>
      </c>
      <c r="I2019" s="376">
        <v>1</v>
      </c>
    </row>
    <row r="2020" spans="1:9" x14ac:dyDescent="0.35">
      <c r="A2020" s="376" t="s">
        <v>1605</v>
      </c>
      <c r="B2020" s="376" t="s">
        <v>1609</v>
      </c>
      <c r="C2020" s="376" t="s">
        <v>628</v>
      </c>
      <c r="D2020" s="376">
        <v>2023</v>
      </c>
      <c r="E2020" s="376">
        <v>2027</v>
      </c>
      <c r="F2020" s="376">
        <v>0.23884589662749595</v>
      </c>
      <c r="G2020" s="376">
        <v>10426.102375692073</v>
      </c>
      <c r="H2020" s="376">
        <v>0</v>
      </c>
      <c r="I2020" s="376">
        <v>1</v>
      </c>
    </row>
    <row r="2021" spans="1:9" x14ac:dyDescent="0.35">
      <c r="A2021" s="376" t="s">
        <v>1605</v>
      </c>
      <c r="B2021" s="376" t="s">
        <v>1609</v>
      </c>
      <c r="C2021" s="376" t="s">
        <v>1051</v>
      </c>
      <c r="D2021" s="376">
        <v>2023</v>
      </c>
      <c r="E2021" s="376">
        <v>2027</v>
      </c>
      <c r="F2021" s="376">
        <v>0.23884589662749595</v>
      </c>
      <c r="G2021" s="376">
        <v>10426.102375692073</v>
      </c>
      <c r="H2021" s="376">
        <v>0</v>
      </c>
      <c r="I2021" s="376">
        <v>1</v>
      </c>
    </row>
    <row r="2022" spans="1:9" x14ac:dyDescent="0.35">
      <c r="A2022" s="376" t="s">
        <v>1605</v>
      </c>
      <c r="B2022" s="376" t="s">
        <v>1609</v>
      </c>
      <c r="C2022" s="376" t="s">
        <v>1054</v>
      </c>
      <c r="D2022" s="376">
        <v>2023</v>
      </c>
      <c r="E2022" s="376">
        <v>2027</v>
      </c>
      <c r="F2022" s="376">
        <v>0.23884589662749595</v>
      </c>
      <c r="G2022" s="376">
        <v>10426.102375692073</v>
      </c>
      <c r="H2022" s="376">
        <v>0</v>
      </c>
      <c r="I2022" s="376">
        <v>1</v>
      </c>
    </row>
    <row r="2023" spans="1:9" x14ac:dyDescent="0.35">
      <c r="A2023" s="376" t="s">
        <v>1605</v>
      </c>
      <c r="B2023" s="376" t="s">
        <v>1609</v>
      </c>
      <c r="C2023" s="376" t="s">
        <v>1046</v>
      </c>
      <c r="D2023" s="376">
        <v>2023</v>
      </c>
      <c r="E2023" s="376">
        <v>2028</v>
      </c>
      <c r="F2023" s="376">
        <v>0.23884589662749595</v>
      </c>
      <c r="G2023" s="376">
        <v>10426.102375692073</v>
      </c>
      <c r="H2023" s="376">
        <v>0</v>
      </c>
      <c r="I2023" s="376">
        <v>1</v>
      </c>
    </row>
    <row r="2024" spans="1:9" x14ac:dyDescent="0.35">
      <c r="A2024" s="376" t="s">
        <v>1605</v>
      </c>
      <c r="B2024" s="376" t="s">
        <v>1609</v>
      </c>
      <c r="C2024" s="376" t="s">
        <v>644</v>
      </c>
      <c r="D2024" s="376">
        <v>2023</v>
      </c>
      <c r="E2024" s="376">
        <v>2028</v>
      </c>
      <c r="F2024" s="376">
        <v>0.23884589662749595</v>
      </c>
      <c r="G2024" s="376">
        <v>10426.102375692073</v>
      </c>
      <c r="H2024" s="376">
        <v>0</v>
      </c>
      <c r="I2024" s="376">
        <v>1</v>
      </c>
    </row>
    <row r="2025" spans="1:9" x14ac:dyDescent="0.35">
      <c r="A2025" s="376" t="s">
        <v>1605</v>
      </c>
      <c r="B2025" s="376" t="s">
        <v>1609</v>
      </c>
      <c r="C2025" s="376" t="s">
        <v>628</v>
      </c>
      <c r="D2025" s="376">
        <v>2023</v>
      </c>
      <c r="E2025" s="376">
        <v>2028</v>
      </c>
      <c r="F2025" s="376">
        <v>0.23884589662749595</v>
      </c>
      <c r="G2025" s="376">
        <v>10426.102375692073</v>
      </c>
      <c r="H2025" s="376">
        <v>0</v>
      </c>
      <c r="I2025" s="376">
        <v>1</v>
      </c>
    </row>
    <row r="2026" spans="1:9" x14ac:dyDescent="0.35">
      <c r="A2026" s="376" t="s">
        <v>1605</v>
      </c>
      <c r="B2026" s="376" t="s">
        <v>1609</v>
      </c>
      <c r="C2026" s="376" t="s">
        <v>1051</v>
      </c>
      <c r="D2026" s="376">
        <v>2023</v>
      </c>
      <c r="E2026" s="376">
        <v>2028</v>
      </c>
      <c r="F2026" s="376">
        <v>0.23884589662749595</v>
      </c>
      <c r="G2026" s="376">
        <v>10426.102375692073</v>
      </c>
      <c r="H2026" s="376">
        <v>0</v>
      </c>
      <c r="I2026" s="376">
        <v>1</v>
      </c>
    </row>
    <row r="2027" spans="1:9" x14ac:dyDescent="0.35">
      <c r="A2027" s="376" t="s">
        <v>1605</v>
      </c>
      <c r="B2027" s="376" t="s">
        <v>1609</v>
      </c>
      <c r="C2027" s="376" t="s">
        <v>1054</v>
      </c>
      <c r="D2027" s="376">
        <v>2023</v>
      </c>
      <c r="E2027" s="376">
        <v>2028</v>
      </c>
      <c r="F2027" s="376">
        <v>0.23884589662749595</v>
      </c>
      <c r="G2027" s="376">
        <v>10426.102375692073</v>
      </c>
      <c r="H2027" s="376">
        <v>0</v>
      </c>
      <c r="I2027" s="376">
        <v>1</v>
      </c>
    </row>
    <row r="2028" spans="1:9" x14ac:dyDescent="0.35">
      <c r="A2028" s="376" t="s">
        <v>1605</v>
      </c>
      <c r="B2028" s="376" t="s">
        <v>1609</v>
      </c>
      <c r="C2028" s="376" t="s">
        <v>1046</v>
      </c>
      <c r="D2028" s="376">
        <v>2023</v>
      </c>
      <c r="E2028" s="376">
        <v>2029</v>
      </c>
      <c r="F2028" s="376">
        <v>0.23884589662749595</v>
      </c>
      <c r="G2028" s="376">
        <v>10426.102375692073</v>
      </c>
      <c r="H2028" s="376">
        <v>0</v>
      </c>
      <c r="I2028" s="376">
        <v>1</v>
      </c>
    </row>
    <row r="2029" spans="1:9" x14ac:dyDescent="0.35">
      <c r="A2029" s="376" t="s">
        <v>1605</v>
      </c>
      <c r="B2029" s="376" t="s">
        <v>1609</v>
      </c>
      <c r="C2029" s="376" t="s">
        <v>644</v>
      </c>
      <c r="D2029" s="376">
        <v>2023</v>
      </c>
      <c r="E2029" s="376">
        <v>2029</v>
      </c>
      <c r="F2029" s="376">
        <v>0.23884589662749595</v>
      </c>
      <c r="G2029" s="376">
        <v>10426.102375692073</v>
      </c>
      <c r="H2029" s="376">
        <v>0</v>
      </c>
      <c r="I2029" s="376">
        <v>1</v>
      </c>
    </row>
    <row r="2030" spans="1:9" x14ac:dyDescent="0.35">
      <c r="A2030" s="376" t="s">
        <v>1605</v>
      </c>
      <c r="B2030" s="376" t="s">
        <v>1609</v>
      </c>
      <c r="C2030" s="376" t="s">
        <v>628</v>
      </c>
      <c r="D2030" s="376">
        <v>2023</v>
      </c>
      <c r="E2030" s="376">
        <v>2029</v>
      </c>
      <c r="F2030" s="376">
        <v>0.23884589662749595</v>
      </c>
      <c r="G2030" s="376">
        <v>10426.102375692073</v>
      </c>
      <c r="H2030" s="376">
        <v>0</v>
      </c>
      <c r="I2030" s="376">
        <v>1</v>
      </c>
    </row>
    <row r="2031" spans="1:9" x14ac:dyDescent="0.35">
      <c r="A2031" s="376" t="s">
        <v>1605</v>
      </c>
      <c r="B2031" s="376" t="s">
        <v>1609</v>
      </c>
      <c r="C2031" s="376" t="s">
        <v>1051</v>
      </c>
      <c r="D2031" s="376">
        <v>2023</v>
      </c>
      <c r="E2031" s="376">
        <v>2029</v>
      </c>
      <c r="F2031" s="376">
        <v>0.23884589662749595</v>
      </c>
      <c r="G2031" s="376">
        <v>10426.102375692073</v>
      </c>
      <c r="H2031" s="376">
        <v>0</v>
      </c>
      <c r="I2031" s="376">
        <v>1</v>
      </c>
    </row>
    <row r="2032" spans="1:9" x14ac:dyDescent="0.35">
      <c r="A2032" s="376" t="s">
        <v>1605</v>
      </c>
      <c r="B2032" s="376" t="s">
        <v>1609</v>
      </c>
      <c r="C2032" s="376" t="s">
        <v>1054</v>
      </c>
      <c r="D2032" s="376">
        <v>2023</v>
      </c>
      <c r="E2032" s="376">
        <v>2029</v>
      </c>
      <c r="F2032" s="376">
        <v>0.23884589662749595</v>
      </c>
      <c r="G2032" s="376">
        <v>10426.102375692073</v>
      </c>
      <c r="H2032" s="376">
        <v>0</v>
      </c>
      <c r="I2032" s="376">
        <v>1</v>
      </c>
    </row>
    <row r="2033" spans="1:9" x14ac:dyDescent="0.35">
      <c r="A2033" s="376" t="s">
        <v>1605</v>
      </c>
      <c r="B2033" s="376" t="s">
        <v>1609</v>
      </c>
      <c r="C2033" s="376" t="s">
        <v>1046</v>
      </c>
      <c r="D2033" s="376">
        <v>2023</v>
      </c>
      <c r="E2033" s="376">
        <v>2030</v>
      </c>
      <c r="F2033" s="376">
        <v>0.23884589662749595</v>
      </c>
      <c r="G2033" s="376">
        <v>10426.102375692073</v>
      </c>
      <c r="H2033" s="376">
        <v>0</v>
      </c>
      <c r="I2033" s="376">
        <v>1</v>
      </c>
    </row>
    <row r="2034" spans="1:9" x14ac:dyDescent="0.35">
      <c r="A2034" s="376" t="s">
        <v>1605</v>
      </c>
      <c r="B2034" s="376" t="s">
        <v>1609</v>
      </c>
      <c r="C2034" s="376" t="s">
        <v>644</v>
      </c>
      <c r="D2034" s="376">
        <v>2023</v>
      </c>
      <c r="E2034" s="376">
        <v>2030</v>
      </c>
      <c r="F2034" s="376">
        <v>0.23884589662749595</v>
      </c>
      <c r="G2034" s="376">
        <v>10426.102375692073</v>
      </c>
      <c r="H2034" s="376">
        <v>0</v>
      </c>
      <c r="I2034" s="376">
        <v>1</v>
      </c>
    </row>
    <row r="2035" spans="1:9" x14ac:dyDescent="0.35">
      <c r="A2035" s="376" t="s">
        <v>1605</v>
      </c>
      <c r="B2035" s="376" t="s">
        <v>1609</v>
      </c>
      <c r="C2035" s="376" t="s">
        <v>628</v>
      </c>
      <c r="D2035" s="376">
        <v>2023</v>
      </c>
      <c r="E2035" s="376">
        <v>2030</v>
      </c>
      <c r="F2035" s="376">
        <v>0.23884589662749595</v>
      </c>
      <c r="G2035" s="376">
        <v>10426.102375692073</v>
      </c>
      <c r="H2035" s="376">
        <v>0</v>
      </c>
      <c r="I2035" s="376">
        <v>1</v>
      </c>
    </row>
    <row r="2036" spans="1:9" x14ac:dyDescent="0.35">
      <c r="A2036" s="376" t="s">
        <v>1605</v>
      </c>
      <c r="B2036" s="376" t="s">
        <v>1609</v>
      </c>
      <c r="C2036" s="376" t="s">
        <v>1051</v>
      </c>
      <c r="D2036" s="376">
        <v>2023</v>
      </c>
      <c r="E2036" s="376">
        <v>2030</v>
      </c>
      <c r="F2036" s="376">
        <v>0.23884589662749595</v>
      </c>
      <c r="G2036" s="376">
        <v>10426.102375692073</v>
      </c>
      <c r="H2036" s="376">
        <v>0</v>
      </c>
      <c r="I2036" s="376">
        <v>1</v>
      </c>
    </row>
    <row r="2037" spans="1:9" x14ac:dyDescent="0.35">
      <c r="A2037" s="376" t="s">
        <v>1605</v>
      </c>
      <c r="B2037" s="376" t="s">
        <v>1609</v>
      </c>
      <c r="C2037" s="376" t="s">
        <v>1054</v>
      </c>
      <c r="D2037" s="376">
        <v>2023</v>
      </c>
      <c r="E2037" s="376">
        <v>2030</v>
      </c>
      <c r="F2037" s="376">
        <v>0.23884589662749595</v>
      </c>
      <c r="G2037" s="376">
        <v>10426.102375692073</v>
      </c>
      <c r="H2037" s="376">
        <v>0</v>
      </c>
      <c r="I2037" s="376">
        <v>1</v>
      </c>
    </row>
    <row r="2038" spans="1:9" x14ac:dyDescent="0.35">
      <c r="A2038" s="376" t="s">
        <v>1605</v>
      </c>
      <c r="B2038" s="376" t="s">
        <v>1609</v>
      </c>
      <c r="C2038" s="376" t="s">
        <v>1046</v>
      </c>
      <c r="D2038" s="376">
        <v>2023</v>
      </c>
      <c r="E2038" s="376">
        <v>2031</v>
      </c>
      <c r="F2038" s="376">
        <v>0.23884589662749595</v>
      </c>
      <c r="G2038" s="376">
        <v>10426.102375692073</v>
      </c>
      <c r="H2038" s="376">
        <v>0</v>
      </c>
      <c r="I2038" s="376">
        <v>1</v>
      </c>
    </row>
    <row r="2039" spans="1:9" x14ac:dyDescent="0.35">
      <c r="A2039" s="376" t="s">
        <v>1605</v>
      </c>
      <c r="B2039" s="376" t="s">
        <v>1609</v>
      </c>
      <c r="C2039" s="376" t="s">
        <v>644</v>
      </c>
      <c r="D2039" s="376">
        <v>2023</v>
      </c>
      <c r="E2039" s="376">
        <v>2031</v>
      </c>
      <c r="F2039" s="376">
        <v>0.23884589662749595</v>
      </c>
      <c r="G2039" s="376">
        <v>10426.102375692073</v>
      </c>
      <c r="H2039" s="376">
        <v>0</v>
      </c>
      <c r="I2039" s="376">
        <v>1</v>
      </c>
    </row>
    <row r="2040" spans="1:9" x14ac:dyDescent="0.35">
      <c r="A2040" s="376" t="s">
        <v>1605</v>
      </c>
      <c r="B2040" s="376" t="s">
        <v>1609</v>
      </c>
      <c r="C2040" s="376" t="s">
        <v>628</v>
      </c>
      <c r="D2040" s="376">
        <v>2023</v>
      </c>
      <c r="E2040" s="376">
        <v>2031</v>
      </c>
      <c r="F2040" s="376">
        <v>0.23884589662749595</v>
      </c>
      <c r="G2040" s="376">
        <v>10426.102375692073</v>
      </c>
      <c r="H2040" s="376">
        <v>0</v>
      </c>
      <c r="I2040" s="376">
        <v>1</v>
      </c>
    </row>
    <row r="2041" spans="1:9" x14ac:dyDescent="0.35">
      <c r="A2041" s="376" t="s">
        <v>1605</v>
      </c>
      <c r="B2041" s="376" t="s">
        <v>1609</v>
      </c>
      <c r="C2041" s="376" t="s">
        <v>1051</v>
      </c>
      <c r="D2041" s="376">
        <v>2023</v>
      </c>
      <c r="E2041" s="376">
        <v>2031</v>
      </c>
      <c r="F2041" s="376">
        <v>0.23884589662749595</v>
      </c>
      <c r="G2041" s="376">
        <v>10426.102375692073</v>
      </c>
      <c r="H2041" s="376">
        <v>0</v>
      </c>
      <c r="I2041" s="376">
        <v>1</v>
      </c>
    </row>
    <row r="2042" spans="1:9" x14ac:dyDescent="0.35">
      <c r="A2042" s="376" t="s">
        <v>1605</v>
      </c>
      <c r="B2042" s="376" t="s">
        <v>1609</v>
      </c>
      <c r="C2042" s="376" t="s">
        <v>1054</v>
      </c>
      <c r="D2042" s="376">
        <v>2023</v>
      </c>
      <c r="E2042" s="376">
        <v>2031</v>
      </c>
      <c r="F2042" s="376">
        <v>0.23884589662749595</v>
      </c>
      <c r="G2042" s="376">
        <v>10426.102375692073</v>
      </c>
      <c r="H2042" s="376">
        <v>0</v>
      </c>
      <c r="I2042" s="376">
        <v>1</v>
      </c>
    </row>
    <row r="2043" spans="1:9" x14ac:dyDescent="0.35">
      <c r="A2043" s="376" t="s">
        <v>1636</v>
      </c>
      <c r="B2043" s="376" t="s">
        <v>1609</v>
      </c>
      <c r="C2043" s="376" t="s">
        <v>1046</v>
      </c>
      <c r="D2043" s="376">
        <v>2023</v>
      </c>
      <c r="E2043" s="376">
        <v>2023</v>
      </c>
      <c r="F2043" s="376">
        <v>1</v>
      </c>
      <c r="G2043" s="376">
        <v>3665.8925610089368</v>
      </c>
      <c r="H2043" s="376">
        <v>0</v>
      </c>
      <c r="I2043" s="376">
        <v>1</v>
      </c>
    </row>
    <row r="2044" spans="1:9" x14ac:dyDescent="0.35">
      <c r="A2044" s="376" t="s">
        <v>1636</v>
      </c>
      <c r="B2044" s="376" t="s">
        <v>1609</v>
      </c>
      <c r="C2044" s="376" t="s">
        <v>644</v>
      </c>
      <c r="D2044" s="376">
        <v>2023</v>
      </c>
      <c r="E2044" s="376">
        <v>2023</v>
      </c>
      <c r="F2044" s="376">
        <v>1</v>
      </c>
      <c r="G2044" s="376">
        <v>3665.8925610089368</v>
      </c>
      <c r="H2044" s="376">
        <v>0</v>
      </c>
      <c r="I2044" s="376">
        <v>1</v>
      </c>
    </row>
    <row r="2045" spans="1:9" x14ac:dyDescent="0.35">
      <c r="A2045" s="376" t="s">
        <v>1636</v>
      </c>
      <c r="B2045" s="376" t="s">
        <v>1609</v>
      </c>
      <c r="C2045" s="376" t="s">
        <v>628</v>
      </c>
      <c r="D2045" s="376">
        <v>2023</v>
      </c>
      <c r="E2045" s="376">
        <v>2023</v>
      </c>
      <c r="F2045" s="376">
        <v>1</v>
      </c>
      <c r="G2045" s="376">
        <v>3665.8925610089368</v>
      </c>
      <c r="H2045" s="376">
        <v>0</v>
      </c>
      <c r="I2045" s="376">
        <v>1</v>
      </c>
    </row>
    <row r="2046" spans="1:9" x14ac:dyDescent="0.35">
      <c r="A2046" s="376" t="s">
        <v>1636</v>
      </c>
      <c r="B2046" s="376" t="s">
        <v>1609</v>
      </c>
      <c r="C2046" s="376" t="s">
        <v>1051</v>
      </c>
      <c r="D2046" s="376">
        <v>2023</v>
      </c>
      <c r="E2046" s="376">
        <v>2023</v>
      </c>
      <c r="F2046" s="376">
        <v>1</v>
      </c>
      <c r="G2046" s="376">
        <v>3665.8925610089368</v>
      </c>
      <c r="H2046" s="376">
        <v>0</v>
      </c>
      <c r="I2046" s="376">
        <v>1</v>
      </c>
    </row>
    <row r="2047" spans="1:9" x14ac:dyDescent="0.35">
      <c r="A2047" s="376" t="s">
        <v>1636</v>
      </c>
      <c r="B2047" s="376" t="s">
        <v>1609</v>
      </c>
      <c r="C2047" s="376" t="s">
        <v>1054</v>
      </c>
      <c r="D2047" s="376">
        <v>2023</v>
      </c>
      <c r="E2047" s="376">
        <v>2023</v>
      </c>
      <c r="F2047" s="376">
        <v>1</v>
      </c>
      <c r="G2047" s="376">
        <v>3665.8925610089368</v>
      </c>
      <c r="H2047" s="376">
        <v>0</v>
      </c>
      <c r="I2047" s="376">
        <v>1</v>
      </c>
    </row>
    <row r="2048" spans="1:9" x14ac:dyDescent="0.35">
      <c r="A2048" s="376" t="s">
        <v>1636</v>
      </c>
      <c r="B2048" s="376" t="s">
        <v>1609</v>
      </c>
      <c r="C2048" s="376" t="s">
        <v>1046</v>
      </c>
      <c r="D2048" s="376">
        <v>2023</v>
      </c>
      <c r="E2048" s="376">
        <v>2024</v>
      </c>
      <c r="F2048" s="376">
        <v>1</v>
      </c>
      <c r="G2048" s="376">
        <v>3665.8925610089368</v>
      </c>
      <c r="H2048" s="376">
        <v>0</v>
      </c>
      <c r="I2048" s="376">
        <v>1</v>
      </c>
    </row>
    <row r="2049" spans="1:9" x14ac:dyDescent="0.35">
      <c r="A2049" s="376" t="s">
        <v>1636</v>
      </c>
      <c r="B2049" s="376" t="s">
        <v>1609</v>
      </c>
      <c r="C2049" s="376" t="s">
        <v>644</v>
      </c>
      <c r="D2049" s="376">
        <v>2023</v>
      </c>
      <c r="E2049" s="376">
        <v>2024</v>
      </c>
      <c r="F2049" s="376">
        <v>1</v>
      </c>
      <c r="G2049" s="376">
        <v>3665.8925610089368</v>
      </c>
      <c r="H2049" s="376">
        <v>0</v>
      </c>
      <c r="I2049" s="376">
        <v>1</v>
      </c>
    </row>
    <row r="2050" spans="1:9" x14ac:dyDescent="0.35">
      <c r="A2050" s="376" t="s">
        <v>1636</v>
      </c>
      <c r="B2050" s="376" t="s">
        <v>1609</v>
      </c>
      <c r="C2050" s="376" t="s">
        <v>628</v>
      </c>
      <c r="D2050" s="376">
        <v>2023</v>
      </c>
      <c r="E2050" s="376">
        <v>2024</v>
      </c>
      <c r="F2050" s="376">
        <v>1</v>
      </c>
      <c r="G2050" s="376">
        <v>3665.8925610089368</v>
      </c>
      <c r="H2050" s="376">
        <v>0</v>
      </c>
      <c r="I2050" s="376">
        <v>1</v>
      </c>
    </row>
    <row r="2051" spans="1:9" x14ac:dyDescent="0.35">
      <c r="A2051" s="376" t="s">
        <v>1636</v>
      </c>
      <c r="B2051" s="376" t="s">
        <v>1609</v>
      </c>
      <c r="C2051" s="376" t="s">
        <v>1051</v>
      </c>
      <c r="D2051" s="376">
        <v>2023</v>
      </c>
      <c r="E2051" s="376">
        <v>2024</v>
      </c>
      <c r="F2051" s="376">
        <v>1</v>
      </c>
      <c r="G2051" s="376">
        <v>3665.8925610089368</v>
      </c>
      <c r="H2051" s="376">
        <v>0</v>
      </c>
      <c r="I2051" s="376">
        <v>1</v>
      </c>
    </row>
    <row r="2052" spans="1:9" x14ac:dyDescent="0.35">
      <c r="A2052" s="376" t="s">
        <v>1636</v>
      </c>
      <c r="B2052" s="376" t="s">
        <v>1609</v>
      </c>
      <c r="C2052" s="376" t="s">
        <v>1054</v>
      </c>
      <c r="D2052" s="376">
        <v>2023</v>
      </c>
      <c r="E2052" s="376">
        <v>2024</v>
      </c>
      <c r="F2052" s="376">
        <v>1</v>
      </c>
      <c r="G2052" s="376">
        <v>3665.8925610089368</v>
      </c>
      <c r="H2052" s="376">
        <v>0</v>
      </c>
      <c r="I2052" s="376">
        <v>1</v>
      </c>
    </row>
    <row r="2053" spans="1:9" x14ac:dyDescent="0.35">
      <c r="A2053" s="376" t="s">
        <v>1636</v>
      </c>
      <c r="B2053" s="376" t="s">
        <v>1609</v>
      </c>
      <c r="C2053" s="376" t="s">
        <v>1046</v>
      </c>
      <c r="D2053" s="376">
        <v>2023</v>
      </c>
      <c r="E2053" s="376">
        <v>2025</v>
      </c>
      <c r="F2053" s="376">
        <v>1</v>
      </c>
      <c r="G2053" s="376">
        <v>3665.8925610089368</v>
      </c>
      <c r="H2053" s="376">
        <v>0</v>
      </c>
      <c r="I2053" s="376">
        <v>1</v>
      </c>
    </row>
    <row r="2054" spans="1:9" x14ac:dyDescent="0.35">
      <c r="A2054" s="376" t="s">
        <v>1636</v>
      </c>
      <c r="B2054" s="376" t="s">
        <v>1609</v>
      </c>
      <c r="C2054" s="376" t="s">
        <v>644</v>
      </c>
      <c r="D2054" s="376">
        <v>2023</v>
      </c>
      <c r="E2054" s="376">
        <v>2025</v>
      </c>
      <c r="F2054" s="376">
        <v>1</v>
      </c>
      <c r="G2054" s="376">
        <v>3665.8925610089368</v>
      </c>
      <c r="H2054" s="376">
        <v>0</v>
      </c>
      <c r="I2054" s="376">
        <v>1</v>
      </c>
    </row>
    <row r="2055" spans="1:9" x14ac:dyDescent="0.35">
      <c r="A2055" s="376" t="s">
        <v>1636</v>
      </c>
      <c r="B2055" s="376" t="s">
        <v>1609</v>
      </c>
      <c r="C2055" s="376" t="s">
        <v>628</v>
      </c>
      <c r="D2055" s="376">
        <v>2023</v>
      </c>
      <c r="E2055" s="376">
        <v>2025</v>
      </c>
      <c r="F2055" s="376">
        <v>1</v>
      </c>
      <c r="G2055" s="376">
        <v>3665.8925610089368</v>
      </c>
      <c r="H2055" s="376">
        <v>0</v>
      </c>
      <c r="I2055" s="376">
        <v>1</v>
      </c>
    </row>
    <row r="2056" spans="1:9" x14ac:dyDescent="0.35">
      <c r="A2056" s="376" t="s">
        <v>1636</v>
      </c>
      <c r="B2056" s="376" t="s">
        <v>1609</v>
      </c>
      <c r="C2056" s="376" t="s">
        <v>1051</v>
      </c>
      <c r="D2056" s="376">
        <v>2023</v>
      </c>
      <c r="E2056" s="376">
        <v>2025</v>
      </c>
      <c r="F2056" s="376">
        <v>1</v>
      </c>
      <c r="G2056" s="376">
        <v>3665.8925610089368</v>
      </c>
      <c r="H2056" s="376">
        <v>0</v>
      </c>
      <c r="I2056" s="376">
        <v>1</v>
      </c>
    </row>
    <row r="2057" spans="1:9" x14ac:dyDescent="0.35">
      <c r="A2057" s="376" t="s">
        <v>1636</v>
      </c>
      <c r="B2057" s="376" t="s">
        <v>1609</v>
      </c>
      <c r="C2057" s="376" t="s">
        <v>1054</v>
      </c>
      <c r="D2057" s="376">
        <v>2023</v>
      </c>
      <c r="E2057" s="376">
        <v>2025</v>
      </c>
      <c r="F2057" s="376">
        <v>1</v>
      </c>
      <c r="G2057" s="376">
        <v>3665.8925610089368</v>
      </c>
      <c r="H2057" s="376">
        <v>0</v>
      </c>
      <c r="I2057" s="376">
        <v>1</v>
      </c>
    </row>
    <row r="2058" spans="1:9" x14ac:dyDescent="0.35">
      <c r="A2058" s="376" t="s">
        <v>1636</v>
      </c>
      <c r="B2058" s="376" t="s">
        <v>1609</v>
      </c>
      <c r="C2058" s="376" t="s">
        <v>1046</v>
      </c>
      <c r="D2058" s="376">
        <v>2023</v>
      </c>
      <c r="E2058" s="376">
        <v>2026</v>
      </c>
      <c r="F2058" s="376">
        <v>1</v>
      </c>
      <c r="G2058" s="376">
        <v>3665.8925610089368</v>
      </c>
      <c r="H2058" s="376">
        <v>0</v>
      </c>
      <c r="I2058" s="376">
        <v>1</v>
      </c>
    </row>
    <row r="2059" spans="1:9" x14ac:dyDescent="0.35">
      <c r="A2059" s="376" t="s">
        <v>1636</v>
      </c>
      <c r="B2059" s="376" t="s">
        <v>1609</v>
      </c>
      <c r="C2059" s="376" t="s">
        <v>644</v>
      </c>
      <c r="D2059" s="376">
        <v>2023</v>
      </c>
      <c r="E2059" s="376">
        <v>2026</v>
      </c>
      <c r="F2059" s="376">
        <v>1</v>
      </c>
      <c r="G2059" s="376">
        <v>3665.8925610089368</v>
      </c>
      <c r="H2059" s="376">
        <v>0</v>
      </c>
      <c r="I2059" s="376">
        <v>1</v>
      </c>
    </row>
    <row r="2060" spans="1:9" x14ac:dyDescent="0.35">
      <c r="A2060" s="376" t="s">
        <v>1636</v>
      </c>
      <c r="B2060" s="376" t="s">
        <v>1609</v>
      </c>
      <c r="C2060" s="376" t="s">
        <v>628</v>
      </c>
      <c r="D2060" s="376">
        <v>2023</v>
      </c>
      <c r="E2060" s="376">
        <v>2026</v>
      </c>
      <c r="F2060" s="376">
        <v>1</v>
      </c>
      <c r="G2060" s="376">
        <v>3665.8925610089368</v>
      </c>
      <c r="H2060" s="376">
        <v>0</v>
      </c>
      <c r="I2060" s="376">
        <v>1</v>
      </c>
    </row>
    <row r="2061" spans="1:9" x14ac:dyDescent="0.35">
      <c r="A2061" s="376" t="s">
        <v>1636</v>
      </c>
      <c r="B2061" s="376" t="s">
        <v>1609</v>
      </c>
      <c r="C2061" s="376" t="s">
        <v>1051</v>
      </c>
      <c r="D2061" s="376">
        <v>2023</v>
      </c>
      <c r="E2061" s="376">
        <v>2026</v>
      </c>
      <c r="F2061" s="376">
        <v>1</v>
      </c>
      <c r="G2061" s="376">
        <v>3665.8925610089368</v>
      </c>
      <c r="H2061" s="376">
        <v>0</v>
      </c>
      <c r="I2061" s="376">
        <v>1</v>
      </c>
    </row>
    <row r="2062" spans="1:9" x14ac:dyDescent="0.35">
      <c r="A2062" s="376" t="s">
        <v>1636</v>
      </c>
      <c r="B2062" s="376" t="s">
        <v>1609</v>
      </c>
      <c r="C2062" s="376" t="s">
        <v>1054</v>
      </c>
      <c r="D2062" s="376">
        <v>2023</v>
      </c>
      <c r="E2062" s="376">
        <v>2026</v>
      </c>
      <c r="F2062" s="376">
        <v>1</v>
      </c>
      <c r="G2062" s="376">
        <v>3665.8925610089368</v>
      </c>
      <c r="H2062" s="376">
        <v>0</v>
      </c>
      <c r="I2062" s="376">
        <v>1</v>
      </c>
    </row>
    <row r="2063" spans="1:9" x14ac:dyDescent="0.35">
      <c r="A2063" s="376" t="s">
        <v>1636</v>
      </c>
      <c r="B2063" s="376" t="s">
        <v>1609</v>
      </c>
      <c r="C2063" s="376" t="s">
        <v>1046</v>
      </c>
      <c r="D2063" s="376">
        <v>2023</v>
      </c>
      <c r="E2063" s="376">
        <v>2027</v>
      </c>
      <c r="F2063" s="376">
        <v>1</v>
      </c>
      <c r="G2063" s="376">
        <v>3665.8925610089368</v>
      </c>
      <c r="H2063" s="376">
        <v>0</v>
      </c>
      <c r="I2063" s="376">
        <v>1</v>
      </c>
    </row>
    <row r="2064" spans="1:9" x14ac:dyDescent="0.35">
      <c r="A2064" s="376" t="s">
        <v>1636</v>
      </c>
      <c r="B2064" s="376" t="s">
        <v>1609</v>
      </c>
      <c r="C2064" s="376" t="s">
        <v>644</v>
      </c>
      <c r="D2064" s="376">
        <v>2023</v>
      </c>
      <c r="E2064" s="376">
        <v>2027</v>
      </c>
      <c r="F2064" s="376">
        <v>1</v>
      </c>
      <c r="G2064" s="376">
        <v>3665.8925610089368</v>
      </c>
      <c r="H2064" s="376">
        <v>0</v>
      </c>
      <c r="I2064" s="376">
        <v>1</v>
      </c>
    </row>
    <row r="2065" spans="1:9" x14ac:dyDescent="0.35">
      <c r="A2065" s="376" t="s">
        <v>1636</v>
      </c>
      <c r="B2065" s="376" t="s">
        <v>1609</v>
      </c>
      <c r="C2065" s="376" t="s">
        <v>628</v>
      </c>
      <c r="D2065" s="376">
        <v>2023</v>
      </c>
      <c r="E2065" s="376">
        <v>2027</v>
      </c>
      <c r="F2065" s="376">
        <v>1</v>
      </c>
      <c r="G2065" s="376">
        <v>3665.8925610089368</v>
      </c>
      <c r="H2065" s="376">
        <v>0</v>
      </c>
      <c r="I2065" s="376">
        <v>1</v>
      </c>
    </row>
    <row r="2066" spans="1:9" x14ac:dyDescent="0.35">
      <c r="A2066" s="376" t="s">
        <v>1636</v>
      </c>
      <c r="B2066" s="376" t="s">
        <v>1609</v>
      </c>
      <c r="C2066" s="376" t="s">
        <v>1051</v>
      </c>
      <c r="D2066" s="376">
        <v>2023</v>
      </c>
      <c r="E2066" s="376">
        <v>2027</v>
      </c>
      <c r="F2066" s="376">
        <v>1</v>
      </c>
      <c r="G2066" s="376">
        <v>3665.8925610089368</v>
      </c>
      <c r="H2066" s="376">
        <v>0</v>
      </c>
      <c r="I2066" s="376">
        <v>1</v>
      </c>
    </row>
    <row r="2067" spans="1:9" x14ac:dyDescent="0.35">
      <c r="A2067" s="376" t="s">
        <v>1636</v>
      </c>
      <c r="B2067" s="376" t="s">
        <v>1609</v>
      </c>
      <c r="C2067" s="376" t="s">
        <v>1054</v>
      </c>
      <c r="D2067" s="376">
        <v>2023</v>
      </c>
      <c r="E2067" s="376">
        <v>2027</v>
      </c>
      <c r="F2067" s="376">
        <v>1</v>
      </c>
      <c r="G2067" s="376">
        <v>3665.8925610089368</v>
      </c>
      <c r="H2067" s="376">
        <v>0</v>
      </c>
      <c r="I2067" s="376">
        <v>1</v>
      </c>
    </row>
    <row r="2068" spans="1:9" x14ac:dyDescent="0.35">
      <c r="A2068" s="376" t="s">
        <v>1636</v>
      </c>
      <c r="B2068" s="376" t="s">
        <v>1609</v>
      </c>
      <c r="C2068" s="376" t="s">
        <v>1046</v>
      </c>
      <c r="D2068" s="376">
        <v>2023</v>
      </c>
      <c r="E2068" s="376">
        <v>2028</v>
      </c>
      <c r="F2068" s="376">
        <v>1</v>
      </c>
      <c r="G2068" s="376">
        <v>3665.8925610089368</v>
      </c>
      <c r="H2068" s="376">
        <v>0</v>
      </c>
      <c r="I2068" s="376">
        <v>1</v>
      </c>
    </row>
    <row r="2069" spans="1:9" x14ac:dyDescent="0.35">
      <c r="A2069" s="376" t="s">
        <v>1636</v>
      </c>
      <c r="B2069" s="376" t="s">
        <v>1609</v>
      </c>
      <c r="C2069" s="376" t="s">
        <v>644</v>
      </c>
      <c r="D2069" s="376">
        <v>2023</v>
      </c>
      <c r="E2069" s="376">
        <v>2028</v>
      </c>
      <c r="F2069" s="376">
        <v>1</v>
      </c>
      <c r="G2069" s="376">
        <v>3665.8925610089368</v>
      </c>
      <c r="H2069" s="376">
        <v>0</v>
      </c>
      <c r="I2069" s="376">
        <v>1</v>
      </c>
    </row>
    <row r="2070" spans="1:9" x14ac:dyDescent="0.35">
      <c r="A2070" s="376" t="s">
        <v>1636</v>
      </c>
      <c r="B2070" s="376" t="s">
        <v>1609</v>
      </c>
      <c r="C2070" s="376" t="s">
        <v>628</v>
      </c>
      <c r="D2070" s="376">
        <v>2023</v>
      </c>
      <c r="E2070" s="376">
        <v>2028</v>
      </c>
      <c r="F2070" s="376">
        <v>1</v>
      </c>
      <c r="G2070" s="376">
        <v>3665.8925610089368</v>
      </c>
      <c r="H2070" s="376">
        <v>0</v>
      </c>
      <c r="I2070" s="376">
        <v>1</v>
      </c>
    </row>
    <row r="2071" spans="1:9" x14ac:dyDescent="0.35">
      <c r="A2071" s="376" t="s">
        <v>1636</v>
      </c>
      <c r="B2071" s="376" t="s">
        <v>1609</v>
      </c>
      <c r="C2071" s="376" t="s">
        <v>1051</v>
      </c>
      <c r="D2071" s="376">
        <v>2023</v>
      </c>
      <c r="E2071" s="376">
        <v>2028</v>
      </c>
      <c r="F2071" s="376">
        <v>1</v>
      </c>
      <c r="G2071" s="376">
        <v>3665.8925610089368</v>
      </c>
      <c r="H2071" s="376">
        <v>0</v>
      </c>
      <c r="I2071" s="376">
        <v>1</v>
      </c>
    </row>
    <row r="2072" spans="1:9" x14ac:dyDescent="0.35">
      <c r="A2072" s="376" t="s">
        <v>1636</v>
      </c>
      <c r="B2072" s="376" t="s">
        <v>1609</v>
      </c>
      <c r="C2072" s="376" t="s">
        <v>1054</v>
      </c>
      <c r="D2072" s="376">
        <v>2023</v>
      </c>
      <c r="E2072" s="376">
        <v>2028</v>
      </c>
      <c r="F2072" s="376">
        <v>1</v>
      </c>
      <c r="G2072" s="376">
        <v>3665.8925610089368</v>
      </c>
      <c r="H2072" s="376">
        <v>0</v>
      </c>
      <c r="I2072" s="376">
        <v>1</v>
      </c>
    </row>
    <row r="2073" spans="1:9" x14ac:dyDescent="0.35">
      <c r="A2073" s="376" t="s">
        <v>1636</v>
      </c>
      <c r="B2073" s="376" t="s">
        <v>1609</v>
      </c>
      <c r="C2073" s="376" t="s">
        <v>1046</v>
      </c>
      <c r="D2073" s="376">
        <v>2023</v>
      </c>
      <c r="E2073" s="376">
        <v>2029</v>
      </c>
      <c r="F2073" s="376">
        <v>1</v>
      </c>
      <c r="G2073" s="376">
        <v>3665.8925610089368</v>
      </c>
      <c r="H2073" s="376">
        <v>0</v>
      </c>
      <c r="I2073" s="376">
        <v>1</v>
      </c>
    </row>
    <row r="2074" spans="1:9" x14ac:dyDescent="0.35">
      <c r="A2074" s="376" t="s">
        <v>1636</v>
      </c>
      <c r="B2074" s="376" t="s">
        <v>1609</v>
      </c>
      <c r="C2074" s="376" t="s">
        <v>644</v>
      </c>
      <c r="D2074" s="376">
        <v>2023</v>
      </c>
      <c r="E2074" s="376">
        <v>2029</v>
      </c>
      <c r="F2074" s="376">
        <v>1</v>
      </c>
      <c r="G2074" s="376">
        <v>3665.8925610089368</v>
      </c>
      <c r="H2074" s="376">
        <v>0</v>
      </c>
      <c r="I2074" s="376">
        <v>1</v>
      </c>
    </row>
    <row r="2075" spans="1:9" x14ac:dyDescent="0.35">
      <c r="A2075" s="376" t="s">
        <v>1636</v>
      </c>
      <c r="B2075" s="376" t="s">
        <v>1609</v>
      </c>
      <c r="C2075" s="376" t="s">
        <v>628</v>
      </c>
      <c r="D2075" s="376">
        <v>2023</v>
      </c>
      <c r="E2075" s="376">
        <v>2029</v>
      </c>
      <c r="F2075" s="376">
        <v>1</v>
      </c>
      <c r="G2075" s="376">
        <v>3665.8925610089368</v>
      </c>
      <c r="H2075" s="376">
        <v>0</v>
      </c>
      <c r="I2075" s="376">
        <v>1</v>
      </c>
    </row>
    <row r="2076" spans="1:9" x14ac:dyDescent="0.35">
      <c r="A2076" s="376" t="s">
        <v>1636</v>
      </c>
      <c r="B2076" s="376" t="s">
        <v>1609</v>
      </c>
      <c r="C2076" s="376" t="s">
        <v>1051</v>
      </c>
      <c r="D2076" s="376">
        <v>2023</v>
      </c>
      <c r="E2076" s="376">
        <v>2029</v>
      </c>
      <c r="F2076" s="376">
        <v>1</v>
      </c>
      <c r="G2076" s="376">
        <v>3665.8925610089368</v>
      </c>
      <c r="H2076" s="376">
        <v>0</v>
      </c>
      <c r="I2076" s="376">
        <v>1</v>
      </c>
    </row>
    <row r="2077" spans="1:9" x14ac:dyDescent="0.35">
      <c r="A2077" s="376" t="s">
        <v>1636</v>
      </c>
      <c r="B2077" s="376" t="s">
        <v>1609</v>
      </c>
      <c r="C2077" s="376" t="s">
        <v>1054</v>
      </c>
      <c r="D2077" s="376">
        <v>2023</v>
      </c>
      <c r="E2077" s="376">
        <v>2029</v>
      </c>
      <c r="F2077" s="376">
        <v>1</v>
      </c>
      <c r="G2077" s="376">
        <v>3665.8925610089368</v>
      </c>
      <c r="H2077" s="376">
        <v>0</v>
      </c>
      <c r="I2077" s="376">
        <v>1</v>
      </c>
    </row>
    <row r="2078" spans="1:9" x14ac:dyDescent="0.35">
      <c r="A2078" s="376" t="s">
        <v>1636</v>
      </c>
      <c r="B2078" s="376" t="s">
        <v>1609</v>
      </c>
      <c r="C2078" s="376" t="s">
        <v>1046</v>
      </c>
      <c r="D2078" s="376">
        <v>2023</v>
      </c>
      <c r="E2078" s="376">
        <v>2030</v>
      </c>
      <c r="F2078" s="376">
        <v>1</v>
      </c>
      <c r="G2078" s="376">
        <v>3665.8925610089368</v>
      </c>
      <c r="H2078" s="376">
        <v>0</v>
      </c>
      <c r="I2078" s="376">
        <v>1</v>
      </c>
    </row>
    <row r="2079" spans="1:9" x14ac:dyDescent="0.35">
      <c r="A2079" s="376" t="s">
        <v>1636</v>
      </c>
      <c r="B2079" s="376" t="s">
        <v>1609</v>
      </c>
      <c r="C2079" s="376" t="s">
        <v>644</v>
      </c>
      <c r="D2079" s="376">
        <v>2023</v>
      </c>
      <c r="E2079" s="376">
        <v>2030</v>
      </c>
      <c r="F2079" s="376">
        <v>1</v>
      </c>
      <c r="G2079" s="376">
        <v>3665.8925610089368</v>
      </c>
      <c r="H2079" s="376">
        <v>0</v>
      </c>
      <c r="I2079" s="376">
        <v>1</v>
      </c>
    </row>
    <row r="2080" spans="1:9" x14ac:dyDescent="0.35">
      <c r="A2080" s="376" t="s">
        <v>1636</v>
      </c>
      <c r="B2080" s="376" t="s">
        <v>1609</v>
      </c>
      <c r="C2080" s="376" t="s">
        <v>628</v>
      </c>
      <c r="D2080" s="376">
        <v>2023</v>
      </c>
      <c r="E2080" s="376">
        <v>2030</v>
      </c>
      <c r="F2080" s="376">
        <v>1</v>
      </c>
      <c r="G2080" s="376">
        <v>3665.8925610089368</v>
      </c>
      <c r="H2080" s="376">
        <v>0</v>
      </c>
      <c r="I2080" s="376">
        <v>1</v>
      </c>
    </row>
    <row r="2081" spans="1:9" x14ac:dyDescent="0.35">
      <c r="A2081" s="376" t="s">
        <v>1636</v>
      </c>
      <c r="B2081" s="376" t="s">
        <v>1609</v>
      </c>
      <c r="C2081" s="376" t="s">
        <v>1051</v>
      </c>
      <c r="D2081" s="376">
        <v>2023</v>
      </c>
      <c r="E2081" s="376">
        <v>2030</v>
      </c>
      <c r="F2081" s="376">
        <v>1</v>
      </c>
      <c r="G2081" s="376">
        <v>3665.8925610089368</v>
      </c>
      <c r="H2081" s="376">
        <v>0</v>
      </c>
      <c r="I2081" s="376">
        <v>1</v>
      </c>
    </row>
    <row r="2082" spans="1:9" x14ac:dyDescent="0.35">
      <c r="A2082" s="376" t="s">
        <v>1636</v>
      </c>
      <c r="B2082" s="376" t="s">
        <v>1609</v>
      </c>
      <c r="C2082" s="376" t="s">
        <v>1054</v>
      </c>
      <c r="D2082" s="376">
        <v>2023</v>
      </c>
      <c r="E2082" s="376">
        <v>2030</v>
      </c>
      <c r="F2082" s="376">
        <v>1</v>
      </c>
      <c r="G2082" s="376">
        <v>3665.8925610089368</v>
      </c>
      <c r="H2082" s="376">
        <v>0</v>
      </c>
      <c r="I2082" s="376">
        <v>1</v>
      </c>
    </row>
    <row r="2083" spans="1:9" x14ac:dyDescent="0.35">
      <c r="A2083" s="376" t="s">
        <v>1636</v>
      </c>
      <c r="B2083" s="376" t="s">
        <v>1609</v>
      </c>
      <c r="C2083" s="376" t="s">
        <v>1046</v>
      </c>
      <c r="D2083" s="376">
        <v>2023</v>
      </c>
      <c r="E2083" s="376">
        <v>2031</v>
      </c>
      <c r="F2083" s="376">
        <v>1</v>
      </c>
      <c r="G2083" s="376">
        <v>3665.8925610089368</v>
      </c>
      <c r="H2083" s="376">
        <v>0</v>
      </c>
      <c r="I2083" s="376">
        <v>1</v>
      </c>
    </row>
    <row r="2084" spans="1:9" x14ac:dyDescent="0.35">
      <c r="A2084" s="376" t="s">
        <v>1636</v>
      </c>
      <c r="B2084" s="376" t="s">
        <v>1609</v>
      </c>
      <c r="C2084" s="376" t="s">
        <v>644</v>
      </c>
      <c r="D2084" s="376">
        <v>2023</v>
      </c>
      <c r="E2084" s="376">
        <v>2031</v>
      </c>
      <c r="F2084" s="376">
        <v>1</v>
      </c>
      <c r="G2084" s="376">
        <v>3665.8925610089368</v>
      </c>
      <c r="H2084" s="376">
        <v>0</v>
      </c>
      <c r="I2084" s="376">
        <v>1</v>
      </c>
    </row>
    <row r="2085" spans="1:9" x14ac:dyDescent="0.35">
      <c r="A2085" s="376" t="s">
        <v>1636</v>
      </c>
      <c r="B2085" s="376" t="s">
        <v>1609</v>
      </c>
      <c r="C2085" s="376" t="s">
        <v>628</v>
      </c>
      <c r="D2085" s="376">
        <v>2023</v>
      </c>
      <c r="E2085" s="376">
        <v>2031</v>
      </c>
      <c r="F2085" s="376">
        <v>1</v>
      </c>
      <c r="G2085" s="376">
        <v>3665.8925610089368</v>
      </c>
      <c r="H2085" s="376">
        <v>0</v>
      </c>
      <c r="I2085" s="376">
        <v>1</v>
      </c>
    </row>
    <row r="2086" spans="1:9" x14ac:dyDescent="0.35">
      <c r="A2086" s="376" t="s">
        <v>1636</v>
      </c>
      <c r="B2086" s="376" t="s">
        <v>1609</v>
      </c>
      <c r="C2086" s="376" t="s">
        <v>1051</v>
      </c>
      <c r="D2086" s="376">
        <v>2023</v>
      </c>
      <c r="E2086" s="376">
        <v>2031</v>
      </c>
      <c r="F2086" s="376">
        <v>1</v>
      </c>
      <c r="G2086" s="376">
        <v>3665.8925610089368</v>
      </c>
      <c r="H2086" s="376">
        <v>0</v>
      </c>
      <c r="I2086" s="376">
        <v>1</v>
      </c>
    </row>
    <row r="2087" spans="1:9" x14ac:dyDescent="0.35">
      <c r="A2087" s="376" t="s">
        <v>1636</v>
      </c>
      <c r="B2087" s="376" t="s">
        <v>1609</v>
      </c>
      <c r="C2087" s="376" t="s">
        <v>1054</v>
      </c>
      <c r="D2087" s="376">
        <v>2023</v>
      </c>
      <c r="E2087" s="376">
        <v>2031</v>
      </c>
      <c r="F2087" s="376">
        <v>1</v>
      </c>
      <c r="G2087" s="376">
        <v>3665.8925610089368</v>
      </c>
      <c r="H2087" s="376">
        <v>0</v>
      </c>
      <c r="I2087" s="376">
        <v>1</v>
      </c>
    </row>
    <row r="2088" spans="1:9" x14ac:dyDescent="0.35">
      <c r="A2088" s="376" t="s">
        <v>1606</v>
      </c>
      <c r="B2088" s="376" t="s">
        <v>1609</v>
      </c>
      <c r="C2088" s="376" t="s">
        <v>1046</v>
      </c>
      <c r="D2088" s="376">
        <v>2023</v>
      </c>
      <c r="E2088" s="376">
        <v>2023</v>
      </c>
      <c r="F2088" s="376">
        <v>1</v>
      </c>
      <c r="G2088" s="376">
        <v>6053.9001866585977</v>
      </c>
      <c r="H2088" s="376">
        <v>0</v>
      </c>
      <c r="I2088" s="376">
        <v>1</v>
      </c>
    </row>
    <row r="2089" spans="1:9" x14ac:dyDescent="0.35">
      <c r="A2089" s="376" t="s">
        <v>1606</v>
      </c>
      <c r="B2089" s="376" t="s">
        <v>1609</v>
      </c>
      <c r="C2089" s="376" t="s">
        <v>644</v>
      </c>
      <c r="D2089" s="376">
        <v>2023</v>
      </c>
      <c r="E2089" s="376">
        <v>2023</v>
      </c>
      <c r="F2089" s="376">
        <v>1</v>
      </c>
      <c r="G2089" s="376">
        <v>6053.9001866585977</v>
      </c>
      <c r="H2089" s="376">
        <v>0</v>
      </c>
      <c r="I2089" s="376">
        <v>1</v>
      </c>
    </row>
    <row r="2090" spans="1:9" x14ac:dyDescent="0.35">
      <c r="A2090" s="376" t="s">
        <v>1606</v>
      </c>
      <c r="B2090" s="376" t="s">
        <v>1609</v>
      </c>
      <c r="C2090" s="376" t="s">
        <v>628</v>
      </c>
      <c r="D2090" s="376">
        <v>2023</v>
      </c>
      <c r="E2090" s="376">
        <v>2023</v>
      </c>
      <c r="F2090" s="376">
        <v>1</v>
      </c>
      <c r="G2090" s="376">
        <v>6053.9001866585977</v>
      </c>
      <c r="H2090" s="376">
        <v>0</v>
      </c>
      <c r="I2090" s="376">
        <v>1</v>
      </c>
    </row>
    <row r="2091" spans="1:9" x14ac:dyDescent="0.35">
      <c r="A2091" s="376" t="s">
        <v>1606</v>
      </c>
      <c r="B2091" s="376" t="s">
        <v>1609</v>
      </c>
      <c r="C2091" s="376" t="s">
        <v>1051</v>
      </c>
      <c r="D2091" s="376">
        <v>2023</v>
      </c>
      <c r="E2091" s="376">
        <v>2023</v>
      </c>
      <c r="F2091" s="376">
        <v>1</v>
      </c>
      <c r="G2091" s="376">
        <v>6053.9001866585977</v>
      </c>
      <c r="H2091" s="376">
        <v>0</v>
      </c>
      <c r="I2091" s="376">
        <v>1</v>
      </c>
    </row>
    <row r="2092" spans="1:9" x14ac:dyDescent="0.35">
      <c r="A2092" s="376" t="s">
        <v>1606</v>
      </c>
      <c r="B2092" s="376" t="s">
        <v>1609</v>
      </c>
      <c r="C2092" s="376" t="s">
        <v>1054</v>
      </c>
      <c r="D2092" s="376">
        <v>2023</v>
      </c>
      <c r="E2092" s="376">
        <v>2023</v>
      </c>
      <c r="F2092" s="376">
        <v>1</v>
      </c>
      <c r="G2092" s="376">
        <v>6053.9001866585977</v>
      </c>
      <c r="H2092" s="376">
        <v>0</v>
      </c>
      <c r="I2092" s="376">
        <v>1</v>
      </c>
    </row>
    <row r="2093" spans="1:9" x14ac:dyDescent="0.35">
      <c r="A2093" s="376" t="s">
        <v>1606</v>
      </c>
      <c r="B2093" s="376" t="s">
        <v>1609</v>
      </c>
      <c r="C2093" s="376" t="s">
        <v>1046</v>
      </c>
      <c r="D2093" s="376">
        <v>2023</v>
      </c>
      <c r="E2093" s="376">
        <v>2024</v>
      </c>
      <c r="F2093" s="376">
        <v>1</v>
      </c>
      <c r="G2093" s="376">
        <v>6053.9001866585977</v>
      </c>
      <c r="H2093" s="376">
        <v>0</v>
      </c>
      <c r="I2093" s="376">
        <v>1</v>
      </c>
    </row>
    <row r="2094" spans="1:9" x14ac:dyDescent="0.35">
      <c r="A2094" s="376" t="s">
        <v>1606</v>
      </c>
      <c r="B2094" s="376" t="s">
        <v>1609</v>
      </c>
      <c r="C2094" s="376" t="s">
        <v>644</v>
      </c>
      <c r="D2094" s="376">
        <v>2023</v>
      </c>
      <c r="E2094" s="376">
        <v>2024</v>
      </c>
      <c r="F2094" s="376">
        <v>1</v>
      </c>
      <c r="G2094" s="376">
        <v>6053.9001866585977</v>
      </c>
      <c r="H2094" s="376">
        <v>0</v>
      </c>
      <c r="I2094" s="376">
        <v>1</v>
      </c>
    </row>
    <row r="2095" spans="1:9" x14ac:dyDescent="0.35">
      <c r="A2095" s="376" t="s">
        <v>1606</v>
      </c>
      <c r="B2095" s="376" t="s">
        <v>1609</v>
      </c>
      <c r="C2095" s="376" t="s">
        <v>628</v>
      </c>
      <c r="D2095" s="376">
        <v>2023</v>
      </c>
      <c r="E2095" s="376">
        <v>2024</v>
      </c>
      <c r="F2095" s="376">
        <v>1</v>
      </c>
      <c r="G2095" s="376">
        <v>6053.9001866585977</v>
      </c>
      <c r="H2095" s="376">
        <v>0</v>
      </c>
      <c r="I2095" s="376">
        <v>1</v>
      </c>
    </row>
    <row r="2096" spans="1:9" x14ac:dyDescent="0.35">
      <c r="A2096" s="376" t="s">
        <v>1606</v>
      </c>
      <c r="B2096" s="376" t="s">
        <v>1609</v>
      </c>
      <c r="C2096" s="376" t="s">
        <v>1051</v>
      </c>
      <c r="D2096" s="376">
        <v>2023</v>
      </c>
      <c r="E2096" s="376">
        <v>2024</v>
      </c>
      <c r="F2096" s="376">
        <v>1</v>
      </c>
      <c r="G2096" s="376">
        <v>6053.9001866585977</v>
      </c>
      <c r="H2096" s="376">
        <v>0</v>
      </c>
      <c r="I2096" s="376">
        <v>1</v>
      </c>
    </row>
    <row r="2097" spans="1:9" x14ac:dyDescent="0.35">
      <c r="A2097" s="376" t="s">
        <v>1606</v>
      </c>
      <c r="B2097" s="376" t="s">
        <v>1609</v>
      </c>
      <c r="C2097" s="376" t="s">
        <v>1054</v>
      </c>
      <c r="D2097" s="376">
        <v>2023</v>
      </c>
      <c r="E2097" s="376">
        <v>2024</v>
      </c>
      <c r="F2097" s="376">
        <v>1</v>
      </c>
      <c r="G2097" s="376">
        <v>6053.9001866585977</v>
      </c>
      <c r="H2097" s="376">
        <v>0</v>
      </c>
      <c r="I2097" s="376">
        <v>1</v>
      </c>
    </row>
    <row r="2098" spans="1:9" x14ac:dyDescent="0.35">
      <c r="A2098" s="376" t="s">
        <v>1606</v>
      </c>
      <c r="B2098" s="376" t="s">
        <v>1609</v>
      </c>
      <c r="C2098" s="376" t="s">
        <v>1046</v>
      </c>
      <c r="D2098" s="376">
        <v>2023</v>
      </c>
      <c r="E2098" s="376">
        <v>2025</v>
      </c>
      <c r="F2098" s="376">
        <v>1</v>
      </c>
      <c r="G2098" s="376">
        <v>6053.9001866585977</v>
      </c>
      <c r="H2098" s="376">
        <v>0</v>
      </c>
      <c r="I2098" s="376">
        <v>1</v>
      </c>
    </row>
    <row r="2099" spans="1:9" x14ac:dyDescent="0.35">
      <c r="A2099" s="376" t="s">
        <v>1606</v>
      </c>
      <c r="B2099" s="376" t="s">
        <v>1609</v>
      </c>
      <c r="C2099" s="376" t="s">
        <v>644</v>
      </c>
      <c r="D2099" s="376">
        <v>2023</v>
      </c>
      <c r="E2099" s="376">
        <v>2025</v>
      </c>
      <c r="F2099" s="376">
        <v>1</v>
      </c>
      <c r="G2099" s="376">
        <v>6053.9001866585977</v>
      </c>
      <c r="H2099" s="376">
        <v>0</v>
      </c>
      <c r="I2099" s="376">
        <v>1</v>
      </c>
    </row>
    <row r="2100" spans="1:9" x14ac:dyDescent="0.35">
      <c r="A2100" s="376" t="s">
        <v>1606</v>
      </c>
      <c r="B2100" s="376" t="s">
        <v>1609</v>
      </c>
      <c r="C2100" s="376" t="s">
        <v>628</v>
      </c>
      <c r="D2100" s="376">
        <v>2023</v>
      </c>
      <c r="E2100" s="376">
        <v>2025</v>
      </c>
      <c r="F2100" s="376">
        <v>1</v>
      </c>
      <c r="G2100" s="376">
        <v>6053.9001866585977</v>
      </c>
      <c r="H2100" s="376">
        <v>0</v>
      </c>
      <c r="I2100" s="376">
        <v>1</v>
      </c>
    </row>
    <row r="2101" spans="1:9" x14ac:dyDescent="0.35">
      <c r="A2101" s="376" t="s">
        <v>1606</v>
      </c>
      <c r="B2101" s="376" t="s">
        <v>1609</v>
      </c>
      <c r="C2101" s="376" t="s">
        <v>1051</v>
      </c>
      <c r="D2101" s="376">
        <v>2023</v>
      </c>
      <c r="E2101" s="376">
        <v>2025</v>
      </c>
      <c r="F2101" s="376">
        <v>1</v>
      </c>
      <c r="G2101" s="376">
        <v>6053.9001866585977</v>
      </c>
      <c r="H2101" s="376">
        <v>0</v>
      </c>
      <c r="I2101" s="376">
        <v>1</v>
      </c>
    </row>
    <row r="2102" spans="1:9" x14ac:dyDescent="0.35">
      <c r="A2102" s="376" t="s">
        <v>1606</v>
      </c>
      <c r="B2102" s="376" t="s">
        <v>1609</v>
      </c>
      <c r="C2102" s="376" t="s">
        <v>1054</v>
      </c>
      <c r="D2102" s="376">
        <v>2023</v>
      </c>
      <c r="E2102" s="376">
        <v>2025</v>
      </c>
      <c r="F2102" s="376">
        <v>1</v>
      </c>
      <c r="G2102" s="376">
        <v>6053.9001866585977</v>
      </c>
      <c r="H2102" s="376">
        <v>0</v>
      </c>
      <c r="I2102" s="376">
        <v>1</v>
      </c>
    </row>
    <row r="2103" spans="1:9" x14ac:dyDescent="0.35">
      <c r="A2103" s="376" t="s">
        <v>1606</v>
      </c>
      <c r="B2103" s="376" t="s">
        <v>1609</v>
      </c>
      <c r="C2103" s="376" t="s">
        <v>1046</v>
      </c>
      <c r="D2103" s="376">
        <v>2023</v>
      </c>
      <c r="E2103" s="376">
        <v>2026</v>
      </c>
      <c r="F2103" s="376">
        <v>1</v>
      </c>
      <c r="G2103" s="376">
        <v>6053.9001866585977</v>
      </c>
      <c r="H2103" s="376">
        <v>0</v>
      </c>
      <c r="I2103" s="376">
        <v>1</v>
      </c>
    </row>
    <row r="2104" spans="1:9" x14ac:dyDescent="0.35">
      <c r="A2104" s="376" t="s">
        <v>1606</v>
      </c>
      <c r="B2104" s="376" t="s">
        <v>1609</v>
      </c>
      <c r="C2104" s="376" t="s">
        <v>644</v>
      </c>
      <c r="D2104" s="376">
        <v>2023</v>
      </c>
      <c r="E2104" s="376">
        <v>2026</v>
      </c>
      <c r="F2104" s="376">
        <v>1</v>
      </c>
      <c r="G2104" s="376">
        <v>6053.9001866585977</v>
      </c>
      <c r="H2104" s="376">
        <v>0</v>
      </c>
      <c r="I2104" s="376">
        <v>1</v>
      </c>
    </row>
    <row r="2105" spans="1:9" x14ac:dyDescent="0.35">
      <c r="A2105" s="376" t="s">
        <v>1606</v>
      </c>
      <c r="B2105" s="376" t="s">
        <v>1609</v>
      </c>
      <c r="C2105" s="376" t="s">
        <v>628</v>
      </c>
      <c r="D2105" s="376">
        <v>2023</v>
      </c>
      <c r="E2105" s="376">
        <v>2026</v>
      </c>
      <c r="F2105" s="376">
        <v>1</v>
      </c>
      <c r="G2105" s="376">
        <v>6053.9001866585977</v>
      </c>
      <c r="H2105" s="376">
        <v>0</v>
      </c>
      <c r="I2105" s="376">
        <v>1</v>
      </c>
    </row>
    <row r="2106" spans="1:9" x14ac:dyDescent="0.35">
      <c r="A2106" s="376" t="s">
        <v>1606</v>
      </c>
      <c r="B2106" s="376" t="s">
        <v>1609</v>
      </c>
      <c r="C2106" s="376" t="s">
        <v>1051</v>
      </c>
      <c r="D2106" s="376">
        <v>2023</v>
      </c>
      <c r="E2106" s="376">
        <v>2026</v>
      </c>
      <c r="F2106" s="376">
        <v>1</v>
      </c>
      <c r="G2106" s="376">
        <v>6053.9001866585977</v>
      </c>
      <c r="H2106" s="376">
        <v>0</v>
      </c>
      <c r="I2106" s="376">
        <v>1</v>
      </c>
    </row>
    <row r="2107" spans="1:9" x14ac:dyDescent="0.35">
      <c r="A2107" s="376" t="s">
        <v>1606</v>
      </c>
      <c r="B2107" s="376" t="s">
        <v>1609</v>
      </c>
      <c r="C2107" s="376" t="s">
        <v>1054</v>
      </c>
      <c r="D2107" s="376">
        <v>2023</v>
      </c>
      <c r="E2107" s="376">
        <v>2026</v>
      </c>
      <c r="F2107" s="376">
        <v>1</v>
      </c>
      <c r="G2107" s="376">
        <v>6053.9001866585977</v>
      </c>
      <c r="H2107" s="376">
        <v>0</v>
      </c>
      <c r="I2107" s="376">
        <v>1</v>
      </c>
    </row>
    <row r="2108" spans="1:9" x14ac:dyDescent="0.35">
      <c r="A2108" s="376" t="s">
        <v>1606</v>
      </c>
      <c r="B2108" s="376" t="s">
        <v>1609</v>
      </c>
      <c r="C2108" s="376" t="s">
        <v>1046</v>
      </c>
      <c r="D2108" s="376">
        <v>2023</v>
      </c>
      <c r="E2108" s="376">
        <v>2027</v>
      </c>
      <c r="F2108" s="376">
        <v>1</v>
      </c>
      <c r="G2108" s="376">
        <v>6053.9001866585977</v>
      </c>
      <c r="H2108" s="376">
        <v>0</v>
      </c>
      <c r="I2108" s="376">
        <v>1</v>
      </c>
    </row>
    <row r="2109" spans="1:9" x14ac:dyDescent="0.35">
      <c r="A2109" s="376" t="s">
        <v>1606</v>
      </c>
      <c r="B2109" s="376" t="s">
        <v>1609</v>
      </c>
      <c r="C2109" s="376" t="s">
        <v>644</v>
      </c>
      <c r="D2109" s="376">
        <v>2023</v>
      </c>
      <c r="E2109" s="376">
        <v>2027</v>
      </c>
      <c r="F2109" s="376">
        <v>1</v>
      </c>
      <c r="G2109" s="376">
        <v>6053.9001866585977</v>
      </c>
      <c r="H2109" s="376">
        <v>0</v>
      </c>
      <c r="I2109" s="376">
        <v>1</v>
      </c>
    </row>
    <row r="2110" spans="1:9" x14ac:dyDescent="0.35">
      <c r="A2110" s="376" t="s">
        <v>1606</v>
      </c>
      <c r="B2110" s="376" t="s">
        <v>1609</v>
      </c>
      <c r="C2110" s="376" t="s">
        <v>628</v>
      </c>
      <c r="D2110" s="376">
        <v>2023</v>
      </c>
      <c r="E2110" s="376">
        <v>2027</v>
      </c>
      <c r="F2110" s="376">
        <v>1</v>
      </c>
      <c r="G2110" s="376">
        <v>6053.9001866585977</v>
      </c>
      <c r="H2110" s="376">
        <v>0</v>
      </c>
      <c r="I2110" s="376">
        <v>1</v>
      </c>
    </row>
    <row r="2111" spans="1:9" x14ac:dyDescent="0.35">
      <c r="A2111" s="376" t="s">
        <v>1606</v>
      </c>
      <c r="B2111" s="376" t="s">
        <v>1609</v>
      </c>
      <c r="C2111" s="376" t="s">
        <v>1051</v>
      </c>
      <c r="D2111" s="376">
        <v>2023</v>
      </c>
      <c r="E2111" s="376">
        <v>2027</v>
      </c>
      <c r="F2111" s="376">
        <v>1</v>
      </c>
      <c r="G2111" s="376">
        <v>6053.9001866585977</v>
      </c>
      <c r="H2111" s="376">
        <v>0</v>
      </c>
      <c r="I2111" s="376">
        <v>1</v>
      </c>
    </row>
    <row r="2112" spans="1:9" x14ac:dyDescent="0.35">
      <c r="A2112" s="376" t="s">
        <v>1606</v>
      </c>
      <c r="B2112" s="376" t="s">
        <v>1609</v>
      </c>
      <c r="C2112" s="376" t="s">
        <v>1054</v>
      </c>
      <c r="D2112" s="376">
        <v>2023</v>
      </c>
      <c r="E2112" s="376">
        <v>2027</v>
      </c>
      <c r="F2112" s="376">
        <v>1</v>
      </c>
      <c r="G2112" s="376">
        <v>6053.9001866585977</v>
      </c>
      <c r="H2112" s="376">
        <v>0</v>
      </c>
      <c r="I2112" s="376">
        <v>1</v>
      </c>
    </row>
    <row r="2113" spans="1:9" x14ac:dyDescent="0.35">
      <c r="A2113" s="376" t="s">
        <v>1606</v>
      </c>
      <c r="B2113" s="376" t="s">
        <v>1609</v>
      </c>
      <c r="C2113" s="376" t="s">
        <v>1046</v>
      </c>
      <c r="D2113" s="376">
        <v>2023</v>
      </c>
      <c r="E2113" s="376">
        <v>2028</v>
      </c>
      <c r="F2113" s="376">
        <v>1</v>
      </c>
      <c r="G2113" s="376">
        <v>6053.9001866585977</v>
      </c>
      <c r="H2113" s="376">
        <v>0</v>
      </c>
      <c r="I2113" s="376">
        <v>1</v>
      </c>
    </row>
    <row r="2114" spans="1:9" x14ac:dyDescent="0.35">
      <c r="A2114" s="376" t="s">
        <v>1606</v>
      </c>
      <c r="B2114" s="376" t="s">
        <v>1609</v>
      </c>
      <c r="C2114" s="376" t="s">
        <v>644</v>
      </c>
      <c r="D2114" s="376">
        <v>2023</v>
      </c>
      <c r="E2114" s="376">
        <v>2028</v>
      </c>
      <c r="F2114" s="376">
        <v>1</v>
      </c>
      <c r="G2114" s="376">
        <v>6053.9001866585977</v>
      </c>
      <c r="H2114" s="376">
        <v>0</v>
      </c>
      <c r="I2114" s="376">
        <v>1</v>
      </c>
    </row>
    <row r="2115" spans="1:9" x14ac:dyDescent="0.35">
      <c r="A2115" s="376" t="s">
        <v>1606</v>
      </c>
      <c r="B2115" s="376" t="s">
        <v>1609</v>
      </c>
      <c r="C2115" s="376" t="s">
        <v>628</v>
      </c>
      <c r="D2115" s="376">
        <v>2023</v>
      </c>
      <c r="E2115" s="376">
        <v>2028</v>
      </c>
      <c r="F2115" s="376">
        <v>1</v>
      </c>
      <c r="G2115" s="376">
        <v>6053.9001866585977</v>
      </c>
      <c r="H2115" s="376">
        <v>0</v>
      </c>
      <c r="I2115" s="376">
        <v>1</v>
      </c>
    </row>
    <row r="2116" spans="1:9" x14ac:dyDescent="0.35">
      <c r="A2116" s="376" t="s">
        <v>1606</v>
      </c>
      <c r="B2116" s="376" t="s">
        <v>1609</v>
      </c>
      <c r="C2116" s="376" t="s">
        <v>1051</v>
      </c>
      <c r="D2116" s="376">
        <v>2023</v>
      </c>
      <c r="E2116" s="376">
        <v>2028</v>
      </c>
      <c r="F2116" s="376">
        <v>1</v>
      </c>
      <c r="G2116" s="376">
        <v>6053.9001866585977</v>
      </c>
      <c r="H2116" s="376">
        <v>0</v>
      </c>
      <c r="I2116" s="376">
        <v>1</v>
      </c>
    </row>
    <row r="2117" spans="1:9" x14ac:dyDescent="0.35">
      <c r="A2117" s="376" t="s">
        <v>1606</v>
      </c>
      <c r="B2117" s="376" t="s">
        <v>1609</v>
      </c>
      <c r="C2117" s="376" t="s">
        <v>1054</v>
      </c>
      <c r="D2117" s="376">
        <v>2023</v>
      </c>
      <c r="E2117" s="376">
        <v>2028</v>
      </c>
      <c r="F2117" s="376">
        <v>1</v>
      </c>
      <c r="G2117" s="376">
        <v>6053.9001866585977</v>
      </c>
      <c r="H2117" s="376">
        <v>0</v>
      </c>
      <c r="I2117" s="376">
        <v>1</v>
      </c>
    </row>
    <row r="2118" spans="1:9" x14ac:dyDescent="0.35">
      <c r="A2118" s="376" t="s">
        <v>1606</v>
      </c>
      <c r="B2118" s="376" t="s">
        <v>1609</v>
      </c>
      <c r="C2118" s="376" t="s">
        <v>1046</v>
      </c>
      <c r="D2118" s="376">
        <v>2023</v>
      </c>
      <c r="E2118" s="376">
        <v>2029</v>
      </c>
      <c r="F2118" s="376">
        <v>1</v>
      </c>
      <c r="G2118" s="376">
        <v>6053.9001866585977</v>
      </c>
      <c r="H2118" s="376">
        <v>0</v>
      </c>
      <c r="I2118" s="376">
        <v>1</v>
      </c>
    </row>
    <row r="2119" spans="1:9" x14ac:dyDescent="0.35">
      <c r="A2119" s="376" t="s">
        <v>1606</v>
      </c>
      <c r="B2119" s="376" t="s">
        <v>1609</v>
      </c>
      <c r="C2119" s="376" t="s">
        <v>644</v>
      </c>
      <c r="D2119" s="376">
        <v>2023</v>
      </c>
      <c r="E2119" s="376">
        <v>2029</v>
      </c>
      <c r="F2119" s="376">
        <v>1</v>
      </c>
      <c r="G2119" s="376">
        <v>6053.9001866585977</v>
      </c>
      <c r="H2119" s="376">
        <v>0</v>
      </c>
      <c r="I2119" s="376">
        <v>1</v>
      </c>
    </row>
    <row r="2120" spans="1:9" x14ac:dyDescent="0.35">
      <c r="A2120" s="376" t="s">
        <v>1606</v>
      </c>
      <c r="B2120" s="376" t="s">
        <v>1609</v>
      </c>
      <c r="C2120" s="376" t="s">
        <v>628</v>
      </c>
      <c r="D2120" s="376">
        <v>2023</v>
      </c>
      <c r="E2120" s="376">
        <v>2029</v>
      </c>
      <c r="F2120" s="376">
        <v>1</v>
      </c>
      <c r="G2120" s="376">
        <v>6053.9001866585977</v>
      </c>
      <c r="H2120" s="376">
        <v>0</v>
      </c>
      <c r="I2120" s="376">
        <v>1</v>
      </c>
    </row>
    <row r="2121" spans="1:9" x14ac:dyDescent="0.35">
      <c r="A2121" s="376" t="s">
        <v>1606</v>
      </c>
      <c r="B2121" s="376" t="s">
        <v>1609</v>
      </c>
      <c r="C2121" s="376" t="s">
        <v>1051</v>
      </c>
      <c r="D2121" s="376">
        <v>2023</v>
      </c>
      <c r="E2121" s="376">
        <v>2029</v>
      </c>
      <c r="F2121" s="376">
        <v>1</v>
      </c>
      <c r="G2121" s="376">
        <v>6053.9001866585977</v>
      </c>
      <c r="H2121" s="376">
        <v>0</v>
      </c>
      <c r="I2121" s="376">
        <v>1</v>
      </c>
    </row>
    <row r="2122" spans="1:9" x14ac:dyDescent="0.35">
      <c r="A2122" s="376" t="s">
        <v>1606</v>
      </c>
      <c r="B2122" s="376" t="s">
        <v>1609</v>
      </c>
      <c r="C2122" s="376" t="s">
        <v>1054</v>
      </c>
      <c r="D2122" s="376">
        <v>2023</v>
      </c>
      <c r="E2122" s="376">
        <v>2029</v>
      </c>
      <c r="F2122" s="376">
        <v>1</v>
      </c>
      <c r="G2122" s="376">
        <v>6053.9001866585977</v>
      </c>
      <c r="H2122" s="376">
        <v>0</v>
      </c>
      <c r="I2122" s="376">
        <v>1</v>
      </c>
    </row>
    <row r="2123" spans="1:9" x14ac:dyDescent="0.35">
      <c r="A2123" s="376" t="s">
        <v>1606</v>
      </c>
      <c r="B2123" s="376" t="s">
        <v>1609</v>
      </c>
      <c r="C2123" s="376" t="s">
        <v>1046</v>
      </c>
      <c r="D2123" s="376">
        <v>2023</v>
      </c>
      <c r="E2123" s="376">
        <v>2030</v>
      </c>
      <c r="F2123" s="376">
        <v>1</v>
      </c>
      <c r="G2123" s="376">
        <v>6053.9001866585977</v>
      </c>
      <c r="H2123" s="376">
        <v>0</v>
      </c>
      <c r="I2123" s="376">
        <v>1</v>
      </c>
    </row>
    <row r="2124" spans="1:9" x14ac:dyDescent="0.35">
      <c r="A2124" s="376" t="s">
        <v>1606</v>
      </c>
      <c r="B2124" s="376" t="s">
        <v>1609</v>
      </c>
      <c r="C2124" s="376" t="s">
        <v>644</v>
      </c>
      <c r="D2124" s="376">
        <v>2023</v>
      </c>
      <c r="E2124" s="376">
        <v>2030</v>
      </c>
      <c r="F2124" s="376">
        <v>1</v>
      </c>
      <c r="G2124" s="376">
        <v>6053.9001866585977</v>
      </c>
      <c r="H2124" s="376">
        <v>0</v>
      </c>
      <c r="I2124" s="376">
        <v>1</v>
      </c>
    </row>
    <row r="2125" spans="1:9" x14ac:dyDescent="0.35">
      <c r="A2125" s="376" t="s">
        <v>1606</v>
      </c>
      <c r="B2125" s="376" t="s">
        <v>1609</v>
      </c>
      <c r="C2125" s="376" t="s">
        <v>628</v>
      </c>
      <c r="D2125" s="376">
        <v>2023</v>
      </c>
      <c r="E2125" s="376">
        <v>2030</v>
      </c>
      <c r="F2125" s="376">
        <v>1</v>
      </c>
      <c r="G2125" s="376">
        <v>6053.9001866585977</v>
      </c>
      <c r="H2125" s="376">
        <v>0</v>
      </c>
      <c r="I2125" s="376">
        <v>1</v>
      </c>
    </row>
    <row r="2126" spans="1:9" x14ac:dyDescent="0.35">
      <c r="A2126" s="376" t="s">
        <v>1606</v>
      </c>
      <c r="B2126" s="376" t="s">
        <v>1609</v>
      </c>
      <c r="C2126" s="376" t="s">
        <v>1051</v>
      </c>
      <c r="D2126" s="376">
        <v>2023</v>
      </c>
      <c r="E2126" s="376">
        <v>2030</v>
      </c>
      <c r="F2126" s="376">
        <v>1</v>
      </c>
      <c r="G2126" s="376">
        <v>6053.9001866585977</v>
      </c>
      <c r="H2126" s="376">
        <v>0</v>
      </c>
      <c r="I2126" s="376">
        <v>1</v>
      </c>
    </row>
    <row r="2127" spans="1:9" x14ac:dyDescent="0.35">
      <c r="A2127" s="376" t="s">
        <v>1606</v>
      </c>
      <c r="B2127" s="376" t="s">
        <v>1609</v>
      </c>
      <c r="C2127" s="376" t="s">
        <v>1054</v>
      </c>
      <c r="D2127" s="376">
        <v>2023</v>
      </c>
      <c r="E2127" s="376">
        <v>2030</v>
      </c>
      <c r="F2127" s="376">
        <v>1</v>
      </c>
      <c r="G2127" s="376">
        <v>6053.9001866585977</v>
      </c>
      <c r="H2127" s="376">
        <v>0</v>
      </c>
      <c r="I2127" s="376">
        <v>1</v>
      </c>
    </row>
    <row r="2128" spans="1:9" x14ac:dyDescent="0.35">
      <c r="A2128" s="376" t="s">
        <v>1606</v>
      </c>
      <c r="B2128" s="376" t="s">
        <v>1609</v>
      </c>
      <c r="C2128" s="376" t="s">
        <v>1046</v>
      </c>
      <c r="D2128" s="376">
        <v>2023</v>
      </c>
      <c r="E2128" s="376">
        <v>2031</v>
      </c>
      <c r="F2128" s="376">
        <v>1</v>
      </c>
      <c r="G2128" s="376">
        <v>6053.9001866585977</v>
      </c>
      <c r="H2128" s="376">
        <v>0</v>
      </c>
      <c r="I2128" s="376">
        <v>1</v>
      </c>
    </row>
    <row r="2129" spans="1:9" x14ac:dyDescent="0.35">
      <c r="A2129" s="376" t="s">
        <v>1606</v>
      </c>
      <c r="B2129" s="376" t="s">
        <v>1609</v>
      </c>
      <c r="C2129" s="376" t="s">
        <v>644</v>
      </c>
      <c r="D2129" s="376">
        <v>2023</v>
      </c>
      <c r="E2129" s="376">
        <v>2031</v>
      </c>
      <c r="F2129" s="376">
        <v>1</v>
      </c>
      <c r="G2129" s="376">
        <v>6053.9001866585977</v>
      </c>
      <c r="H2129" s="376">
        <v>0</v>
      </c>
      <c r="I2129" s="376">
        <v>1</v>
      </c>
    </row>
    <row r="2130" spans="1:9" x14ac:dyDescent="0.35">
      <c r="A2130" s="376" t="s">
        <v>1606</v>
      </c>
      <c r="B2130" s="376" t="s">
        <v>1609</v>
      </c>
      <c r="C2130" s="376" t="s">
        <v>628</v>
      </c>
      <c r="D2130" s="376">
        <v>2023</v>
      </c>
      <c r="E2130" s="376">
        <v>2031</v>
      </c>
      <c r="F2130" s="376">
        <v>1</v>
      </c>
      <c r="G2130" s="376">
        <v>6053.9001866585977</v>
      </c>
      <c r="H2130" s="376">
        <v>0</v>
      </c>
      <c r="I2130" s="376">
        <v>1</v>
      </c>
    </row>
    <row r="2131" spans="1:9" x14ac:dyDescent="0.35">
      <c r="A2131" s="376" t="s">
        <v>1606</v>
      </c>
      <c r="B2131" s="376" t="s">
        <v>1609</v>
      </c>
      <c r="C2131" s="376" t="s">
        <v>1051</v>
      </c>
      <c r="D2131" s="376">
        <v>2023</v>
      </c>
      <c r="E2131" s="376">
        <v>2031</v>
      </c>
      <c r="F2131" s="376">
        <v>1</v>
      </c>
      <c r="G2131" s="376">
        <v>6053.9001866585977</v>
      </c>
      <c r="H2131" s="376">
        <v>0</v>
      </c>
      <c r="I2131" s="376">
        <v>1</v>
      </c>
    </row>
    <row r="2132" spans="1:9" x14ac:dyDescent="0.35">
      <c r="A2132" s="376" t="s">
        <v>1606</v>
      </c>
      <c r="B2132" s="376" t="s">
        <v>1609</v>
      </c>
      <c r="C2132" s="376" t="s">
        <v>1054</v>
      </c>
      <c r="D2132" s="376">
        <v>2023</v>
      </c>
      <c r="E2132" s="376">
        <v>2031</v>
      </c>
      <c r="F2132" s="376">
        <v>1</v>
      </c>
      <c r="G2132" s="376">
        <v>6053.9001866585977</v>
      </c>
      <c r="H2132" s="376">
        <v>0</v>
      </c>
      <c r="I2132" s="376">
        <v>1</v>
      </c>
    </row>
    <row r="2133" spans="1:9" x14ac:dyDescent="0.35">
      <c r="A2133" s="376" t="s">
        <v>1612</v>
      </c>
      <c r="B2133" s="376" t="s">
        <v>1609</v>
      </c>
      <c r="C2133" s="376" t="s">
        <v>1046</v>
      </c>
      <c r="D2133" s="376">
        <v>2024</v>
      </c>
      <c r="E2133" s="376">
        <v>2024</v>
      </c>
      <c r="F2133" s="376">
        <v>0.37384575124303709</v>
      </c>
      <c r="G2133" s="376">
        <v>9928.6887826901675</v>
      </c>
      <c r="H2133" s="376">
        <v>0.26706642379365719</v>
      </c>
      <c r="I2133" s="376">
        <v>0.85</v>
      </c>
    </row>
    <row r="2134" spans="1:9" x14ac:dyDescent="0.35">
      <c r="A2134" s="376" t="s">
        <v>1612</v>
      </c>
      <c r="B2134" s="376" t="s">
        <v>1609</v>
      </c>
      <c r="C2134" s="376" t="s">
        <v>644</v>
      </c>
      <c r="D2134" s="376">
        <v>2024</v>
      </c>
      <c r="E2134" s="376">
        <v>2024</v>
      </c>
      <c r="F2134" s="376">
        <v>0.37384575124303709</v>
      </c>
      <c r="G2134" s="376">
        <v>9928.6887826901675</v>
      </c>
      <c r="H2134" s="376">
        <v>0.26706642379365719</v>
      </c>
      <c r="I2134" s="376">
        <v>0.85</v>
      </c>
    </row>
    <row r="2135" spans="1:9" x14ac:dyDescent="0.35">
      <c r="A2135" s="376" t="s">
        <v>1612</v>
      </c>
      <c r="B2135" s="376" t="s">
        <v>1609</v>
      </c>
      <c r="C2135" s="376" t="s">
        <v>628</v>
      </c>
      <c r="D2135" s="376">
        <v>2024</v>
      </c>
      <c r="E2135" s="376">
        <v>2024</v>
      </c>
      <c r="F2135" s="376">
        <v>0.37384575124303709</v>
      </c>
      <c r="G2135" s="376">
        <v>9928.6887826901675</v>
      </c>
      <c r="H2135" s="376">
        <v>0.26706642379365719</v>
      </c>
      <c r="I2135" s="376">
        <v>0.85</v>
      </c>
    </row>
    <row r="2136" spans="1:9" x14ac:dyDescent="0.35">
      <c r="A2136" s="376" t="s">
        <v>1612</v>
      </c>
      <c r="B2136" s="376" t="s">
        <v>1609</v>
      </c>
      <c r="C2136" s="376" t="s">
        <v>1051</v>
      </c>
      <c r="D2136" s="376">
        <v>2024</v>
      </c>
      <c r="E2136" s="376">
        <v>2024</v>
      </c>
      <c r="F2136" s="376">
        <v>0.37384575124303709</v>
      </c>
      <c r="G2136" s="376">
        <v>9928.6887826901675</v>
      </c>
      <c r="H2136" s="376">
        <v>0.26706642379365719</v>
      </c>
      <c r="I2136" s="376">
        <v>0.85</v>
      </c>
    </row>
    <row r="2137" spans="1:9" x14ac:dyDescent="0.35">
      <c r="A2137" s="376" t="s">
        <v>1612</v>
      </c>
      <c r="B2137" s="376" t="s">
        <v>1609</v>
      </c>
      <c r="C2137" s="376" t="s">
        <v>1054</v>
      </c>
      <c r="D2137" s="376">
        <v>2024</v>
      </c>
      <c r="E2137" s="376">
        <v>2024</v>
      </c>
      <c r="F2137" s="376">
        <v>0.37384575124303709</v>
      </c>
      <c r="G2137" s="376">
        <v>9928.6887826901675</v>
      </c>
      <c r="H2137" s="376">
        <v>0.26706642379365719</v>
      </c>
      <c r="I2137" s="376">
        <v>0.85</v>
      </c>
    </row>
    <row r="2138" spans="1:9" x14ac:dyDescent="0.35">
      <c r="A2138" s="376" t="s">
        <v>1612</v>
      </c>
      <c r="B2138" s="376" t="s">
        <v>1609</v>
      </c>
      <c r="C2138" s="376" t="s">
        <v>1046</v>
      </c>
      <c r="D2138" s="376">
        <v>2024</v>
      </c>
      <c r="E2138" s="376">
        <v>2025</v>
      </c>
      <c r="F2138" s="376">
        <v>0.37384575124303709</v>
      </c>
      <c r="G2138" s="376">
        <v>9928.6887826901675</v>
      </c>
      <c r="H2138" s="376">
        <v>0.26706642379365719</v>
      </c>
      <c r="I2138" s="376">
        <v>0.85</v>
      </c>
    </row>
    <row r="2139" spans="1:9" x14ac:dyDescent="0.35">
      <c r="A2139" s="376" t="s">
        <v>1612</v>
      </c>
      <c r="B2139" s="376" t="s">
        <v>1609</v>
      </c>
      <c r="C2139" s="376" t="s">
        <v>644</v>
      </c>
      <c r="D2139" s="376">
        <v>2024</v>
      </c>
      <c r="E2139" s="376">
        <v>2025</v>
      </c>
      <c r="F2139" s="376">
        <v>0.37384575124303709</v>
      </c>
      <c r="G2139" s="376">
        <v>9928.6887826901675</v>
      </c>
      <c r="H2139" s="376">
        <v>0.26706642379365719</v>
      </c>
      <c r="I2139" s="376">
        <v>0.85</v>
      </c>
    </row>
    <row r="2140" spans="1:9" x14ac:dyDescent="0.35">
      <c r="A2140" s="376" t="s">
        <v>1612</v>
      </c>
      <c r="B2140" s="376" t="s">
        <v>1609</v>
      </c>
      <c r="C2140" s="376" t="s">
        <v>628</v>
      </c>
      <c r="D2140" s="376">
        <v>2024</v>
      </c>
      <c r="E2140" s="376">
        <v>2025</v>
      </c>
      <c r="F2140" s="376">
        <v>0.37384575124303709</v>
      </c>
      <c r="G2140" s="376">
        <v>9928.6887826901675</v>
      </c>
      <c r="H2140" s="376">
        <v>0.26706642379365719</v>
      </c>
      <c r="I2140" s="376">
        <v>0.85</v>
      </c>
    </row>
    <row r="2141" spans="1:9" x14ac:dyDescent="0.35">
      <c r="A2141" s="376" t="s">
        <v>1612</v>
      </c>
      <c r="B2141" s="376" t="s">
        <v>1609</v>
      </c>
      <c r="C2141" s="376" t="s">
        <v>1051</v>
      </c>
      <c r="D2141" s="376">
        <v>2024</v>
      </c>
      <c r="E2141" s="376">
        <v>2025</v>
      </c>
      <c r="F2141" s="376">
        <v>0.37384575124303709</v>
      </c>
      <c r="G2141" s="376">
        <v>9928.6887826901675</v>
      </c>
      <c r="H2141" s="376">
        <v>0.26706642379365719</v>
      </c>
      <c r="I2141" s="376">
        <v>0.85</v>
      </c>
    </row>
    <row r="2142" spans="1:9" x14ac:dyDescent="0.35">
      <c r="A2142" s="376" t="s">
        <v>1612</v>
      </c>
      <c r="B2142" s="376" t="s">
        <v>1609</v>
      </c>
      <c r="C2142" s="376" t="s">
        <v>1054</v>
      </c>
      <c r="D2142" s="376">
        <v>2024</v>
      </c>
      <c r="E2142" s="376">
        <v>2025</v>
      </c>
      <c r="F2142" s="376">
        <v>0.37384575124303709</v>
      </c>
      <c r="G2142" s="376">
        <v>9928.6887826901675</v>
      </c>
      <c r="H2142" s="376">
        <v>0.26706642379365719</v>
      </c>
      <c r="I2142" s="376">
        <v>0.85</v>
      </c>
    </row>
    <row r="2143" spans="1:9" x14ac:dyDescent="0.35">
      <c r="A2143" s="376" t="s">
        <v>1612</v>
      </c>
      <c r="B2143" s="376" t="s">
        <v>1609</v>
      </c>
      <c r="C2143" s="376" t="s">
        <v>1046</v>
      </c>
      <c r="D2143" s="376">
        <v>2024</v>
      </c>
      <c r="E2143" s="376">
        <v>2026</v>
      </c>
      <c r="F2143" s="376">
        <v>0.37384575124303709</v>
      </c>
      <c r="G2143" s="376">
        <v>9928.6887826901675</v>
      </c>
      <c r="H2143" s="376">
        <v>0.26706642379365719</v>
      </c>
      <c r="I2143" s="376">
        <v>0.85</v>
      </c>
    </row>
    <row r="2144" spans="1:9" x14ac:dyDescent="0.35">
      <c r="A2144" s="376" t="s">
        <v>1612</v>
      </c>
      <c r="B2144" s="376" t="s">
        <v>1609</v>
      </c>
      <c r="C2144" s="376" t="s">
        <v>644</v>
      </c>
      <c r="D2144" s="376">
        <v>2024</v>
      </c>
      <c r="E2144" s="376">
        <v>2026</v>
      </c>
      <c r="F2144" s="376">
        <v>0.37384575124303709</v>
      </c>
      <c r="G2144" s="376">
        <v>9928.6887826901675</v>
      </c>
      <c r="H2144" s="376">
        <v>0.26706642379365719</v>
      </c>
      <c r="I2144" s="376">
        <v>0.85</v>
      </c>
    </row>
    <row r="2145" spans="1:9" x14ac:dyDescent="0.35">
      <c r="A2145" s="376" t="s">
        <v>1612</v>
      </c>
      <c r="B2145" s="376" t="s">
        <v>1609</v>
      </c>
      <c r="C2145" s="376" t="s">
        <v>628</v>
      </c>
      <c r="D2145" s="376">
        <v>2024</v>
      </c>
      <c r="E2145" s="376">
        <v>2026</v>
      </c>
      <c r="F2145" s="376">
        <v>0.37384575124303709</v>
      </c>
      <c r="G2145" s="376">
        <v>9928.6887826901675</v>
      </c>
      <c r="H2145" s="376">
        <v>0.26706642379365719</v>
      </c>
      <c r="I2145" s="376">
        <v>0.85</v>
      </c>
    </row>
    <row r="2146" spans="1:9" x14ac:dyDescent="0.35">
      <c r="A2146" s="376" t="s">
        <v>1612</v>
      </c>
      <c r="B2146" s="376" t="s">
        <v>1609</v>
      </c>
      <c r="C2146" s="376" t="s">
        <v>1051</v>
      </c>
      <c r="D2146" s="376">
        <v>2024</v>
      </c>
      <c r="E2146" s="376">
        <v>2026</v>
      </c>
      <c r="F2146" s="376">
        <v>0.37384575124303709</v>
      </c>
      <c r="G2146" s="376">
        <v>9928.6887826901675</v>
      </c>
      <c r="H2146" s="376">
        <v>0.26706642379365719</v>
      </c>
      <c r="I2146" s="376">
        <v>0.85</v>
      </c>
    </row>
    <row r="2147" spans="1:9" x14ac:dyDescent="0.35">
      <c r="A2147" s="376" t="s">
        <v>1612</v>
      </c>
      <c r="B2147" s="376" t="s">
        <v>1609</v>
      </c>
      <c r="C2147" s="376" t="s">
        <v>1054</v>
      </c>
      <c r="D2147" s="376">
        <v>2024</v>
      </c>
      <c r="E2147" s="376">
        <v>2026</v>
      </c>
      <c r="F2147" s="376">
        <v>0.37384575124303709</v>
      </c>
      <c r="G2147" s="376">
        <v>9928.6887826901675</v>
      </c>
      <c r="H2147" s="376">
        <v>0.26706642379365719</v>
      </c>
      <c r="I2147" s="376">
        <v>0.85</v>
      </c>
    </row>
    <row r="2148" spans="1:9" x14ac:dyDescent="0.35">
      <c r="A2148" s="376" t="s">
        <v>1612</v>
      </c>
      <c r="B2148" s="376" t="s">
        <v>1609</v>
      </c>
      <c r="C2148" s="376" t="s">
        <v>1046</v>
      </c>
      <c r="D2148" s="376">
        <v>2024</v>
      </c>
      <c r="E2148" s="376">
        <v>2027</v>
      </c>
      <c r="F2148" s="376">
        <v>0.37384575124303709</v>
      </c>
      <c r="G2148" s="376">
        <v>9928.6887826901675</v>
      </c>
      <c r="H2148" s="376">
        <v>0.26706642379365719</v>
      </c>
      <c r="I2148" s="376">
        <v>0.85</v>
      </c>
    </row>
    <row r="2149" spans="1:9" x14ac:dyDescent="0.35">
      <c r="A2149" s="376" t="s">
        <v>1612</v>
      </c>
      <c r="B2149" s="376" t="s">
        <v>1609</v>
      </c>
      <c r="C2149" s="376" t="s">
        <v>644</v>
      </c>
      <c r="D2149" s="376">
        <v>2024</v>
      </c>
      <c r="E2149" s="376">
        <v>2027</v>
      </c>
      <c r="F2149" s="376">
        <v>0.37384575124303709</v>
      </c>
      <c r="G2149" s="376">
        <v>9928.6887826901675</v>
      </c>
      <c r="H2149" s="376">
        <v>0.26706642379365719</v>
      </c>
      <c r="I2149" s="376">
        <v>0.85</v>
      </c>
    </row>
    <row r="2150" spans="1:9" x14ac:dyDescent="0.35">
      <c r="A2150" s="376" t="s">
        <v>1612</v>
      </c>
      <c r="B2150" s="376" t="s">
        <v>1609</v>
      </c>
      <c r="C2150" s="376" t="s">
        <v>628</v>
      </c>
      <c r="D2150" s="376">
        <v>2024</v>
      </c>
      <c r="E2150" s="376">
        <v>2027</v>
      </c>
      <c r="F2150" s="376">
        <v>0.37384575124303709</v>
      </c>
      <c r="G2150" s="376">
        <v>9928.6887826901675</v>
      </c>
      <c r="H2150" s="376">
        <v>0.26706642379365719</v>
      </c>
      <c r="I2150" s="376">
        <v>0.85</v>
      </c>
    </row>
    <row r="2151" spans="1:9" x14ac:dyDescent="0.35">
      <c r="A2151" s="376" t="s">
        <v>1612</v>
      </c>
      <c r="B2151" s="376" t="s">
        <v>1609</v>
      </c>
      <c r="C2151" s="376" t="s">
        <v>1051</v>
      </c>
      <c r="D2151" s="376">
        <v>2024</v>
      </c>
      <c r="E2151" s="376">
        <v>2027</v>
      </c>
      <c r="F2151" s="376">
        <v>0.37384575124303709</v>
      </c>
      <c r="G2151" s="376">
        <v>9928.6887826901675</v>
      </c>
      <c r="H2151" s="376">
        <v>0.26706642379365719</v>
      </c>
      <c r="I2151" s="376">
        <v>0.85</v>
      </c>
    </row>
    <row r="2152" spans="1:9" x14ac:dyDescent="0.35">
      <c r="A2152" s="376" t="s">
        <v>1612</v>
      </c>
      <c r="B2152" s="376" t="s">
        <v>1609</v>
      </c>
      <c r="C2152" s="376" t="s">
        <v>1054</v>
      </c>
      <c r="D2152" s="376">
        <v>2024</v>
      </c>
      <c r="E2152" s="376">
        <v>2027</v>
      </c>
      <c r="F2152" s="376">
        <v>0.37384575124303709</v>
      </c>
      <c r="G2152" s="376">
        <v>9928.6887826901675</v>
      </c>
      <c r="H2152" s="376">
        <v>0.26706642379365719</v>
      </c>
      <c r="I2152" s="376">
        <v>0.85</v>
      </c>
    </row>
    <row r="2153" spans="1:9" x14ac:dyDescent="0.35">
      <c r="A2153" s="376" t="s">
        <v>1612</v>
      </c>
      <c r="B2153" s="376" t="s">
        <v>1609</v>
      </c>
      <c r="C2153" s="376" t="s">
        <v>1046</v>
      </c>
      <c r="D2153" s="376">
        <v>2024</v>
      </c>
      <c r="E2153" s="376">
        <v>2028</v>
      </c>
      <c r="F2153" s="376">
        <v>0.37384575124303709</v>
      </c>
      <c r="G2153" s="376">
        <v>9928.6887826901675</v>
      </c>
      <c r="H2153" s="376">
        <v>0.26706642379365719</v>
      </c>
      <c r="I2153" s="376">
        <v>0.85</v>
      </c>
    </row>
    <row r="2154" spans="1:9" x14ac:dyDescent="0.35">
      <c r="A2154" s="376" t="s">
        <v>1612</v>
      </c>
      <c r="B2154" s="376" t="s">
        <v>1609</v>
      </c>
      <c r="C2154" s="376" t="s">
        <v>644</v>
      </c>
      <c r="D2154" s="376">
        <v>2024</v>
      </c>
      <c r="E2154" s="376">
        <v>2028</v>
      </c>
      <c r="F2154" s="376">
        <v>0.37384575124303709</v>
      </c>
      <c r="G2154" s="376">
        <v>9928.6887826901675</v>
      </c>
      <c r="H2154" s="376">
        <v>0.26706642379365719</v>
      </c>
      <c r="I2154" s="376">
        <v>0.85</v>
      </c>
    </row>
    <row r="2155" spans="1:9" x14ac:dyDescent="0.35">
      <c r="A2155" s="376" t="s">
        <v>1612</v>
      </c>
      <c r="B2155" s="376" t="s">
        <v>1609</v>
      </c>
      <c r="C2155" s="376" t="s">
        <v>628</v>
      </c>
      <c r="D2155" s="376">
        <v>2024</v>
      </c>
      <c r="E2155" s="376">
        <v>2028</v>
      </c>
      <c r="F2155" s="376">
        <v>0.37384575124303709</v>
      </c>
      <c r="G2155" s="376">
        <v>9928.6887826901675</v>
      </c>
      <c r="H2155" s="376">
        <v>0.26706642379365719</v>
      </c>
      <c r="I2155" s="376">
        <v>0.85</v>
      </c>
    </row>
    <row r="2156" spans="1:9" x14ac:dyDescent="0.35">
      <c r="A2156" s="376" t="s">
        <v>1612</v>
      </c>
      <c r="B2156" s="376" t="s">
        <v>1609</v>
      </c>
      <c r="C2156" s="376" t="s">
        <v>1051</v>
      </c>
      <c r="D2156" s="376">
        <v>2024</v>
      </c>
      <c r="E2156" s="376">
        <v>2028</v>
      </c>
      <c r="F2156" s="376">
        <v>0.37384575124303709</v>
      </c>
      <c r="G2156" s="376">
        <v>9928.6887826901675</v>
      </c>
      <c r="H2156" s="376">
        <v>0.26706642379365719</v>
      </c>
      <c r="I2156" s="376">
        <v>0.85</v>
      </c>
    </row>
    <row r="2157" spans="1:9" x14ac:dyDescent="0.35">
      <c r="A2157" s="376" t="s">
        <v>1612</v>
      </c>
      <c r="B2157" s="376" t="s">
        <v>1609</v>
      </c>
      <c r="C2157" s="376" t="s">
        <v>1054</v>
      </c>
      <c r="D2157" s="376">
        <v>2024</v>
      </c>
      <c r="E2157" s="376">
        <v>2028</v>
      </c>
      <c r="F2157" s="376">
        <v>0.37384575124303709</v>
      </c>
      <c r="G2157" s="376">
        <v>9928.6887826901675</v>
      </c>
      <c r="H2157" s="376">
        <v>0.26706642379365719</v>
      </c>
      <c r="I2157" s="376">
        <v>0.85</v>
      </c>
    </row>
    <row r="2158" spans="1:9" x14ac:dyDescent="0.35">
      <c r="A2158" s="376" t="s">
        <v>1612</v>
      </c>
      <c r="B2158" s="376" t="s">
        <v>1609</v>
      </c>
      <c r="C2158" s="376" t="s">
        <v>1046</v>
      </c>
      <c r="D2158" s="376">
        <v>2024</v>
      </c>
      <c r="E2158" s="376">
        <v>2029</v>
      </c>
      <c r="F2158" s="376">
        <v>0.37384575124303709</v>
      </c>
      <c r="G2158" s="376">
        <v>9928.6887826901675</v>
      </c>
      <c r="H2158" s="376">
        <v>0.26706642379365719</v>
      </c>
      <c r="I2158" s="376">
        <v>0.85</v>
      </c>
    </row>
    <row r="2159" spans="1:9" x14ac:dyDescent="0.35">
      <c r="A2159" s="376" t="s">
        <v>1612</v>
      </c>
      <c r="B2159" s="376" t="s">
        <v>1609</v>
      </c>
      <c r="C2159" s="376" t="s">
        <v>644</v>
      </c>
      <c r="D2159" s="376">
        <v>2024</v>
      </c>
      <c r="E2159" s="376">
        <v>2029</v>
      </c>
      <c r="F2159" s="376">
        <v>0.37384575124303709</v>
      </c>
      <c r="G2159" s="376">
        <v>9928.6887826901675</v>
      </c>
      <c r="H2159" s="376">
        <v>0.26706642379365719</v>
      </c>
      <c r="I2159" s="376">
        <v>0.85</v>
      </c>
    </row>
    <row r="2160" spans="1:9" x14ac:dyDescent="0.35">
      <c r="A2160" s="376" t="s">
        <v>1612</v>
      </c>
      <c r="B2160" s="376" t="s">
        <v>1609</v>
      </c>
      <c r="C2160" s="376" t="s">
        <v>628</v>
      </c>
      <c r="D2160" s="376">
        <v>2024</v>
      </c>
      <c r="E2160" s="376">
        <v>2029</v>
      </c>
      <c r="F2160" s="376">
        <v>0.37384575124303709</v>
      </c>
      <c r="G2160" s="376">
        <v>9928.6887826901675</v>
      </c>
      <c r="H2160" s="376">
        <v>0.26706642379365719</v>
      </c>
      <c r="I2160" s="376">
        <v>0.85</v>
      </c>
    </row>
    <row r="2161" spans="1:9" x14ac:dyDescent="0.35">
      <c r="A2161" s="376" t="s">
        <v>1612</v>
      </c>
      <c r="B2161" s="376" t="s">
        <v>1609</v>
      </c>
      <c r="C2161" s="376" t="s">
        <v>1051</v>
      </c>
      <c r="D2161" s="376">
        <v>2024</v>
      </c>
      <c r="E2161" s="376">
        <v>2029</v>
      </c>
      <c r="F2161" s="376">
        <v>0.37384575124303709</v>
      </c>
      <c r="G2161" s="376">
        <v>9928.6887826901675</v>
      </c>
      <c r="H2161" s="376">
        <v>0.26706642379365719</v>
      </c>
      <c r="I2161" s="376">
        <v>0.85</v>
      </c>
    </row>
    <row r="2162" spans="1:9" x14ac:dyDescent="0.35">
      <c r="A2162" s="376" t="s">
        <v>1612</v>
      </c>
      <c r="B2162" s="376" t="s">
        <v>1609</v>
      </c>
      <c r="C2162" s="376" t="s">
        <v>1054</v>
      </c>
      <c r="D2162" s="376">
        <v>2024</v>
      </c>
      <c r="E2162" s="376">
        <v>2029</v>
      </c>
      <c r="F2162" s="376">
        <v>0.37384575124303709</v>
      </c>
      <c r="G2162" s="376">
        <v>9928.6887826901675</v>
      </c>
      <c r="H2162" s="376">
        <v>0.26706642379365719</v>
      </c>
      <c r="I2162" s="376">
        <v>0.85</v>
      </c>
    </row>
    <row r="2163" spans="1:9" x14ac:dyDescent="0.35">
      <c r="A2163" s="376" t="s">
        <v>1612</v>
      </c>
      <c r="B2163" s="376" t="s">
        <v>1609</v>
      </c>
      <c r="C2163" s="376" t="s">
        <v>1046</v>
      </c>
      <c r="D2163" s="376">
        <v>2024</v>
      </c>
      <c r="E2163" s="376">
        <v>2030</v>
      </c>
      <c r="F2163" s="376">
        <v>0.37384575124303709</v>
      </c>
      <c r="G2163" s="376">
        <v>9928.6887826901675</v>
      </c>
      <c r="H2163" s="376">
        <v>0.26706642379365719</v>
      </c>
      <c r="I2163" s="376">
        <v>0.85</v>
      </c>
    </row>
    <row r="2164" spans="1:9" x14ac:dyDescent="0.35">
      <c r="A2164" s="376" t="s">
        <v>1612</v>
      </c>
      <c r="B2164" s="376" t="s">
        <v>1609</v>
      </c>
      <c r="C2164" s="376" t="s">
        <v>644</v>
      </c>
      <c r="D2164" s="376">
        <v>2024</v>
      </c>
      <c r="E2164" s="376">
        <v>2030</v>
      </c>
      <c r="F2164" s="376">
        <v>0.37384575124303709</v>
      </c>
      <c r="G2164" s="376">
        <v>9928.6887826901675</v>
      </c>
      <c r="H2164" s="376">
        <v>0.26706642379365719</v>
      </c>
      <c r="I2164" s="376">
        <v>0.85</v>
      </c>
    </row>
    <row r="2165" spans="1:9" x14ac:dyDescent="0.35">
      <c r="A2165" s="376" t="s">
        <v>1612</v>
      </c>
      <c r="B2165" s="376" t="s">
        <v>1609</v>
      </c>
      <c r="C2165" s="376" t="s">
        <v>628</v>
      </c>
      <c r="D2165" s="376">
        <v>2024</v>
      </c>
      <c r="E2165" s="376">
        <v>2030</v>
      </c>
      <c r="F2165" s="376">
        <v>0.37384575124303709</v>
      </c>
      <c r="G2165" s="376">
        <v>9928.6887826901675</v>
      </c>
      <c r="H2165" s="376">
        <v>0.26706642379365719</v>
      </c>
      <c r="I2165" s="376">
        <v>0.85</v>
      </c>
    </row>
    <row r="2166" spans="1:9" x14ac:dyDescent="0.35">
      <c r="A2166" s="376" t="s">
        <v>1612</v>
      </c>
      <c r="B2166" s="376" t="s">
        <v>1609</v>
      </c>
      <c r="C2166" s="376" t="s">
        <v>1051</v>
      </c>
      <c r="D2166" s="376">
        <v>2024</v>
      </c>
      <c r="E2166" s="376">
        <v>2030</v>
      </c>
      <c r="F2166" s="376">
        <v>0.37384575124303709</v>
      </c>
      <c r="G2166" s="376">
        <v>9928.6887826901675</v>
      </c>
      <c r="H2166" s="376">
        <v>0.26706642379365719</v>
      </c>
      <c r="I2166" s="376">
        <v>0.85</v>
      </c>
    </row>
    <row r="2167" spans="1:9" x14ac:dyDescent="0.35">
      <c r="A2167" s="376" t="s">
        <v>1612</v>
      </c>
      <c r="B2167" s="376" t="s">
        <v>1609</v>
      </c>
      <c r="C2167" s="376" t="s">
        <v>1054</v>
      </c>
      <c r="D2167" s="376">
        <v>2024</v>
      </c>
      <c r="E2167" s="376">
        <v>2030</v>
      </c>
      <c r="F2167" s="376">
        <v>0.37384575124303709</v>
      </c>
      <c r="G2167" s="376">
        <v>9928.6887826901675</v>
      </c>
      <c r="H2167" s="376">
        <v>0.26706642379365719</v>
      </c>
      <c r="I2167" s="376">
        <v>0.85</v>
      </c>
    </row>
    <row r="2168" spans="1:9" x14ac:dyDescent="0.35">
      <c r="A2168" s="376" t="s">
        <v>1612</v>
      </c>
      <c r="B2168" s="376" t="s">
        <v>1609</v>
      </c>
      <c r="C2168" s="376" t="s">
        <v>1046</v>
      </c>
      <c r="D2168" s="376">
        <v>2024</v>
      </c>
      <c r="E2168" s="376">
        <v>2031</v>
      </c>
      <c r="F2168" s="376">
        <v>0.37384575124303709</v>
      </c>
      <c r="G2168" s="376">
        <v>9928.6887826901675</v>
      </c>
      <c r="H2168" s="376">
        <v>0.26706642379365719</v>
      </c>
      <c r="I2168" s="376">
        <v>0.85</v>
      </c>
    </row>
    <row r="2169" spans="1:9" x14ac:dyDescent="0.35">
      <c r="A2169" s="376" t="s">
        <v>1612</v>
      </c>
      <c r="B2169" s="376" t="s">
        <v>1609</v>
      </c>
      <c r="C2169" s="376" t="s">
        <v>644</v>
      </c>
      <c r="D2169" s="376">
        <v>2024</v>
      </c>
      <c r="E2169" s="376">
        <v>2031</v>
      </c>
      <c r="F2169" s="376">
        <v>0.37384575124303709</v>
      </c>
      <c r="G2169" s="376">
        <v>9928.6887826901675</v>
      </c>
      <c r="H2169" s="376">
        <v>0.26706642379365719</v>
      </c>
      <c r="I2169" s="376">
        <v>0.85</v>
      </c>
    </row>
    <row r="2170" spans="1:9" x14ac:dyDescent="0.35">
      <c r="A2170" s="376" t="s">
        <v>1612</v>
      </c>
      <c r="B2170" s="376" t="s">
        <v>1609</v>
      </c>
      <c r="C2170" s="376" t="s">
        <v>628</v>
      </c>
      <c r="D2170" s="376">
        <v>2024</v>
      </c>
      <c r="E2170" s="376">
        <v>2031</v>
      </c>
      <c r="F2170" s="376">
        <v>0.37384575124303709</v>
      </c>
      <c r="G2170" s="376">
        <v>9928.6887826901675</v>
      </c>
      <c r="H2170" s="376">
        <v>0.26706642379365719</v>
      </c>
      <c r="I2170" s="376">
        <v>0.85</v>
      </c>
    </row>
    <row r="2171" spans="1:9" x14ac:dyDescent="0.35">
      <c r="A2171" s="376" t="s">
        <v>1612</v>
      </c>
      <c r="B2171" s="376" t="s">
        <v>1609</v>
      </c>
      <c r="C2171" s="376" t="s">
        <v>1051</v>
      </c>
      <c r="D2171" s="376">
        <v>2024</v>
      </c>
      <c r="E2171" s="376">
        <v>2031</v>
      </c>
      <c r="F2171" s="376">
        <v>0.37384575124303709</v>
      </c>
      <c r="G2171" s="376">
        <v>9928.6887826901675</v>
      </c>
      <c r="H2171" s="376">
        <v>0.26706642379365719</v>
      </c>
      <c r="I2171" s="376">
        <v>0.85</v>
      </c>
    </row>
    <row r="2172" spans="1:9" x14ac:dyDescent="0.35">
      <c r="A2172" s="376" t="s">
        <v>1612</v>
      </c>
      <c r="B2172" s="376" t="s">
        <v>1609</v>
      </c>
      <c r="C2172" s="376" t="s">
        <v>1054</v>
      </c>
      <c r="D2172" s="376">
        <v>2024</v>
      </c>
      <c r="E2172" s="376">
        <v>2031</v>
      </c>
      <c r="F2172" s="376">
        <v>0.37384575124303709</v>
      </c>
      <c r="G2172" s="376">
        <v>9928.6887826901675</v>
      </c>
      <c r="H2172" s="376">
        <v>0.26706642379365719</v>
      </c>
      <c r="I2172" s="376">
        <v>0.85</v>
      </c>
    </row>
    <row r="2173" spans="1:9" x14ac:dyDescent="0.35">
      <c r="A2173" s="376" t="s">
        <v>1613</v>
      </c>
      <c r="B2173" s="376" t="s">
        <v>1609</v>
      </c>
      <c r="C2173" s="376" t="s">
        <v>1046</v>
      </c>
      <c r="D2173" s="376">
        <v>2024</v>
      </c>
      <c r="E2173" s="376">
        <v>2024</v>
      </c>
      <c r="F2173" s="376">
        <v>0.40444272241720852</v>
      </c>
      <c r="G2173" s="376">
        <v>8848.5269568257354</v>
      </c>
      <c r="H2173" s="376">
        <v>0.26217990444951278</v>
      </c>
      <c r="I2173" s="376">
        <v>0.85</v>
      </c>
    </row>
    <row r="2174" spans="1:9" x14ac:dyDescent="0.35">
      <c r="A2174" s="376" t="s">
        <v>1613</v>
      </c>
      <c r="B2174" s="376" t="s">
        <v>1609</v>
      </c>
      <c r="C2174" s="376" t="s">
        <v>644</v>
      </c>
      <c r="D2174" s="376">
        <v>2024</v>
      </c>
      <c r="E2174" s="376">
        <v>2024</v>
      </c>
      <c r="F2174" s="376">
        <v>0.40444272241720852</v>
      </c>
      <c r="G2174" s="376">
        <v>8848.5269568257354</v>
      </c>
      <c r="H2174" s="376">
        <v>0.26217990444951278</v>
      </c>
      <c r="I2174" s="376">
        <v>0.85</v>
      </c>
    </row>
    <row r="2175" spans="1:9" x14ac:dyDescent="0.35">
      <c r="A2175" s="376" t="s">
        <v>1613</v>
      </c>
      <c r="B2175" s="376" t="s">
        <v>1609</v>
      </c>
      <c r="C2175" s="376" t="s">
        <v>628</v>
      </c>
      <c r="D2175" s="376">
        <v>2024</v>
      </c>
      <c r="E2175" s="376">
        <v>2024</v>
      </c>
      <c r="F2175" s="376">
        <v>0.40444272241720852</v>
      </c>
      <c r="G2175" s="376">
        <v>8848.5269568257354</v>
      </c>
      <c r="H2175" s="376">
        <v>0.26217990444951278</v>
      </c>
      <c r="I2175" s="376">
        <v>0.85</v>
      </c>
    </row>
    <row r="2176" spans="1:9" x14ac:dyDescent="0.35">
      <c r="A2176" s="376" t="s">
        <v>1613</v>
      </c>
      <c r="B2176" s="376" t="s">
        <v>1609</v>
      </c>
      <c r="C2176" s="376" t="s">
        <v>1051</v>
      </c>
      <c r="D2176" s="376">
        <v>2024</v>
      </c>
      <c r="E2176" s="376">
        <v>2024</v>
      </c>
      <c r="F2176" s="376">
        <v>0.40444272241720852</v>
      </c>
      <c r="G2176" s="376">
        <v>8848.5269568257354</v>
      </c>
      <c r="H2176" s="376">
        <v>0.26217990444951278</v>
      </c>
      <c r="I2176" s="376">
        <v>0.85</v>
      </c>
    </row>
    <row r="2177" spans="1:9" x14ac:dyDescent="0.35">
      <c r="A2177" s="376" t="s">
        <v>1613</v>
      </c>
      <c r="B2177" s="376" t="s">
        <v>1609</v>
      </c>
      <c r="C2177" s="376" t="s">
        <v>1054</v>
      </c>
      <c r="D2177" s="376">
        <v>2024</v>
      </c>
      <c r="E2177" s="376">
        <v>2024</v>
      </c>
      <c r="F2177" s="376">
        <v>0.40444272241720852</v>
      </c>
      <c r="G2177" s="376">
        <v>8848.5269568257354</v>
      </c>
      <c r="H2177" s="376">
        <v>0.26217990444951278</v>
      </c>
      <c r="I2177" s="376">
        <v>0.85</v>
      </c>
    </row>
    <row r="2178" spans="1:9" x14ac:dyDescent="0.35">
      <c r="A2178" s="376" t="s">
        <v>1613</v>
      </c>
      <c r="B2178" s="376" t="s">
        <v>1609</v>
      </c>
      <c r="C2178" s="376" t="s">
        <v>1046</v>
      </c>
      <c r="D2178" s="376">
        <v>2024</v>
      </c>
      <c r="E2178" s="376">
        <v>2025</v>
      </c>
      <c r="F2178" s="376">
        <v>0.40444272241720852</v>
      </c>
      <c r="G2178" s="376">
        <v>8848.5269568257354</v>
      </c>
      <c r="H2178" s="376">
        <v>0.26217990444951278</v>
      </c>
      <c r="I2178" s="376">
        <v>0.85</v>
      </c>
    </row>
    <row r="2179" spans="1:9" x14ac:dyDescent="0.35">
      <c r="A2179" s="376" t="s">
        <v>1613</v>
      </c>
      <c r="B2179" s="376" t="s">
        <v>1609</v>
      </c>
      <c r="C2179" s="376" t="s">
        <v>644</v>
      </c>
      <c r="D2179" s="376">
        <v>2024</v>
      </c>
      <c r="E2179" s="376">
        <v>2025</v>
      </c>
      <c r="F2179" s="376">
        <v>0.40444272241720852</v>
      </c>
      <c r="G2179" s="376">
        <v>8848.5269568257354</v>
      </c>
      <c r="H2179" s="376">
        <v>0.26217990444951278</v>
      </c>
      <c r="I2179" s="376">
        <v>0.85</v>
      </c>
    </row>
    <row r="2180" spans="1:9" x14ac:dyDescent="0.35">
      <c r="A2180" s="376" t="s">
        <v>1613</v>
      </c>
      <c r="B2180" s="376" t="s">
        <v>1609</v>
      </c>
      <c r="C2180" s="376" t="s">
        <v>628</v>
      </c>
      <c r="D2180" s="376">
        <v>2024</v>
      </c>
      <c r="E2180" s="376">
        <v>2025</v>
      </c>
      <c r="F2180" s="376">
        <v>0.40444272241720852</v>
      </c>
      <c r="G2180" s="376">
        <v>8848.5269568257354</v>
      </c>
      <c r="H2180" s="376">
        <v>0.26217990444951278</v>
      </c>
      <c r="I2180" s="376">
        <v>0.85</v>
      </c>
    </row>
    <row r="2181" spans="1:9" x14ac:dyDescent="0.35">
      <c r="A2181" s="376" t="s">
        <v>1613</v>
      </c>
      <c r="B2181" s="376" t="s">
        <v>1609</v>
      </c>
      <c r="C2181" s="376" t="s">
        <v>1051</v>
      </c>
      <c r="D2181" s="376">
        <v>2024</v>
      </c>
      <c r="E2181" s="376">
        <v>2025</v>
      </c>
      <c r="F2181" s="376">
        <v>0.40444272241720852</v>
      </c>
      <c r="G2181" s="376">
        <v>8848.5269568257354</v>
      </c>
      <c r="H2181" s="376">
        <v>0.26217990444951278</v>
      </c>
      <c r="I2181" s="376">
        <v>0.85</v>
      </c>
    </row>
    <row r="2182" spans="1:9" x14ac:dyDescent="0.35">
      <c r="A2182" s="376" t="s">
        <v>1613</v>
      </c>
      <c r="B2182" s="376" t="s">
        <v>1609</v>
      </c>
      <c r="C2182" s="376" t="s">
        <v>1054</v>
      </c>
      <c r="D2182" s="376">
        <v>2024</v>
      </c>
      <c r="E2182" s="376">
        <v>2025</v>
      </c>
      <c r="F2182" s="376">
        <v>0.40444272241720852</v>
      </c>
      <c r="G2182" s="376">
        <v>8848.5269568257354</v>
      </c>
      <c r="H2182" s="376">
        <v>0.26217990444951278</v>
      </c>
      <c r="I2182" s="376">
        <v>0.85</v>
      </c>
    </row>
    <row r="2183" spans="1:9" x14ac:dyDescent="0.35">
      <c r="A2183" s="376" t="s">
        <v>1613</v>
      </c>
      <c r="B2183" s="376" t="s">
        <v>1609</v>
      </c>
      <c r="C2183" s="376" t="s">
        <v>1046</v>
      </c>
      <c r="D2183" s="376">
        <v>2024</v>
      </c>
      <c r="E2183" s="376">
        <v>2026</v>
      </c>
      <c r="F2183" s="376">
        <v>0.40444272241720852</v>
      </c>
      <c r="G2183" s="376">
        <v>8848.5269568257354</v>
      </c>
      <c r="H2183" s="376">
        <v>0.26217990444951278</v>
      </c>
      <c r="I2183" s="376">
        <v>0.85</v>
      </c>
    </row>
    <row r="2184" spans="1:9" x14ac:dyDescent="0.35">
      <c r="A2184" s="376" t="s">
        <v>1613</v>
      </c>
      <c r="B2184" s="376" t="s">
        <v>1609</v>
      </c>
      <c r="C2184" s="376" t="s">
        <v>644</v>
      </c>
      <c r="D2184" s="376">
        <v>2024</v>
      </c>
      <c r="E2184" s="376">
        <v>2026</v>
      </c>
      <c r="F2184" s="376">
        <v>0.40444272241720852</v>
      </c>
      <c r="G2184" s="376">
        <v>8848.5269568257354</v>
      </c>
      <c r="H2184" s="376">
        <v>0.26217990444951278</v>
      </c>
      <c r="I2184" s="376">
        <v>0.85</v>
      </c>
    </row>
    <row r="2185" spans="1:9" x14ac:dyDescent="0.35">
      <c r="A2185" s="376" t="s">
        <v>1613</v>
      </c>
      <c r="B2185" s="376" t="s">
        <v>1609</v>
      </c>
      <c r="C2185" s="376" t="s">
        <v>628</v>
      </c>
      <c r="D2185" s="376">
        <v>2024</v>
      </c>
      <c r="E2185" s="376">
        <v>2026</v>
      </c>
      <c r="F2185" s="376">
        <v>0.40444272241720852</v>
      </c>
      <c r="G2185" s="376">
        <v>8848.5269568257354</v>
      </c>
      <c r="H2185" s="376">
        <v>0.26217990444951278</v>
      </c>
      <c r="I2185" s="376">
        <v>0.85</v>
      </c>
    </row>
    <row r="2186" spans="1:9" x14ac:dyDescent="0.35">
      <c r="A2186" s="376" t="s">
        <v>1613</v>
      </c>
      <c r="B2186" s="376" t="s">
        <v>1609</v>
      </c>
      <c r="C2186" s="376" t="s">
        <v>1051</v>
      </c>
      <c r="D2186" s="376">
        <v>2024</v>
      </c>
      <c r="E2186" s="376">
        <v>2026</v>
      </c>
      <c r="F2186" s="376">
        <v>0.40444272241720852</v>
      </c>
      <c r="G2186" s="376">
        <v>8848.5269568257354</v>
      </c>
      <c r="H2186" s="376">
        <v>0.26217990444951278</v>
      </c>
      <c r="I2186" s="376">
        <v>0.85</v>
      </c>
    </row>
    <row r="2187" spans="1:9" x14ac:dyDescent="0.35">
      <c r="A2187" s="376" t="s">
        <v>1613</v>
      </c>
      <c r="B2187" s="376" t="s">
        <v>1609</v>
      </c>
      <c r="C2187" s="376" t="s">
        <v>1054</v>
      </c>
      <c r="D2187" s="376">
        <v>2024</v>
      </c>
      <c r="E2187" s="376">
        <v>2026</v>
      </c>
      <c r="F2187" s="376">
        <v>0.40444272241720852</v>
      </c>
      <c r="G2187" s="376">
        <v>8848.5269568257354</v>
      </c>
      <c r="H2187" s="376">
        <v>0.26217990444951278</v>
      </c>
      <c r="I2187" s="376">
        <v>0.85</v>
      </c>
    </row>
    <row r="2188" spans="1:9" x14ac:dyDescent="0.35">
      <c r="A2188" s="376" t="s">
        <v>1613</v>
      </c>
      <c r="B2188" s="376" t="s">
        <v>1609</v>
      </c>
      <c r="C2188" s="376" t="s">
        <v>1046</v>
      </c>
      <c r="D2188" s="376">
        <v>2024</v>
      </c>
      <c r="E2188" s="376">
        <v>2027</v>
      </c>
      <c r="F2188" s="376">
        <v>0.40444272241720852</v>
      </c>
      <c r="G2188" s="376">
        <v>8848.5269568257354</v>
      </c>
      <c r="H2188" s="376">
        <v>0.26217990444951278</v>
      </c>
      <c r="I2188" s="376">
        <v>0.85</v>
      </c>
    </row>
    <row r="2189" spans="1:9" x14ac:dyDescent="0.35">
      <c r="A2189" s="376" t="s">
        <v>1613</v>
      </c>
      <c r="B2189" s="376" t="s">
        <v>1609</v>
      </c>
      <c r="C2189" s="376" t="s">
        <v>644</v>
      </c>
      <c r="D2189" s="376">
        <v>2024</v>
      </c>
      <c r="E2189" s="376">
        <v>2027</v>
      </c>
      <c r="F2189" s="376">
        <v>0.40444272241720852</v>
      </c>
      <c r="G2189" s="376">
        <v>8848.5269568257354</v>
      </c>
      <c r="H2189" s="376">
        <v>0.26217990444951278</v>
      </c>
      <c r="I2189" s="376">
        <v>0.85</v>
      </c>
    </row>
    <row r="2190" spans="1:9" x14ac:dyDescent="0.35">
      <c r="A2190" s="376" t="s">
        <v>1613</v>
      </c>
      <c r="B2190" s="376" t="s">
        <v>1609</v>
      </c>
      <c r="C2190" s="376" t="s">
        <v>628</v>
      </c>
      <c r="D2190" s="376">
        <v>2024</v>
      </c>
      <c r="E2190" s="376">
        <v>2027</v>
      </c>
      <c r="F2190" s="376">
        <v>0.40444272241720852</v>
      </c>
      <c r="G2190" s="376">
        <v>8848.5269568257354</v>
      </c>
      <c r="H2190" s="376">
        <v>0.26217990444951278</v>
      </c>
      <c r="I2190" s="376">
        <v>0.85</v>
      </c>
    </row>
    <row r="2191" spans="1:9" x14ac:dyDescent="0.35">
      <c r="A2191" s="376" t="s">
        <v>1613</v>
      </c>
      <c r="B2191" s="376" t="s">
        <v>1609</v>
      </c>
      <c r="C2191" s="376" t="s">
        <v>1051</v>
      </c>
      <c r="D2191" s="376">
        <v>2024</v>
      </c>
      <c r="E2191" s="376">
        <v>2027</v>
      </c>
      <c r="F2191" s="376">
        <v>0.40444272241720852</v>
      </c>
      <c r="G2191" s="376">
        <v>8848.5269568257354</v>
      </c>
      <c r="H2191" s="376">
        <v>0.26217990444951278</v>
      </c>
      <c r="I2191" s="376">
        <v>0.85</v>
      </c>
    </row>
    <row r="2192" spans="1:9" x14ac:dyDescent="0.35">
      <c r="A2192" s="376" t="s">
        <v>1613</v>
      </c>
      <c r="B2192" s="376" t="s">
        <v>1609</v>
      </c>
      <c r="C2192" s="376" t="s">
        <v>1054</v>
      </c>
      <c r="D2192" s="376">
        <v>2024</v>
      </c>
      <c r="E2192" s="376">
        <v>2027</v>
      </c>
      <c r="F2192" s="376">
        <v>0.40444272241720852</v>
      </c>
      <c r="G2192" s="376">
        <v>8848.5269568257354</v>
      </c>
      <c r="H2192" s="376">
        <v>0.26217990444951278</v>
      </c>
      <c r="I2192" s="376">
        <v>0.85</v>
      </c>
    </row>
    <row r="2193" spans="1:9" x14ac:dyDescent="0.35">
      <c r="A2193" s="376" t="s">
        <v>1613</v>
      </c>
      <c r="B2193" s="376" t="s">
        <v>1609</v>
      </c>
      <c r="C2193" s="376" t="s">
        <v>1046</v>
      </c>
      <c r="D2193" s="376">
        <v>2024</v>
      </c>
      <c r="E2193" s="376">
        <v>2028</v>
      </c>
      <c r="F2193" s="376">
        <v>0.40444272241720852</v>
      </c>
      <c r="G2193" s="376">
        <v>8848.5269568257354</v>
      </c>
      <c r="H2193" s="376">
        <v>0.26217990444951278</v>
      </c>
      <c r="I2193" s="376">
        <v>0.85</v>
      </c>
    </row>
    <row r="2194" spans="1:9" x14ac:dyDescent="0.35">
      <c r="A2194" s="376" t="s">
        <v>1613</v>
      </c>
      <c r="B2194" s="376" t="s">
        <v>1609</v>
      </c>
      <c r="C2194" s="376" t="s">
        <v>644</v>
      </c>
      <c r="D2194" s="376">
        <v>2024</v>
      </c>
      <c r="E2194" s="376">
        <v>2028</v>
      </c>
      <c r="F2194" s="376">
        <v>0.40444272241720852</v>
      </c>
      <c r="G2194" s="376">
        <v>8848.5269568257354</v>
      </c>
      <c r="H2194" s="376">
        <v>0.26217990444951278</v>
      </c>
      <c r="I2194" s="376">
        <v>0.85</v>
      </c>
    </row>
    <row r="2195" spans="1:9" x14ac:dyDescent="0.35">
      <c r="A2195" s="376" t="s">
        <v>1613</v>
      </c>
      <c r="B2195" s="376" t="s">
        <v>1609</v>
      </c>
      <c r="C2195" s="376" t="s">
        <v>628</v>
      </c>
      <c r="D2195" s="376">
        <v>2024</v>
      </c>
      <c r="E2195" s="376">
        <v>2028</v>
      </c>
      <c r="F2195" s="376">
        <v>0.40444272241720852</v>
      </c>
      <c r="G2195" s="376">
        <v>8848.5269568257354</v>
      </c>
      <c r="H2195" s="376">
        <v>0.26217990444951278</v>
      </c>
      <c r="I2195" s="376">
        <v>0.85</v>
      </c>
    </row>
    <row r="2196" spans="1:9" x14ac:dyDescent="0.35">
      <c r="A2196" s="376" t="s">
        <v>1613</v>
      </c>
      <c r="B2196" s="376" t="s">
        <v>1609</v>
      </c>
      <c r="C2196" s="376" t="s">
        <v>1051</v>
      </c>
      <c r="D2196" s="376">
        <v>2024</v>
      </c>
      <c r="E2196" s="376">
        <v>2028</v>
      </c>
      <c r="F2196" s="376">
        <v>0.40444272241720852</v>
      </c>
      <c r="G2196" s="376">
        <v>8848.5269568257354</v>
      </c>
      <c r="H2196" s="376">
        <v>0.26217990444951278</v>
      </c>
      <c r="I2196" s="376">
        <v>0.85</v>
      </c>
    </row>
    <row r="2197" spans="1:9" x14ac:dyDescent="0.35">
      <c r="A2197" s="376" t="s">
        <v>1613</v>
      </c>
      <c r="B2197" s="376" t="s">
        <v>1609</v>
      </c>
      <c r="C2197" s="376" t="s">
        <v>1054</v>
      </c>
      <c r="D2197" s="376">
        <v>2024</v>
      </c>
      <c r="E2197" s="376">
        <v>2028</v>
      </c>
      <c r="F2197" s="376">
        <v>0.40444272241720852</v>
      </c>
      <c r="G2197" s="376">
        <v>8848.5269568257354</v>
      </c>
      <c r="H2197" s="376">
        <v>0.26217990444951278</v>
      </c>
      <c r="I2197" s="376">
        <v>0.85</v>
      </c>
    </row>
    <row r="2198" spans="1:9" x14ac:dyDescent="0.35">
      <c r="A2198" s="376" t="s">
        <v>1613</v>
      </c>
      <c r="B2198" s="376" t="s">
        <v>1609</v>
      </c>
      <c r="C2198" s="376" t="s">
        <v>1046</v>
      </c>
      <c r="D2198" s="376">
        <v>2024</v>
      </c>
      <c r="E2198" s="376">
        <v>2029</v>
      </c>
      <c r="F2198" s="376">
        <v>0.40444272241720852</v>
      </c>
      <c r="G2198" s="376">
        <v>8848.5269568257354</v>
      </c>
      <c r="H2198" s="376">
        <v>0.26217990444951278</v>
      </c>
      <c r="I2198" s="376">
        <v>0.85</v>
      </c>
    </row>
    <row r="2199" spans="1:9" x14ac:dyDescent="0.35">
      <c r="A2199" s="376" t="s">
        <v>1613</v>
      </c>
      <c r="B2199" s="376" t="s">
        <v>1609</v>
      </c>
      <c r="C2199" s="376" t="s">
        <v>644</v>
      </c>
      <c r="D2199" s="376">
        <v>2024</v>
      </c>
      <c r="E2199" s="376">
        <v>2029</v>
      </c>
      <c r="F2199" s="376">
        <v>0.40444272241720852</v>
      </c>
      <c r="G2199" s="376">
        <v>8848.5269568257354</v>
      </c>
      <c r="H2199" s="376">
        <v>0.26217990444951278</v>
      </c>
      <c r="I2199" s="376">
        <v>0.85</v>
      </c>
    </row>
    <row r="2200" spans="1:9" x14ac:dyDescent="0.35">
      <c r="A2200" s="376" t="s">
        <v>1613</v>
      </c>
      <c r="B2200" s="376" t="s">
        <v>1609</v>
      </c>
      <c r="C2200" s="376" t="s">
        <v>628</v>
      </c>
      <c r="D2200" s="376">
        <v>2024</v>
      </c>
      <c r="E2200" s="376">
        <v>2029</v>
      </c>
      <c r="F2200" s="376">
        <v>0.40444272241720852</v>
      </c>
      <c r="G2200" s="376">
        <v>8848.5269568257354</v>
      </c>
      <c r="H2200" s="376">
        <v>0.26217990444951278</v>
      </c>
      <c r="I2200" s="376">
        <v>0.85</v>
      </c>
    </row>
    <row r="2201" spans="1:9" x14ac:dyDescent="0.35">
      <c r="A2201" s="376" t="s">
        <v>1613</v>
      </c>
      <c r="B2201" s="376" t="s">
        <v>1609</v>
      </c>
      <c r="C2201" s="376" t="s">
        <v>1051</v>
      </c>
      <c r="D2201" s="376">
        <v>2024</v>
      </c>
      <c r="E2201" s="376">
        <v>2029</v>
      </c>
      <c r="F2201" s="376">
        <v>0.40444272241720852</v>
      </c>
      <c r="G2201" s="376">
        <v>8848.5269568257354</v>
      </c>
      <c r="H2201" s="376">
        <v>0.26217990444951278</v>
      </c>
      <c r="I2201" s="376">
        <v>0.85</v>
      </c>
    </row>
    <row r="2202" spans="1:9" x14ac:dyDescent="0.35">
      <c r="A2202" s="376" t="s">
        <v>1613</v>
      </c>
      <c r="B2202" s="376" t="s">
        <v>1609</v>
      </c>
      <c r="C2202" s="376" t="s">
        <v>1054</v>
      </c>
      <c r="D2202" s="376">
        <v>2024</v>
      </c>
      <c r="E2202" s="376">
        <v>2029</v>
      </c>
      <c r="F2202" s="376">
        <v>0.40444272241720852</v>
      </c>
      <c r="G2202" s="376">
        <v>8848.5269568257354</v>
      </c>
      <c r="H2202" s="376">
        <v>0.26217990444951278</v>
      </c>
      <c r="I2202" s="376">
        <v>0.85</v>
      </c>
    </row>
    <row r="2203" spans="1:9" x14ac:dyDescent="0.35">
      <c r="A2203" s="376" t="s">
        <v>1613</v>
      </c>
      <c r="B2203" s="376" t="s">
        <v>1609</v>
      </c>
      <c r="C2203" s="376" t="s">
        <v>1046</v>
      </c>
      <c r="D2203" s="376">
        <v>2024</v>
      </c>
      <c r="E2203" s="376">
        <v>2030</v>
      </c>
      <c r="F2203" s="376">
        <v>0.40444272241720852</v>
      </c>
      <c r="G2203" s="376">
        <v>8848.5269568257354</v>
      </c>
      <c r="H2203" s="376">
        <v>0.26217990444951278</v>
      </c>
      <c r="I2203" s="376">
        <v>0.85</v>
      </c>
    </row>
    <row r="2204" spans="1:9" x14ac:dyDescent="0.35">
      <c r="A2204" s="376" t="s">
        <v>1613</v>
      </c>
      <c r="B2204" s="376" t="s">
        <v>1609</v>
      </c>
      <c r="C2204" s="376" t="s">
        <v>644</v>
      </c>
      <c r="D2204" s="376">
        <v>2024</v>
      </c>
      <c r="E2204" s="376">
        <v>2030</v>
      </c>
      <c r="F2204" s="376">
        <v>0.40444272241720852</v>
      </c>
      <c r="G2204" s="376">
        <v>8848.5269568257354</v>
      </c>
      <c r="H2204" s="376">
        <v>0.26217990444951278</v>
      </c>
      <c r="I2204" s="376">
        <v>0.85</v>
      </c>
    </row>
    <row r="2205" spans="1:9" x14ac:dyDescent="0.35">
      <c r="A2205" s="376" t="s">
        <v>1613</v>
      </c>
      <c r="B2205" s="376" t="s">
        <v>1609</v>
      </c>
      <c r="C2205" s="376" t="s">
        <v>628</v>
      </c>
      <c r="D2205" s="376">
        <v>2024</v>
      </c>
      <c r="E2205" s="376">
        <v>2030</v>
      </c>
      <c r="F2205" s="376">
        <v>0.40444272241720852</v>
      </c>
      <c r="G2205" s="376">
        <v>8848.5269568257354</v>
      </c>
      <c r="H2205" s="376">
        <v>0.26217990444951278</v>
      </c>
      <c r="I2205" s="376">
        <v>0.85</v>
      </c>
    </row>
    <row r="2206" spans="1:9" x14ac:dyDescent="0.35">
      <c r="A2206" s="376" t="s">
        <v>1613</v>
      </c>
      <c r="B2206" s="376" t="s">
        <v>1609</v>
      </c>
      <c r="C2206" s="376" t="s">
        <v>1051</v>
      </c>
      <c r="D2206" s="376">
        <v>2024</v>
      </c>
      <c r="E2206" s="376">
        <v>2030</v>
      </c>
      <c r="F2206" s="376">
        <v>0.40444272241720852</v>
      </c>
      <c r="G2206" s="376">
        <v>8848.5269568257354</v>
      </c>
      <c r="H2206" s="376">
        <v>0.26217990444951278</v>
      </c>
      <c r="I2206" s="376">
        <v>0.85</v>
      </c>
    </row>
    <row r="2207" spans="1:9" x14ac:dyDescent="0.35">
      <c r="A2207" s="376" t="s">
        <v>1613</v>
      </c>
      <c r="B2207" s="376" t="s">
        <v>1609</v>
      </c>
      <c r="C2207" s="376" t="s">
        <v>1054</v>
      </c>
      <c r="D2207" s="376">
        <v>2024</v>
      </c>
      <c r="E2207" s="376">
        <v>2030</v>
      </c>
      <c r="F2207" s="376">
        <v>0.40444272241720852</v>
      </c>
      <c r="G2207" s="376">
        <v>8848.5269568257354</v>
      </c>
      <c r="H2207" s="376">
        <v>0.26217990444951278</v>
      </c>
      <c r="I2207" s="376">
        <v>0.85</v>
      </c>
    </row>
    <row r="2208" spans="1:9" x14ac:dyDescent="0.35">
      <c r="A2208" s="376" t="s">
        <v>1613</v>
      </c>
      <c r="B2208" s="376" t="s">
        <v>1609</v>
      </c>
      <c r="C2208" s="376" t="s">
        <v>1046</v>
      </c>
      <c r="D2208" s="376">
        <v>2024</v>
      </c>
      <c r="E2208" s="376">
        <v>2031</v>
      </c>
      <c r="F2208" s="376">
        <v>0.40444272241720852</v>
      </c>
      <c r="G2208" s="376">
        <v>8848.5269568257354</v>
      </c>
      <c r="H2208" s="376">
        <v>0.26217990444951278</v>
      </c>
      <c r="I2208" s="376">
        <v>0.85</v>
      </c>
    </row>
    <row r="2209" spans="1:9" x14ac:dyDescent="0.35">
      <c r="A2209" s="376" t="s">
        <v>1613</v>
      </c>
      <c r="B2209" s="376" t="s">
        <v>1609</v>
      </c>
      <c r="C2209" s="376" t="s">
        <v>644</v>
      </c>
      <c r="D2209" s="376">
        <v>2024</v>
      </c>
      <c r="E2209" s="376">
        <v>2031</v>
      </c>
      <c r="F2209" s="376">
        <v>0.40444272241720852</v>
      </c>
      <c r="G2209" s="376">
        <v>8848.5269568257354</v>
      </c>
      <c r="H2209" s="376">
        <v>0.26217990444951278</v>
      </c>
      <c r="I2209" s="376">
        <v>0.85</v>
      </c>
    </row>
    <row r="2210" spans="1:9" x14ac:dyDescent="0.35">
      <c r="A2210" s="376" t="s">
        <v>1613</v>
      </c>
      <c r="B2210" s="376" t="s">
        <v>1609</v>
      </c>
      <c r="C2210" s="376" t="s">
        <v>628</v>
      </c>
      <c r="D2210" s="376">
        <v>2024</v>
      </c>
      <c r="E2210" s="376">
        <v>2031</v>
      </c>
      <c r="F2210" s="376">
        <v>0.40444272241720852</v>
      </c>
      <c r="G2210" s="376">
        <v>8848.5269568257354</v>
      </c>
      <c r="H2210" s="376">
        <v>0.26217990444951278</v>
      </c>
      <c r="I2210" s="376">
        <v>0.85</v>
      </c>
    </row>
    <row r="2211" spans="1:9" x14ac:dyDescent="0.35">
      <c r="A2211" s="376" t="s">
        <v>1613</v>
      </c>
      <c r="B2211" s="376" t="s">
        <v>1609</v>
      </c>
      <c r="C2211" s="376" t="s">
        <v>1051</v>
      </c>
      <c r="D2211" s="376">
        <v>2024</v>
      </c>
      <c r="E2211" s="376">
        <v>2031</v>
      </c>
      <c r="F2211" s="376">
        <v>0.40444272241720852</v>
      </c>
      <c r="G2211" s="376">
        <v>8848.5269568257354</v>
      </c>
      <c r="H2211" s="376">
        <v>0.26217990444951278</v>
      </c>
      <c r="I2211" s="376">
        <v>0.85</v>
      </c>
    </row>
    <row r="2212" spans="1:9" x14ac:dyDescent="0.35">
      <c r="A2212" s="376" t="s">
        <v>1613</v>
      </c>
      <c r="B2212" s="376" t="s">
        <v>1609</v>
      </c>
      <c r="C2212" s="376" t="s">
        <v>1054</v>
      </c>
      <c r="D2212" s="376">
        <v>2024</v>
      </c>
      <c r="E2212" s="376">
        <v>2031</v>
      </c>
      <c r="F2212" s="376">
        <v>0.40444272241720852</v>
      </c>
      <c r="G2212" s="376">
        <v>8848.5269568257354</v>
      </c>
      <c r="H2212" s="376">
        <v>0.26217990444951278</v>
      </c>
      <c r="I2212" s="376">
        <v>0.85</v>
      </c>
    </row>
    <row r="2213" spans="1:9" x14ac:dyDescent="0.35">
      <c r="A2213" s="376" t="s">
        <v>1614</v>
      </c>
      <c r="B2213" s="376" t="s">
        <v>1609</v>
      </c>
      <c r="C2213" s="376" t="s">
        <v>1046</v>
      </c>
      <c r="D2213" s="376">
        <v>2024</v>
      </c>
      <c r="E2213" s="376">
        <v>2024</v>
      </c>
      <c r="F2213" s="376">
        <v>0.28070162831646173</v>
      </c>
      <c r="G2213" s="376">
        <v>6454.3984013550207</v>
      </c>
      <c r="H2213" s="376">
        <v>0.26217990444951278</v>
      </c>
      <c r="I2213" s="376">
        <v>0.85</v>
      </c>
    </row>
    <row r="2214" spans="1:9" x14ac:dyDescent="0.35">
      <c r="A2214" s="376" t="s">
        <v>1614</v>
      </c>
      <c r="B2214" s="376" t="s">
        <v>1609</v>
      </c>
      <c r="C2214" s="376" t="s">
        <v>644</v>
      </c>
      <c r="D2214" s="376">
        <v>2024</v>
      </c>
      <c r="E2214" s="376">
        <v>2024</v>
      </c>
      <c r="F2214" s="376">
        <v>0.28070162831646173</v>
      </c>
      <c r="G2214" s="376">
        <v>6454.3984013550207</v>
      </c>
      <c r="H2214" s="376">
        <v>0.26217990444951278</v>
      </c>
      <c r="I2214" s="376">
        <v>0.85</v>
      </c>
    </row>
    <row r="2215" spans="1:9" x14ac:dyDescent="0.35">
      <c r="A2215" s="376" t="s">
        <v>1614</v>
      </c>
      <c r="B2215" s="376" t="s">
        <v>1609</v>
      </c>
      <c r="C2215" s="376" t="s">
        <v>628</v>
      </c>
      <c r="D2215" s="376">
        <v>2024</v>
      </c>
      <c r="E2215" s="376">
        <v>2024</v>
      </c>
      <c r="F2215" s="376">
        <v>0.28070162831646173</v>
      </c>
      <c r="G2215" s="376">
        <v>6454.3984013550207</v>
      </c>
      <c r="H2215" s="376">
        <v>0.26217990444951278</v>
      </c>
      <c r="I2215" s="376">
        <v>0.85</v>
      </c>
    </row>
    <row r="2216" spans="1:9" x14ac:dyDescent="0.35">
      <c r="A2216" s="376" t="s">
        <v>1614</v>
      </c>
      <c r="B2216" s="376" t="s">
        <v>1609</v>
      </c>
      <c r="C2216" s="376" t="s">
        <v>1051</v>
      </c>
      <c r="D2216" s="376">
        <v>2024</v>
      </c>
      <c r="E2216" s="376">
        <v>2024</v>
      </c>
      <c r="F2216" s="376">
        <v>0.28070162831646173</v>
      </c>
      <c r="G2216" s="376">
        <v>6454.3984013550207</v>
      </c>
      <c r="H2216" s="376">
        <v>0.26217990444951278</v>
      </c>
      <c r="I2216" s="376">
        <v>0.85</v>
      </c>
    </row>
    <row r="2217" spans="1:9" x14ac:dyDescent="0.35">
      <c r="A2217" s="376" t="s">
        <v>1614</v>
      </c>
      <c r="B2217" s="376" t="s">
        <v>1609</v>
      </c>
      <c r="C2217" s="376" t="s">
        <v>1054</v>
      </c>
      <c r="D2217" s="376">
        <v>2024</v>
      </c>
      <c r="E2217" s="376">
        <v>2024</v>
      </c>
      <c r="F2217" s="376">
        <v>0.28070162831646173</v>
      </c>
      <c r="G2217" s="376">
        <v>6454.3984013550207</v>
      </c>
      <c r="H2217" s="376">
        <v>0.26217990444951278</v>
      </c>
      <c r="I2217" s="376">
        <v>0.85</v>
      </c>
    </row>
    <row r="2218" spans="1:9" x14ac:dyDescent="0.35">
      <c r="A2218" s="376" t="s">
        <v>1614</v>
      </c>
      <c r="B2218" s="376" t="s">
        <v>1609</v>
      </c>
      <c r="C2218" s="376" t="s">
        <v>1046</v>
      </c>
      <c r="D2218" s="376">
        <v>2024</v>
      </c>
      <c r="E2218" s="376">
        <v>2025</v>
      </c>
      <c r="F2218" s="376">
        <v>0.28070162831646173</v>
      </c>
      <c r="G2218" s="376">
        <v>6454.3984013550207</v>
      </c>
      <c r="H2218" s="376">
        <v>0.26217990444951278</v>
      </c>
      <c r="I2218" s="376">
        <v>0.85</v>
      </c>
    </row>
    <row r="2219" spans="1:9" x14ac:dyDescent="0.35">
      <c r="A2219" s="376" t="s">
        <v>1614</v>
      </c>
      <c r="B2219" s="376" t="s">
        <v>1609</v>
      </c>
      <c r="C2219" s="376" t="s">
        <v>644</v>
      </c>
      <c r="D2219" s="376">
        <v>2024</v>
      </c>
      <c r="E2219" s="376">
        <v>2025</v>
      </c>
      <c r="F2219" s="376">
        <v>0.28070162831646173</v>
      </c>
      <c r="G2219" s="376">
        <v>6454.3984013550207</v>
      </c>
      <c r="H2219" s="376">
        <v>0.26217990444951278</v>
      </c>
      <c r="I2219" s="376">
        <v>0.85</v>
      </c>
    </row>
    <row r="2220" spans="1:9" x14ac:dyDescent="0.35">
      <c r="A2220" s="376" t="s">
        <v>1614</v>
      </c>
      <c r="B2220" s="376" t="s">
        <v>1609</v>
      </c>
      <c r="C2220" s="376" t="s">
        <v>628</v>
      </c>
      <c r="D2220" s="376">
        <v>2024</v>
      </c>
      <c r="E2220" s="376">
        <v>2025</v>
      </c>
      <c r="F2220" s="376">
        <v>0.28070162831646173</v>
      </c>
      <c r="G2220" s="376">
        <v>6454.3984013550207</v>
      </c>
      <c r="H2220" s="376">
        <v>0.26217990444951278</v>
      </c>
      <c r="I2220" s="376">
        <v>0.85</v>
      </c>
    </row>
    <row r="2221" spans="1:9" x14ac:dyDescent="0.35">
      <c r="A2221" s="376" t="s">
        <v>1614</v>
      </c>
      <c r="B2221" s="376" t="s">
        <v>1609</v>
      </c>
      <c r="C2221" s="376" t="s">
        <v>1051</v>
      </c>
      <c r="D2221" s="376">
        <v>2024</v>
      </c>
      <c r="E2221" s="376">
        <v>2025</v>
      </c>
      <c r="F2221" s="376">
        <v>0.28070162831646173</v>
      </c>
      <c r="G2221" s="376">
        <v>6454.3984013550207</v>
      </c>
      <c r="H2221" s="376">
        <v>0.26217990444951278</v>
      </c>
      <c r="I2221" s="376">
        <v>0.85</v>
      </c>
    </row>
    <row r="2222" spans="1:9" x14ac:dyDescent="0.35">
      <c r="A2222" s="376" t="s">
        <v>1614</v>
      </c>
      <c r="B2222" s="376" t="s">
        <v>1609</v>
      </c>
      <c r="C2222" s="376" t="s">
        <v>1054</v>
      </c>
      <c r="D2222" s="376">
        <v>2024</v>
      </c>
      <c r="E2222" s="376">
        <v>2025</v>
      </c>
      <c r="F2222" s="376">
        <v>0.28070162831646173</v>
      </c>
      <c r="G2222" s="376">
        <v>6454.3984013550207</v>
      </c>
      <c r="H2222" s="376">
        <v>0.26217990444951278</v>
      </c>
      <c r="I2222" s="376">
        <v>0.85</v>
      </c>
    </row>
    <row r="2223" spans="1:9" x14ac:dyDescent="0.35">
      <c r="A2223" s="376" t="s">
        <v>1614</v>
      </c>
      <c r="B2223" s="376" t="s">
        <v>1609</v>
      </c>
      <c r="C2223" s="376" t="s">
        <v>1046</v>
      </c>
      <c r="D2223" s="376">
        <v>2024</v>
      </c>
      <c r="E2223" s="376">
        <v>2026</v>
      </c>
      <c r="F2223" s="376">
        <v>0.28070162831646173</v>
      </c>
      <c r="G2223" s="376">
        <v>6454.3984013550207</v>
      </c>
      <c r="H2223" s="376">
        <v>0.26217990444951278</v>
      </c>
      <c r="I2223" s="376">
        <v>0.85</v>
      </c>
    </row>
    <row r="2224" spans="1:9" x14ac:dyDescent="0.35">
      <c r="A2224" s="376" t="s">
        <v>1614</v>
      </c>
      <c r="B2224" s="376" t="s">
        <v>1609</v>
      </c>
      <c r="C2224" s="376" t="s">
        <v>644</v>
      </c>
      <c r="D2224" s="376">
        <v>2024</v>
      </c>
      <c r="E2224" s="376">
        <v>2026</v>
      </c>
      <c r="F2224" s="376">
        <v>0.28070162831646173</v>
      </c>
      <c r="G2224" s="376">
        <v>6454.3984013550207</v>
      </c>
      <c r="H2224" s="376">
        <v>0.26217990444951278</v>
      </c>
      <c r="I2224" s="376">
        <v>0.85</v>
      </c>
    </row>
    <row r="2225" spans="1:9" x14ac:dyDescent="0.35">
      <c r="A2225" s="376" t="s">
        <v>1614</v>
      </c>
      <c r="B2225" s="376" t="s">
        <v>1609</v>
      </c>
      <c r="C2225" s="376" t="s">
        <v>628</v>
      </c>
      <c r="D2225" s="376">
        <v>2024</v>
      </c>
      <c r="E2225" s="376">
        <v>2026</v>
      </c>
      <c r="F2225" s="376">
        <v>0.28070162831646173</v>
      </c>
      <c r="G2225" s="376">
        <v>6454.3984013550207</v>
      </c>
      <c r="H2225" s="376">
        <v>0.26217990444951278</v>
      </c>
      <c r="I2225" s="376">
        <v>0.85</v>
      </c>
    </row>
    <row r="2226" spans="1:9" x14ac:dyDescent="0.35">
      <c r="A2226" s="376" t="s">
        <v>1614</v>
      </c>
      <c r="B2226" s="376" t="s">
        <v>1609</v>
      </c>
      <c r="C2226" s="376" t="s">
        <v>1051</v>
      </c>
      <c r="D2226" s="376">
        <v>2024</v>
      </c>
      <c r="E2226" s="376">
        <v>2026</v>
      </c>
      <c r="F2226" s="376">
        <v>0.28070162831646173</v>
      </c>
      <c r="G2226" s="376">
        <v>6454.3984013550207</v>
      </c>
      <c r="H2226" s="376">
        <v>0.26217990444951278</v>
      </c>
      <c r="I2226" s="376">
        <v>0.85</v>
      </c>
    </row>
    <row r="2227" spans="1:9" x14ac:dyDescent="0.35">
      <c r="A2227" s="376" t="s">
        <v>1614</v>
      </c>
      <c r="B2227" s="376" t="s">
        <v>1609</v>
      </c>
      <c r="C2227" s="376" t="s">
        <v>1054</v>
      </c>
      <c r="D2227" s="376">
        <v>2024</v>
      </c>
      <c r="E2227" s="376">
        <v>2026</v>
      </c>
      <c r="F2227" s="376">
        <v>0.28070162831646173</v>
      </c>
      <c r="G2227" s="376">
        <v>6454.3984013550207</v>
      </c>
      <c r="H2227" s="376">
        <v>0.26217990444951278</v>
      </c>
      <c r="I2227" s="376">
        <v>0.85</v>
      </c>
    </row>
    <row r="2228" spans="1:9" x14ac:dyDescent="0.35">
      <c r="A2228" s="376" t="s">
        <v>1614</v>
      </c>
      <c r="B2228" s="376" t="s">
        <v>1609</v>
      </c>
      <c r="C2228" s="376" t="s">
        <v>1046</v>
      </c>
      <c r="D2228" s="376">
        <v>2024</v>
      </c>
      <c r="E2228" s="376">
        <v>2027</v>
      </c>
      <c r="F2228" s="376">
        <v>0.28070162831646173</v>
      </c>
      <c r="G2228" s="376">
        <v>6454.3984013550207</v>
      </c>
      <c r="H2228" s="376">
        <v>0.26217990444951278</v>
      </c>
      <c r="I2228" s="376">
        <v>0.85</v>
      </c>
    </row>
    <row r="2229" spans="1:9" x14ac:dyDescent="0.35">
      <c r="A2229" s="376" t="s">
        <v>1614</v>
      </c>
      <c r="B2229" s="376" t="s">
        <v>1609</v>
      </c>
      <c r="C2229" s="376" t="s">
        <v>644</v>
      </c>
      <c r="D2229" s="376">
        <v>2024</v>
      </c>
      <c r="E2229" s="376">
        <v>2027</v>
      </c>
      <c r="F2229" s="376">
        <v>0.28070162831646173</v>
      </c>
      <c r="G2229" s="376">
        <v>6454.3984013550207</v>
      </c>
      <c r="H2229" s="376">
        <v>0.26217990444951278</v>
      </c>
      <c r="I2229" s="376">
        <v>0.85</v>
      </c>
    </row>
    <row r="2230" spans="1:9" x14ac:dyDescent="0.35">
      <c r="A2230" s="376" t="s">
        <v>1614</v>
      </c>
      <c r="B2230" s="376" t="s">
        <v>1609</v>
      </c>
      <c r="C2230" s="376" t="s">
        <v>628</v>
      </c>
      <c r="D2230" s="376">
        <v>2024</v>
      </c>
      <c r="E2230" s="376">
        <v>2027</v>
      </c>
      <c r="F2230" s="376">
        <v>0.28070162831646173</v>
      </c>
      <c r="G2230" s="376">
        <v>6454.3984013550207</v>
      </c>
      <c r="H2230" s="376">
        <v>0.26217990444951278</v>
      </c>
      <c r="I2230" s="376">
        <v>0.85</v>
      </c>
    </row>
    <row r="2231" spans="1:9" x14ac:dyDescent="0.35">
      <c r="A2231" s="376" t="s">
        <v>1614</v>
      </c>
      <c r="B2231" s="376" t="s">
        <v>1609</v>
      </c>
      <c r="C2231" s="376" t="s">
        <v>1051</v>
      </c>
      <c r="D2231" s="376">
        <v>2024</v>
      </c>
      <c r="E2231" s="376">
        <v>2027</v>
      </c>
      <c r="F2231" s="376">
        <v>0.28070162831646173</v>
      </c>
      <c r="G2231" s="376">
        <v>6454.3984013550207</v>
      </c>
      <c r="H2231" s="376">
        <v>0.26217990444951278</v>
      </c>
      <c r="I2231" s="376">
        <v>0.85</v>
      </c>
    </row>
    <row r="2232" spans="1:9" x14ac:dyDescent="0.35">
      <c r="A2232" s="376" t="s">
        <v>1614</v>
      </c>
      <c r="B2232" s="376" t="s">
        <v>1609</v>
      </c>
      <c r="C2232" s="376" t="s">
        <v>1054</v>
      </c>
      <c r="D2232" s="376">
        <v>2024</v>
      </c>
      <c r="E2232" s="376">
        <v>2027</v>
      </c>
      <c r="F2232" s="376">
        <v>0.28070162831646173</v>
      </c>
      <c r="G2232" s="376">
        <v>6454.3984013550207</v>
      </c>
      <c r="H2232" s="376">
        <v>0.26217990444951278</v>
      </c>
      <c r="I2232" s="376">
        <v>0.85</v>
      </c>
    </row>
    <row r="2233" spans="1:9" x14ac:dyDescent="0.35">
      <c r="A2233" s="376" t="s">
        <v>1614</v>
      </c>
      <c r="B2233" s="376" t="s">
        <v>1609</v>
      </c>
      <c r="C2233" s="376" t="s">
        <v>1046</v>
      </c>
      <c r="D2233" s="376">
        <v>2024</v>
      </c>
      <c r="E2233" s="376">
        <v>2028</v>
      </c>
      <c r="F2233" s="376">
        <v>0.28070162831646173</v>
      </c>
      <c r="G2233" s="376">
        <v>6454.3984013550207</v>
      </c>
      <c r="H2233" s="376">
        <v>0.26217990444951278</v>
      </c>
      <c r="I2233" s="376">
        <v>0.85</v>
      </c>
    </row>
    <row r="2234" spans="1:9" x14ac:dyDescent="0.35">
      <c r="A2234" s="376" t="s">
        <v>1614</v>
      </c>
      <c r="B2234" s="376" t="s">
        <v>1609</v>
      </c>
      <c r="C2234" s="376" t="s">
        <v>644</v>
      </c>
      <c r="D2234" s="376">
        <v>2024</v>
      </c>
      <c r="E2234" s="376">
        <v>2028</v>
      </c>
      <c r="F2234" s="376">
        <v>0.28070162831646173</v>
      </c>
      <c r="G2234" s="376">
        <v>6454.3984013550207</v>
      </c>
      <c r="H2234" s="376">
        <v>0.26217990444951278</v>
      </c>
      <c r="I2234" s="376">
        <v>0.85</v>
      </c>
    </row>
    <row r="2235" spans="1:9" x14ac:dyDescent="0.35">
      <c r="A2235" s="376" t="s">
        <v>1614</v>
      </c>
      <c r="B2235" s="376" t="s">
        <v>1609</v>
      </c>
      <c r="C2235" s="376" t="s">
        <v>628</v>
      </c>
      <c r="D2235" s="376">
        <v>2024</v>
      </c>
      <c r="E2235" s="376">
        <v>2028</v>
      </c>
      <c r="F2235" s="376">
        <v>0.28070162831646173</v>
      </c>
      <c r="G2235" s="376">
        <v>6454.3984013550207</v>
      </c>
      <c r="H2235" s="376">
        <v>0.26217990444951278</v>
      </c>
      <c r="I2235" s="376">
        <v>0.85</v>
      </c>
    </row>
    <row r="2236" spans="1:9" x14ac:dyDescent="0.35">
      <c r="A2236" s="376" t="s">
        <v>1614</v>
      </c>
      <c r="B2236" s="376" t="s">
        <v>1609</v>
      </c>
      <c r="C2236" s="376" t="s">
        <v>1051</v>
      </c>
      <c r="D2236" s="376">
        <v>2024</v>
      </c>
      <c r="E2236" s="376">
        <v>2028</v>
      </c>
      <c r="F2236" s="376">
        <v>0.28070162831646173</v>
      </c>
      <c r="G2236" s="376">
        <v>6454.3984013550207</v>
      </c>
      <c r="H2236" s="376">
        <v>0.26217990444951278</v>
      </c>
      <c r="I2236" s="376">
        <v>0.85</v>
      </c>
    </row>
    <row r="2237" spans="1:9" x14ac:dyDescent="0.35">
      <c r="A2237" s="376" t="s">
        <v>1614</v>
      </c>
      <c r="B2237" s="376" t="s">
        <v>1609</v>
      </c>
      <c r="C2237" s="376" t="s">
        <v>1054</v>
      </c>
      <c r="D2237" s="376">
        <v>2024</v>
      </c>
      <c r="E2237" s="376">
        <v>2028</v>
      </c>
      <c r="F2237" s="376">
        <v>0.28070162831646173</v>
      </c>
      <c r="G2237" s="376">
        <v>6454.3984013550207</v>
      </c>
      <c r="H2237" s="376">
        <v>0.26217990444951278</v>
      </c>
      <c r="I2237" s="376">
        <v>0.85</v>
      </c>
    </row>
    <row r="2238" spans="1:9" x14ac:dyDescent="0.35">
      <c r="A2238" s="376" t="s">
        <v>1614</v>
      </c>
      <c r="B2238" s="376" t="s">
        <v>1609</v>
      </c>
      <c r="C2238" s="376" t="s">
        <v>1046</v>
      </c>
      <c r="D2238" s="376">
        <v>2024</v>
      </c>
      <c r="E2238" s="376">
        <v>2029</v>
      </c>
      <c r="F2238" s="376">
        <v>0.28070162831646173</v>
      </c>
      <c r="G2238" s="376">
        <v>6454.3984013550207</v>
      </c>
      <c r="H2238" s="376">
        <v>0.26217990444951278</v>
      </c>
      <c r="I2238" s="376">
        <v>0.85</v>
      </c>
    </row>
    <row r="2239" spans="1:9" x14ac:dyDescent="0.35">
      <c r="A2239" s="376" t="s">
        <v>1614</v>
      </c>
      <c r="B2239" s="376" t="s">
        <v>1609</v>
      </c>
      <c r="C2239" s="376" t="s">
        <v>644</v>
      </c>
      <c r="D2239" s="376">
        <v>2024</v>
      </c>
      <c r="E2239" s="376">
        <v>2029</v>
      </c>
      <c r="F2239" s="376">
        <v>0.28070162831646173</v>
      </c>
      <c r="G2239" s="376">
        <v>6454.3984013550207</v>
      </c>
      <c r="H2239" s="376">
        <v>0.26217990444951278</v>
      </c>
      <c r="I2239" s="376">
        <v>0.85</v>
      </c>
    </row>
    <row r="2240" spans="1:9" x14ac:dyDescent="0.35">
      <c r="A2240" s="376" t="s">
        <v>1614</v>
      </c>
      <c r="B2240" s="376" t="s">
        <v>1609</v>
      </c>
      <c r="C2240" s="376" t="s">
        <v>628</v>
      </c>
      <c r="D2240" s="376">
        <v>2024</v>
      </c>
      <c r="E2240" s="376">
        <v>2029</v>
      </c>
      <c r="F2240" s="376">
        <v>0.28070162831646173</v>
      </c>
      <c r="G2240" s="376">
        <v>6454.3984013550207</v>
      </c>
      <c r="H2240" s="376">
        <v>0.26217990444951278</v>
      </c>
      <c r="I2240" s="376">
        <v>0.85</v>
      </c>
    </row>
    <row r="2241" spans="1:9" x14ac:dyDescent="0.35">
      <c r="A2241" s="376" t="s">
        <v>1614</v>
      </c>
      <c r="B2241" s="376" t="s">
        <v>1609</v>
      </c>
      <c r="C2241" s="376" t="s">
        <v>1051</v>
      </c>
      <c r="D2241" s="376">
        <v>2024</v>
      </c>
      <c r="E2241" s="376">
        <v>2029</v>
      </c>
      <c r="F2241" s="376">
        <v>0.28070162831646173</v>
      </c>
      <c r="G2241" s="376">
        <v>6454.3984013550207</v>
      </c>
      <c r="H2241" s="376">
        <v>0.26217990444951278</v>
      </c>
      <c r="I2241" s="376">
        <v>0.85</v>
      </c>
    </row>
    <row r="2242" spans="1:9" x14ac:dyDescent="0.35">
      <c r="A2242" s="376" t="s">
        <v>1614</v>
      </c>
      <c r="B2242" s="376" t="s">
        <v>1609</v>
      </c>
      <c r="C2242" s="376" t="s">
        <v>1054</v>
      </c>
      <c r="D2242" s="376">
        <v>2024</v>
      </c>
      <c r="E2242" s="376">
        <v>2029</v>
      </c>
      <c r="F2242" s="376">
        <v>0.28070162831646173</v>
      </c>
      <c r="G2242" s="376">
        <v>6454.3984013550207</v>
      </c>
      <c r="H2242" s="376">
        <v>0.26217990444951278</v>
      </c>
      <c r="I2242" s="376">
        <v>0.85</v>
      </c>
    </row>
    <row r="2243" spans="1:9" x14ac:dyDescent="0.35">
      <c r="A2243" s="376" t="s">
        <v>1614</v>
      </c>
      <c r="B2243" s="376" t="s">
        <v>1609</v>
      </c>
      <c r="C2243" s="376" t="s">
        <v>1046</v>
      </c>
      <c r="D2243" s="376">
        <v>2024</v>
      </c>
      <c r="E2243" s="376">
        <v>2030</v>
      </c>
      <c r="F2243" s="376">
        <v>0.28070162831646173</v>
      </c>
      <c r="G2243" s="376">
        <v>6454.3984013550207</v>
      </c>
      <c r="H2243" s="376">
        <v>0.26217990444951278</v>
      </c>
      <c r="I2243" s="376">
        <v>0.85</v>
      </c>
    </row>
    <row r="2244" spans="1:9" x14ac:dyDescent="0.35">
      <c r="A2244" s="376" t="s">
        <v>1614</v>
      </c>
      <c r="B2244" s="376" t="s">
        <v>1609</v>
      </c>
      <c r="C2244" s="376" t="s">
        <v>644</v>
      </c>
      <c r="D2244" s="376">
        <v>2024</v>
      </c>
      <c r="E2244" s="376">
        <v>2030</v>
      </c>
      <c r="F2244" s="376">
        <v>0.28070162831646173</v>
      </c>
      <c r="G2244" s="376">
        <v>6454.3984013550207</v>
      </c>
      <c r="H2244" s="376">
        <v>0.26217990444951278</v>
      </c>
      <c r="I2244" s="376">
        <v>0.85</v>
      </c>
    </row>
    <row r="2245" spans="1:9" x14ac:dyDescent="0.35">
      <c r="A2245" s="376" t="s">
        <v>1614</v>
      </c>
      <c r="B2245" s="376" t="s">
        <v>1609</v>
      </c>
      <c r="C2245" s="376" t="s">
        <v>628</v>
      </c>
      <c r="D2245" s="376">
        <v>2024</v>
      </c>
      <c r="E2245" s="376">
        <v>2030</v>
      </c>
      <c r="F2245" s="376">
        <v>0.28070162831646173</v>
      </c>
      <c r="G2245" s="376">
        <v>6454.3984013550207</v>
      </c>
      <c r="H2245" s="376">
        <v>0.26217990444951278</v>
      </c>
      <c r="I2245" s="376">
        <v>0.85</v>
      </c>
    </row>
    <row r="2246" spans="1:9" x14ac:dyDescent="0.35">
      <c r="A2246" s="376" t="s">
        <v>1614</v>
      </c>
      <c r="B2246" s="376" t="s">
        <v>1609</v>
      </c>
      <c r="C2246" s="376" t="s">
        <v>1051</v>
      </c>
      <c r="D2246" s="376">
        <v>2024</v>
      </c>
      <c r="E2246" s="376">
        <v>2030</v>
      </c>
      <c r="F2246" s="376">
        <v>0.28070162831646173</v>
      </c>
      <c r="G2246" s="376">
        <v>6454.3984013550207</v>
      </c>
      <c r="H2246" s="376">
        <v>0.26217990444951278</v>
      </c>
      <c r="I2246" s="376">
        <v>0.85</v>
      </c>
    </row>
    <row r="2247" spans="1:9" x14ac:dyDescent="0.35">
      <c r="A2247" s="376" t="s">
        <v>1614</v>
      </c>
      <c r="B2247" s="376" t="s">
        <v>1609</v>
      </c>
      <c r="C2247" s="376" t="s">
        <v>1054</v>
      </c>
      <c r="D2247" s="376">
        <v>2024</v>
      </c>
      <c r="E2247" s="376">
        <v>2030</v>
      </c>
      <c r="F2247" s="376">
        <v>0.28070162831646173</v>
      </c>
      <c r="G2247" s="376">
        <v>6454.3984013550207</v>
      </c>
      <c r="H2247" s="376">
        <v>0.26217990444951278</v>
      </c>
      <c r="I2247" s="376">
        <v>0.85</v>
      </c>
    </row>
    <row r="2248" spans="1:9" x14ac:dyDescent="0.35">
      <c r="A2248" s="376" t="s">
        <v>1614</v>
      </c>
      <c r="B2248" s="376" t="s">
        <v>1609</v>
      </c>
      <c r="C2248" s="376" t="s">
        <v>1046</v>
      </c>
      <c r="D2248" s="376">
        <v>2024</v>
      </c>
      <c r="E2248" s="376">
        <v>2031</v>
      </c>
      <c r="F2248" s="376">
        <v>0.28070162831646173</v>
      </c>
      <c r="G2248" s="376">
        <v>6454.3984013550207</v>
      </c>
      <c r="H2248" s="376">
        <v>0.26217990444951278</v>
      </c>
      <c r="I2248" s="376">
        <v>0.85</v>
      </c>
    </row>
    <row r="2249" spans="1:9" x14ac:dyDescent="0.35">
      <c r="A2249" s="376" t="s">
        <v>1614</v>
      </c>
      <c r="B2249" s="376" t="s">
        <v>1609</v>
      </c>
      <c r="C2249" s="376" t="s">
        <v>644</v>
      </c>
      <c r="D2249" s="376">
        <v>2024</v>
      </c>
      <c r="E2249" s="376">
        <v>2031</v>
      </c>
      <c r="F2249" s="376">
        <v>0.28070162831646173</v>
      </c>
      <c r="G2249" s="376">
        <v>6454.3984013550207</v>
      </c>
      <c r="H2249" s="376">
        <v>0.26217990444951278</v>
      </c>
      <c r="I2249" s="376">
        <v>0.85</v>
      </c>
    </row>
    <row r="2250" spans="1:9" x14ac:dyDescent="0.35">
      <c r="A2250" s="376" t="s">
        <v>1614</v>
      </c>
      <c r="B2250" s="376" t="s">
        <v>1609</v>
      </c>
      <c r="C2250" s="376" t="s">
        <v>628</v>
      </c>
      <c r="D2250" s="376">
        <v>2024</v>
      </c>
      <c r="E2250" s="376">
        <v>2031</v>
      </c>
      <c r="F2250" s="376">
        <v>0.28070162831646173</v>
      </c>
      <c r="G2250" s="376">
        <v>6454.3984013550207</v>
      </c>
      <c r="H2250" s="376">
        <v>0.26217990444951278</v>
      </c>
      <c r="I2250" s="376">
        <v>0.85</v>
      </c>
    </row>
    <row r="2251" spans="1:9" x14ac:dyDescent="0.35">
      <c r="A2251" s="376" t="s">
        <v>1614</v>
      </c>
      <c r="B2251" s="376" t="s">
        <v>1609</v>
      </c>
      <c r="C2251" s="376" t="s">
        <v>1051</v>
      </c>
      <c r="D2251" s="376">
        <v>2024</v>
      </c>
      <c r="E2251" s="376">
        <v>2031</v>
      </c>
      <c r="F2251" s="376">
        <v>0.28070162831646173</v>
      </c>
      <c r="G2251" s="376">
        <v>6454.3984013550207</v>
      </c>
      <c r="H2251" s="376">
        <v>0.26217990444951278</v>
      </c>
      <c r="I2251" s="376">
        <v>0.85</v>
      </c>
    </row>
    <row r="2252" spans="1:9" x14ac:dyDescent="0.35">
      <c r="A2252" s="376" t="s">
        <v>1614</v>
      </c>
      <c r="B2252" s="376" t="s">
        <v>1609</v>
      </c>
      <c r="C2252" s="376" t="s">
        <v>1054</v>
      </c>
      <c r="D2252" s="376">
        <v>2024</v>
      </c>
      <c r="E2252" s="376">
        <v>2031</v>
      </c>
      <c r="F2252" s="376">
        <v>0.28070162831646173</v>
      </c>
      <c r="G2252" s="376">
        <v>6454.3984013550207</v>
      </c>
      <c r="H2252" s="376">
        <v>0.26217990444951278</v>
      </c>
      <c r="I2252" s="376">
        <v>0.85</v>
      </c>
    </row>
    <row r="2253" spans="1:9" x14ac:dyDescent="0.35">
      <c r="A2253" s="376" t="s">
        <v>1604</v>
      </c>
      <c r="B2253" s="376" t="s">
        <v>1609</v>
      </c>
      <c r="C2253" s="376" t="s">
        <v>1046</v>
      </c>
      <c r="D2253" s="376">
        <v>2024</v>
      </c>
      <c r="E2253" s="376">
        <v>2024</v>
      </c>
      <c r="F2253" s="376">
        <v>1</v>
      </c>
      <c r="G2253" s="376">
        <v>10872.741503138899</v>
      </c>
      <c r="H2253" s="376">
        <v>0</v>
      </c>
      <c r="I2253" s="376">
        <v>1</v>
      </c>
    </row>
    <row r="2254" spans="1:9" x14ac:dyDescent="0.35">
      <c r="A2254" s="376" t="s">
        <v>1604</v>
      </c>
      <c r="B2254" s="376" t="s">
        <v>1609</v>
      </c>
      <c r="C2254" s="376" t="s">
        <v>644</v>
      </c>
      <c r="D2254" s="376">
        <v>2024</v>
      </c>
      <c r="E2254" s="376">
        <v>2024</v>
      </c>
      <c r="F2254" s="376">
        <v>1</v>
      </c>
      <c r="G2254" s="376">
        <v>10872.741503138899</v>
      </c>
      <c r="H2254" s="376">
        <v>0</v>
      </c>
      <c r="I2254" s="376">
        <v>1</v>
      </c>
    </row>
    <row r="2255" spans="1:9" x14ac:dyDescent="0.35">
      <c r="A2255" s="376" t="s">
        <v>1604</v>
      </c>
      <c r="B2255" s="376" t="s">
        <v>1609</v>
      </c>
      <c r="C2255" s="376" t="s">
        <v>628</v>
      </c>
      <c r="D2255" s="376">
        <v>2024</v>
      </c>
      <c r="E2255" s="376">
        <v>2024</v>
      </c>
      <c r="F2255" s="376">
        <v>1</v>
      </c>
      <c r="G2255" s="376">
        <v>10872.741503138899</v>
      </c>
      <c r="H2255" s="376">
        <v>0</v>
      </c>
      <c r="I2255" s="376">
        <v>1</v>
      </c>
    </row>
    <row r="2256" spans="1:9" x14ac:dyDescent="0.35">
      <c r="A2256" s="376" t="s">
        <v>1604</v>
      </c>
      <c r="B2256" s="376" t="s">
        <v>1609</v>
      </c>
      <c r="C2256" s="376" t="s">
        <v>1051</v>
      </c>
      <c r="D2256" s="376">
        <v>2024</v>
      </c>
      <c r="E2256" s="376">
        <v>2024</v>
      </c>
      <c r="F2256" s="376">
        <v>1</v>
      </c>
      <c r="G2256" s="376">
        <v>10872.741503138899</v>
      </c>
      <c r="H2256" s="376">
        <v>0</v>
      </c>
      <c r="I2256" s="376">
        <v>1</v>
      </c>
    </row>
    <row r="2257" spans="1:9" x14ac:dyDescent="0.35">
      <c r="A2257" s="376" t="s">
        <v>1604</v>
      </c>
      <c r="B2257" s="376" t="s">
        <v>1609</v>
      </c>
      <c r="C2257" s="376" t="s">
        <v>1054</v>
      </c>
      <c r="D2257" s="376">
        <v>2024</v>
      </c>
      <c r="E2257" s="376">
        <v>2024</v>
      </c>
      <c r="F2257" s="376">
        <v>1</v>
      </c>
      <c r="G2257" s="376">
        <v>10872.741503138899</v>
      </c>
      <c r="H2257" s="376">
        <v>0</v>
      </c>
      <c r="I2257" s="376">
        <v>1</v>
      </c>
    </row>
    <row r="2258" spans="1:9" x14ac:dyDescent="0.35">
      <c r="A2258" s="376" t="s">
        <v>1604</v>
      </c>
      <c r="B2258" s="376" t="s">
        <v>1609</v>
      </c>
      <c r="C2258" s="376" t="s">
        <v>1046</v>
      </c>
      <c r="D2258" s="376">
        <v>2024</v>
      </c>
      <c r="E2258" s="376">
        <v>2025</v>
      </c>
      <c r="F2258" s="376">
        <v>1</v>
      </c>
      <c r="G2258" s="376">
        <v>10872.741503138899</v>
      </c>
      <c r="H2258" s="376">
        <v>0</v>
      </c>
      <c r="I2258" s="376">
        <v>1</v>
      </c>
    </row>
    <row r="2259" spans="1:9" x14ac:dyDescent="0.35">
      <c r="A2259" s="376" t="s">
        <v>1604</v>
      </c>
      <c r="B2259" s="376" t="s">
        <v>1609</v>
      </c>
      <c r="C2259" s="376" t="s">
        <v>644</v>
      </c>
      <c r="D2259" s="376">
        <v>2024</v>
      </c>
      <c r="E2259" s="376">
        <v>2025</v>
      </c>
      <c r="F2259" s="376">
        <v>1</v>
      </c>
      <c r="G2259" s="376">
        <v>10872.741503138899</v>
      </c>
      <c r="H2259" s="376">
        <v>0</v>
      </c>
      <c r="I2259" s="376">
        <v>1</v>
      </c>
    </row>
    <row r="2260" spans="1:9" x14ac:dyDescent="0.35">
      <c r="A2260" s="376" t="s">
        <v>1604</v>
      </c>
      <c r="B2260" s="376" t="s">
        <v>1609</v>
      </c>
      <c r="C2260" s="376" t="s">
        <v>628</v>
      </c>
      <c r="D2260" s="376">
        <v>2024</v>
      </c>
      <c r="E2260" s="376">
        <v>2025</v>
      </c>
      <c r="F2260" s="376">
        <v>1</v>
      </c>
      <c r="G2260" s="376">
        <v>10872.741503138899</v>
      </c>
      <c r="H2260" s="376">
        <v>0</v>
      </c>
      <c r="I2260" s="376">
        <v>1</v>
      </c>
    </row>
    <row r="2261" spans="1:9" x14ac:dyDescent="0.35">
      <c r="A2261" s="376" t="s">
        <v>1604</v>
      </c>
      <c r="B2261" s="376" t="s">
        <v>1609</v>
      </c>
      <c r="C2261" s="376" t="s">
        <v>1051</v>
      </c>
      <c r="D2261" s="376">
        <v>2024</v>
      </c>
      <c r="E2261" s="376">
        <v>2025</v>
      </c>
      <c r="F2261" s="376">
        <v>1</v>
      </c>
      <c r="G2261" s="376">
        <v>10872.741503138899</v>
      </c>
      <c r="H2261" s="376">
        <v>0</v>
      </c>
      <c r="I2261" s="376">
        <v>1</v>
      </c>
    </row>
    <row r="2262" spans="1:9" x14ac:dyDescent="0.35">
      <c r="A2262" s="376" t="s">
        <v>1604</v>
      </c>
      <c r="B2262" s="376" t="s">
        <v>1609</v>
      </c>
      <c r="C2262" s="376" t="s">
        <v>1054</v>
      </c>
      <c r="D2262" s="376">
        <v>2024</v>
      </c>
      <c r="E2262" s="376">
        <v>2025</v>
      </c>
      <c r="F2262" s="376">
        <v>1</v>
      </c>
      <c r="G2262" s="376">
        <v>10872.741503138899</v>
      </c>
      <c r="H2262" s="376">
        <v>0</v>
      </c>
      <c r="I2262" s="376">
        <v>1</v>
      </c>
    </row>
    <row r="2263" spans="1:9" x14ac:dyDescent="0.35">
      <c r="A2263" s="376" t="s">
        <v>1604</v>
      </c>
      <c r="B2263" s="376" t="s">
        <v>1609</v>
      </c>
      <c r="C2263" s="376" t="s">
        <v>1046</v>
      </c>
      <c r="D2263" s="376">
        <v>2024</v>
      </c>
      <c r="E2263" s="376">
        <v>2026</v>
      </c>
      <c r="F2263" s="376">
        <v>1</v>
      </c>
      <c r="G2263" s="376">
        <v>10872.741503138899</v>
      </c>
      <c r="H2263" s="376">
        <v>0</v>
      </c>
      <c r="I2263" s="376">
        <v>1</v>
      </c>
    </row>
    <row r="2264" spans="1:9" x14ac:dyDescent="0.35">
      <c r="A2264" s="376" t="s">
        <v>1604</v>
      </c>
      <c r="B2264" s="376" t="s">
        <v>1609</v>
      </c>
      <c r="C2264" s="376" t="s">
        <v>644</v>
      </c>
      <c r="D2264" s="376">
        <v>2024</v>
      </c>
      <c r="E2264" s="376">
        <v>2026</v>
      </c>
      <c r="F2264" s="376">
        <v>1</v>
      </c>
      <c r="G2264" s="376">
        <v>10872.741503138899</v>
      </c>
      <c r="H2264" s="376">
        <v>0</v>
      </c>
      <c r="I2264" s="376">
        <v>1</v>
      </c>
    </row>
    <row r="2265" spans="1:9" x14ac:dyDescent="0.35">
      <c r="A2265" s="376" t="s">
        <v>1604</v>
      </c>
      <c r="B2265" s="376" t="s">
        <v>1609</v>
      </c>
      <c r="C2265" s="376" t="s">
        <v>628</v>
      </c>
      <c r="D2265" s="376">
        <v>2024</v>
      </c>
      <c r="E2265" s="376">
        <v>2026</v>
      </c>
      <c r="F2265" s="376">
        <v>1</v>
      </c>
      <c r="G2265" s="376">
        <v>10872.741503138899</v>
      </c>
      <c r="H2265" s="376">
        <v>0</v>
      </c>
      <c r="I2265" s="376">
        <v>1</v>
      </c>
    </row>
    <row r="2266" spans="1:9" x14ac:dyDescent="0.35">
      <c r="A2266" s="376" t="s">
        <v>1604</v>
      </c>
      <c r="B2266" s="376" t="s">
        <v>1609</v>
      </c>
      <c r="C2266" s="376" t="s">
        <v>1051</v>
      </c>
      <c r="D2266" s="376">
        <v>2024</v>
      </c>
      <c r="E2266" s="376">
        <v>2026</v>
      </c>
      <c r="F2266" s="376">
        <v>1</v>
      </c>
      <c r="G2266" s="376">
        <v>10872.741503138899</v>
      </c>
      <c r="H2266" s="376">
        <v>0</v>
      </c>
      <c r="I2266" s="376">
        <v>1</v>
      </c>
    </row>
    <row r="2267" spans="1:9" x14ac:dyDescent="0.35">
      <c r="A2267" s="376" t="s">
        <v>1604</v>
      </c>
      <c r="B2267" s="376" t="s">
        <v>1609</v>
      </c>
      <c r="C2267" s="376" t="s">
        <v>1054</v>
      </c>
      <c r="D2267" s="376">
        <v>2024</v>
      </c>
      <c r="E2267" s="376">
        <v>2026</v>
      </c>
      <c r="F2267" s="376">
        <v>1</v>
      </c>
      <c r="G2267" s="376">
        <v>10872.741503138899</v>
      </c>
      <c r="H2267" s="376">
        <v>0</v>
      </c>
      <c r="I2267" s="376">
        <v>1</v>
      </c>
    </row>
    <row r="2268" spans="1:9" x14ac:dyDescent="0.35">
      <c r="A2268" s="376" t="s">
        <v>1604</v>
      </c>
      <c r="B2268" s="376" t="s">
        <v>1609</v>
      </c>
      <c r="C2268" s="376" t="s">
        <v>1046</v>
      </c>
      <c r="D2268" s="376">
        <v>2024</v>
      </c>
      <c r="E2268" s="376">
        <v>2027</v>
      </c>
      <c r="F2268" s="376">
        <v>1</v>
      </c>
      <c r="G2268" s="376">
        <v>10872.741503138899</v>
      </c>
      <c r="H2268" s="376">
        <v>0</v>
      </c>
      <c r="I2268" s="376">
        <v>1</v>
      </c>
    </row>
    <row r="2269" spans="1:9" x14ac:dyDescent="0.35">
      <c r="A2269" s="376" t="s">
        <v>1604</v>
      </c>
      <c r="B2269" s="376" t="s">
        <v>1609</v>
      </c>
      <c r="C2269" s="376" t="s">
        <v>644</v>
      </c>
      <c r="D2269" s="376">
        <v>2024</v>
      </c>
      <c r="E2269" s="376">
        <v>2027</v>
      </c>
      <c r="F2269" s="376">
        <v>1</v>
      </c>
      <c r="G2269" s="376">
        <v>10872.741503138899</v>
      </c>
      <c r="H2269" s="376">
        <v>0</v>
      </c>
      <c r="I2269" s="376">
        <v>1</v>
      </c>
    </row>
    <row r="2270" spans="1:9" x14ac:dyDescent="0.35">
      <c r="A2270" s="376" t="s">
        <v>1604</v>
      </c>
      <c r="B2270" s="376" t="s">
        <v>1609</v>
      </c>
      <c r="C2270" s="376" t="s">
        <v>628</v>
      </c>
      <c r="D2270" s="376">
        <v>2024</v>
      </c>
      <c r="E2270" s="376">
        <v>2027</v>
      </c>
      <c r="F2270" s="376">
        <v>1</v>
      </c>
      <c r="G2270" s="376">
        <v>10872.741503138899</v>
      </c>
      <c r="H2270" s="376">
        <v>0</v>
      </c>
      <c r="I2270" s="376">
        <v>1</v>
      </c>
    </row>
    <row r="2271" spans="1:9" x14ac:dyDescent="0.35">
      <c r="A2271" s="376" t="s">
        <v>1604</v>
      </c>
      <c r="B2271" s="376" t="s">
        <v>1609</v>
      </c>
      <c r="C2271" s="376" t="s">
        <v>1051</v>
      </c>
      <c r="D2271" s="376">
        <v>2024</v>
      </c>
      <c r="E2271" s="376">
        <v>2027</v>
      </c>
      <c r="F2271" s="376">
        <v>1</v>
      </c>
      <c r="G2271" s="376">
        <v>10872.741503138899</v>
      </c>
      <c r="H2271" s="376">
        <v>0</v>
      </c>
      <c r="I2271" s="376">
        <v>1</v>
      </c>
    </row>
    <row r="2272" spans="1:9" x14ac:dyDescent="0.35">
      <c r="A2272" s="376" t="s">
        <v>1604</v>
      </c>
      <c r="B2272" s="376" t="s">
        <v>1609</v>
      </c>
      <c r="C2272" s="376" t="s">
        <v>1054</v>
      </c>
      <c r="D2272" s="376">
        <v>2024</v>
      </c>
      <c r="E2272" s="376">
        <v>2027</v>
      </c>
      <c r="F2272" s="376">
        <v>1</v>
      </c>
      <c r="G2272" s="376">
        <v>10872.741503138899</v>
      </c>
      <c r="H2272" s="376">
        <v>0</v>
      </c>
      <c r="I2272" s="376">
        <v>1</v>
      </c>
    </row>
    <row r="2273" spans="1:9" x14ac:dyDescent="0.35">
      <c r="A2273" s="376" t="s">
        <v>1604</v>
      </c>
      <c r="B2273" s="376" t="s">
        <v>1609</v>
      </c>
      <c r="C2273" s="376" t="s">
        <v>1046</v>
      </c>
      <c r="D2273" s="376">
        <v>2024</v>
      </c>
      <c r="E2273" s="376">
        <v>2028</v>
      </c>
      <c r="F2273" s="376">
        <v>1</v>
      </c>
      <c r="G2273" s="376">
        <v>10872.741503138899</v>
      </c>
      <c r="H2273" s="376">
        <v>0</v>
      </c>
      <c r="I2273" s="376">
        <v>1</v>
      </c>
    </row>
    <row r="2274" spans="1:9" x14ac:dyDescent="0.35">
      <c r="A2274" s="376" t="s">
        <v>1604</v>
      </c>
      <c r="B2274" s="376" t="s">
        <v>1609</v>
      </c>
      <c r="C2274" s="376" t="s">
        <v>644</v>
      </c>
      <c r="D2274" s="376">
        <v>2024</v>
      </c>
      <c r="E2274" s="376">
        <v>2028</v>
      </c>
      <c r="F2274" s="376">
        <v>1</v>
      </c>
      <c r="G2274" s="376">
        <v>10872.741503138899</v>
      </c>
      <c r="H2274" s="376">
        <v>0</v>
      </c>
      <c r="I2274" s="376">
        <v>1</v>
      </c>
    </row>
    <row r="2275" spans="1:9" x14ac:dyDescent="0.35">
      <c r="A2275" s="376" t="s">
        <v>1604</v>
      </c>
      <c r="B2275" s="376" t="s">
        <v>1609</v>
      </c>
      <c r="C2275" s="376" t="s">
        <v>628</v>
      </c>
      <c r="D2275" s="376">
        <v>2024</v>
      </c>
      <c r="E2275" s="376">
        <v>2028</v>
      </c>
      <c r="F2275" s="376">
        <v>1</v>
      </c>
      <c r="G2275" s="376">
        <v>10872.741503138899</v>
      </c>
      <c r="H2275" s="376">
        <v>0</v>
      </c>
      <c r="I2275" s="376">
        <v>1</v>
      </c>
    </row>
    <row r="2276" spans="1:9" x14ac:dyDescent="0.35">
      <c r="A2276" s="376" t="s">
        <v>1604</v>
      </c>
      <c r="B2276" s="376" t="s">
        <v>1609</v>
      </c>
      <c r="C2276" s="376" t="s">
        <v>1051</v>
      </c>
      <c r="D2276" s="376">
        <v>2024</v>
      </c>
      <c r="E2276" s="376">
        <v>2028</v>
      </c>
      <c r="F2276" s="376">
        <v>1</v>
      </c>
      <c r="G2276" s="376">
        <v>10872.741503138899</v>
      </c>
      <c r="H2276" s="376">
        <v>0</v>
      </c>
      <c r="I2276" s="376">
        <v>1</v>
      </c>
    </row>
    <row r="2277" spans="1:9" x14ac:dyDescent="0.35">
      <c r="A2277" s="376" t="s">
        <v>1604</v>
      </c>
      <c r="B2277" s="376" t="s">
        <v>1609</v>
      </c>
      <c r="C2277" s="376" t="s">
        <v>1054</v>
      </c>
      <c r="D2277" s="376">
        <v>2024</v>
      </c>
      <c r="E2277" s="376">
        <v>2028</v>
      </c>
      <c r="F2277" s="376">
        <v>1</v>
      </c>
      <c r="G2277" s="376">
        <v>10872.741503138899</v>
      </c>
      <c r="H2277" s="376">
        <v>0</v>
      </c>
      <c r="I2277" s="376">
        <v>1</v>
      </c>
    </row>
    <row r="2278" spans="1:9" x14ac:dyDescent="0.35">
      <c r="A2278" s="376" t="s">
        <v>1604</v>
      </c>
      <c r="B2278" s="376" t="s">
        <v>1609</v>
      </c>
      <c r="C2278" s="376" t="s">
        <v>1046</v>
      </c>
      <c r="D2278" s="376">
        <v>2024</v>
      </c>
      <c r="E2278" s="376">
        <v>2029</v>
      </c>
      <c r="F2278" s="376">
        <v>1</v>
      </c>
      <c r="G2278" s="376">
        <v>10872.741503138899</v>
      </c>
      <c r="H2278" s="376">
        <v>0</v>
      </c>
      <c r="I2278" s="376">
        <v>1</v>
      </c>
    </row>
    <row r="2279" spans="1:9" x14ac:dyDescent="0.35">
      <c r="A2279" s="376" t="s">
        <v>1604</v>
      </c>
      <c r="B2279" s="376" t="s">
        <v>1609</v>
      </c>
      <c r="C2279" s="376" t="s">
        <v>644</v>
      </c>
      <c r="D2279" s="376">
        <v>2024</v>
      </c>
      <c r="E2279" s="376">
        <v>2029</v>
      </c>
      <c r="F2279" s="376">
        <v>1</v>
      </c>
      <c r="G2279" s="376">
        <v>10872.741503138899</v>
      </c>
      <c r="H2279" s="376">
        <v>0</v>
      </c>
      <c r="I2279" s="376">
        <v>1</v>
      </c>
    </row>
    <row r="2280" spans="1:9" x14ac:dyDescent="0.35">
      <c r="A2280" s="376" t="s">
        <v>1604</v>
      </c>
      <c r="B2280" s="376" t="s">
        <v>1609</v>
      </c>
      <c r="C2280" s="376" t="s">
        <v>628</v>
      </c>
      <c r="D2280" s="376">
        <v>2024</v>
      </c>
      <c r="E2280" s="376">
        <v>2029</v>
      </c>
      <c r="F2280" s="376">
        <v>1</v>
      </c>
      <c r="G2280" s="376">
        <v>10872.741503138899</v>
      </c>
      <c r="H2280" s="376">
        <v>0</v>
      </c>
      <c r="I2280" s="376">
        <v>1</v>
      </c>
    </row>
    <row r="2281" spans="1:9" x14ac:dyDescent="0.35">
      <c r="A2281" s="376" t="s">
        <v>1604</v>
      </c>
      <c r="B2281" s="376" t="s">
        <v>1609</v>
      </c>
      <c r="C2281" s="376" t="s">
        <v>1051</v>
      </c>
      <c r="D2281" s="376">
        <v>2024</v>
      </c>
      <c r="E2281" s="376">
        <v>2029</v>
      </c>
      <c r="F2281" s="376">
        <v>1</v>
      </c>
      <c r="G2281" s="376">
        <v>10872.741503138899</v>
      </c>
      <c r="H2281" s="376">
        <v>0</v>
      </c>
      <c r="I2281" s="376">
        <v>1</v>
      </c>
    </row>
    <row r="2282" spans="1:9" x14ac:dyDescent="0.35">
      <c r="A2282" s="376" t="s">
        <v>1604</v>
      </c>
      <c r="B2282" s="376" t="s">
        <v>1609</v>
      </c>
      <c r="C2282" s="376" t="s">
        <v>1054</v>
      </c>
      <c r="D2282" s="376">
        <v>2024</v>
      </c>
      <c r="E2282" s="376">
        <v>2029</v>
      </c>
      <c r="F2282" s="376">
        <v>1</v>
      </c>
      <c r="G2282" s="376">
        <v>10872.741503138899</v>
      </c>
      <c r="H2282" s="376">
        <v>0</v>
      </c>
      <c r="I2282" s="376">
        <v>1</v>
      </c>
    </row>
    <row r="2283" spans="1:9" x14ac:dyDescent="0.35">
      <c r="A2283" s="376" t="s">
        <v>1604</v>
      </c>
      <c r="B2283" s="376" t="s">
        <v>1609</v>
      </c>
      <c r="C2283" s="376" t="s">
        <v>1046</v>
      </c>
      <c r="D2283" s="376">
        <v>2024</v>
      </c>
      <c r="E2283" s="376">
        <v>2030</v>
      </c>
      <c r="F2283" s="376">
        <v>1</v>
      </c>
      <c r="G2283" s="376">
        <v>10872.741503138899</v>
      </c>
      <c r="H2283" s="376">
        <v>0</v>
      </c>
      <c r="I2283" s="376">
        <v>1</v>
      </c>
    </row>
    <row r="2284" spans="1:9" x14ac:dyDescent="0.35">
      <c r="A2284" s="376" t="s">
        <v>1604</v>
      </c>
      <c r="B2284" s="376" t="s">
        <v>1609</v>
      </c>
      <c r="C2284" s="376" t="s">
        <v>644</v>
      </c>
      <c r="D2284" s="376">
        <v>2024</v>
      </c>
      <c r="E2284" s="376">
        <v>2030</v>
      </c>
      <c r="F2284" s="376">
        <v>1</v>
      </c>
      <c r="G2284" s="376">
        <v>10872.741503138899</v>
      </c>
      <c r="H2284" s="376">
        <v>0</v>
      </c>
      <c r="I2284" s="376">
        <v>1</v>
      </c>
    </row>
    <row r="2285" spans="1:9" x14ac:dyDescent="0.35">
      <c r="A2285" s="376" t="s">
        <v>1604</v>
      </c>
      <c r="B2285" s="376" t="s">
        <v>1609</v>
      </c>
      <c r="C2285" s="376" t="s">
        <v>628</v>
      </c>
      <c r="D2285" s="376">
        <v>2024</v>
      </c>
      <c r="E2285" s="376">
        <v>2030</v>
      </c>
      <c r="F2285" s="376">
        <v>1</v>
      </c>
      <c r="G2285" s="376">
        <v>10872.741503138899</v>
      </c>
      <c r="H2285" s="376">
        <v>0</v>
      </c>
      <c r="I2285" s="376">
        <v>1</v>
      </c>
    </row>
    <row r="2286" spans="1:9" x14ac:dyDescent="0.35">
      <c r="A2286" s="376" t="s">
        <v>1604</v>
      </c>
      <c r="B2286" s="376" t="s">
        <v>1609</v>
      </c>
      <c r="C2286" s="376" t="s">
        <v>1051</v>
      </c>
      <c r="D2286" s="376">
        <v>2024</v>
      </c>
      <c r="E2286" s="376">
        <v>2030</v>
      </c>
      <c r="F2286" s="376">
        <v>1</v>
      </c>
      <c r="G2286" s="376">
        <v>10872.741503138899</v>
      </c>
      <c r="H2286" s="376">
        <v>0</v>
      </c>
      <c r="I2286" s="376">
        <v>1</v>
      </c>
    </row>
    <row r="2287" spans="1:9" x14ac:dyDescent="0.35">
      <c r="A2287" s="376" t="s">
        <v>1604</v>
      </c>
      <c r="B2287" s="376" t="s">
        <v>1609</v>
      </c>
      <c r="C2287" s="376" t="s">
        <v>1054</v>
      </c>
      <c r="D2287" s="376">
        <v>2024</v>
      </c>
      <c r="E2287" s="376">
        <v>2030</v>
      </c>
      <c r="F2287" s="376">
        <v>1</v>
      </c>
      <c r="G2287" s="376">
        <v>10872.741503138899</v>
      </c>
      <c r="H2287" s="376">
        <v>0</v>
      </c>
      <c r="I2287" s="376">
        <v>1</v>
      </c>
    </row>
    <row r="2288" spans="1:9" x14ac:dyDescent="0.35">
      <c r="A2288" s="376" t="s">
        <v>1604</v>
      </c>
      <c r="B2288" s="376" t="s">
        <v>1609</v>
      </c>
      <c r="C2288" s="376" t="s">
        <v>1046</v>
      </c>
      <c r="D2288" s="376">
        <v>2024</v>
      </c>
      <c r="E2288" s="376">
        <v>2031</v>
      </c>
      <c r="F2288" s="376">
        <v>1</v>
      </c>
      <c r="G2288" s="376">
        <v>10872.741503138899</v>
      </c>
      <c r="H2288" s="376">
        <v>0</v>
      </c>
      <c r="I2288" s="376">
        <v>1</v>
      </c>
    </row>
    <row r="2289" spans="1:9" x14ac:dyDescent="0.35">
      <c r="A2289" s="376" t="s">
        <v>1604</v>
      </c>
      <c r="B2289" s="376" t="s">
        <v>1609</v>
      </c>
      <c r="C2289" s="376" t="s">
        <v>644</v>
      </c>
      <c r="D2289" s="376">
        <v>2024</v>
      </c>
      <c r="E2289" s="376">
        <v>2031</v>
      </c>
      <c r="F2289" s="376">
        <v>1</v>
      </c>
      <c r="G2289" s="376">
        <v>10872.741503138899</v>
      </c>
      <c r="H2289" s="376">
        <v>0</v>
      </c>
      <c r="I2289" s="376">
        <v>1</v>
      </c>
    </row>
    <row r="2290" spans="1:9" x14ac:dyDescent="0.35">
      <c r="A2290" s="376" t="s">
        <v>1604</v>
      </c>
      <c r="B2290" s="376" t="s">
        <v>1609</v>
      </c>
      <c r="C2290" s="376" t="s">
        <v>628</v>
      </c>
      <c r="D2290" s="376">
        <v>2024</v>
      </c>
      <c r="E2290" s="376">
        <v>2031</v>
      </c>
      <c r="F2290" s="376">
        <v>1</v>
      </c>
      <c r="G2290" s="376">
        <v>10872.741503138899</v>
      </c>
      <c r="H2290" s="376">
        <v>0</v>
      </c>
      <c r="I2290" s="376">
        <v>1</v>
      </c>
    </row>
    <row r="2291" spans="1:9" x14ac:dyDescent="0.35">
      <c r="A2291" s="376" t="s">
        <v>1604</v>
      </c>
      <c r="B2291" s="376" t="s">
        <v>1609</v>
      </c>
      <c r="C2291" s="376" t="s">
        <v>1051</v>
      </c>
      <c r="D2291" s="376">
        <v>2024</v>
      </c>
      <c r="E2291" s="376">
        <v>2031</v>
      </c>
      <c r="F2291" s="376">
        <v>1</v>
      </c>
      <c r="G2291" s="376">
        <v>10872.741503138899</v>
      </c>
      <c r="H2291" s="376">
        <v>0</v>
      </c>
      <c r="I2291" s="376">
        <v>1</v>
      </c>
    </row>
    <row r="2292" spans="1:9" x14ac:dyDescent="0.35">
      <c r="A2292" s="376" t="s">
        <v>1604</v>
      </c>
      <c r="B2292" s="376" t="s">
        <v>1609</v>
      </c>
      <c r="C2292" s="376" t="s">
        <v>1054</v>
      </c>
      <c r="D2292" s="376">
        <v>2024</v>
      </c>
      <c r="E2292" s="376">
        <v>2031</v>
      </c>
      <c r="F2292" s="376">
        <v>1</v>
      </c>
      <c r="G2292" s="376">
        <v>10872.741503138899</v>
      </c>
      <c r="H2292" s="376">
        <v>0</v>
      </c>
      <c r="I2292" s="376">
        <v>1</v>
      </c>
    </row>
    <row r="2293" spans="1:9" x14ac:dyDescent="0.35">
      <c r="A2293" s="376" t="s">
        <v>1615</v>
      </c>
      <c r="B2293" s="376" t="s">
        <v>1609</v>
      </c>
      <c r="C2293" s="376" t="s">
        <v>1046</v>
      </c>
      <c r="D2293" s="376">
        <v>2024</v>
      </c>
      <c r="E2293" s="376">
        <v>2024</v>
      </c>
      <c r="F2293" s="376">
        <v>1</v>
      </c>
      <c r="G2293" s="376">
        <v>20148.813739673951</v>
      </c>
      <c r="H2293" s="376">
        <v>0</v>
      </c>
      <c r="I2293" s="376">
        <v>0.65716939790195539</v>
      </c>
    </row>
    <row r="2294" spans="1:9" x14ac:dyDescent="0.35">
      <c r="A2294" s="376" t="s">
        <v>1615</v>
      </c>
      <c r="B2294" s="376" t="s">
        <v>1609</v>
      </c>
      <c r="C2294" s="376" t="s">
        <v>644</v>
      </c>
      <c r="D2294" s="376">
        <v>2024</v>
      </c>
      <c r="E2294" s="376">
        <v>2024</v>
      </c>
      <c r="F2294" s="376">
        <v>1</v>
      </c>
      <c r="G2294" s="376">
        <v>20148.813739673951</v>
      </c>
      <c r="H2294" s="376">
        <v>0</v>
      </c>
      <c r="I2294" s="376">
        <v>0.65716939790195539</v>
      </c>
    </row>
    <row r="2295" spans="1:9" x14ac:dyDescent="0.35">
      <c r="A2295" s="376" t="s">
        <v>1615</v>
      </c>
      <c r="B2295" s="376" t="s">
        <v>1609</v>
      </c>
      <c r="C2295" s="376" t="s">
        <v>628</v>
      </c>
      <c r="D2295" s="376">
        <v>2024</v>
      </c>
      <c r="E2295" s="376">
        <v>2024</v>
      </c>
      <c r="F2295" s="376">
        <v>1</v>
      </c>
      <c r="G2295" s="376">
        <v>20148.813739673951</v>
      </c>
      <c r="H2295" s="376">
        <v>0</v>
      </c>
      <c r="I2295" s="376">
        <v>0.65716939790195539</v>
      </c>
    </row>
    <row r="2296" spans="1:9" x14ac:dyDescent="0.35">
      <c r="A2296" s="376" t="s">
        <v>1615</v>
      </c>
      <c r="B2296" s="376" t="s">
        <v>1609</v>
      </c>
      <c r="C2296" s="376" t="s">
        <v>1051</v>
      </c>
      <c r="D2296" s="376">
        <v>2024</v>
      </c>
      <c r="E2296" s="376">
        <v>2024</v>
      </c>
      <c r="F2296" s="376">
        <v>1</v>
      </c>
      <c r="G2296" s="376">
        <v>20148.813739673951</v>
      </c>
      <c r="H2296" s="376">
        <v>0</v>
      </c>
      <c r="I2296" s="376">
        <v>0.65716939790195539</v>
      </c>
    </row>
    <row r="2297" spans="1:9" x14ac:dyDescent="0.35">
      <c r="A2297" s="376" t="s">
        <v>1615</v>
      </c>
      <c r="B2297" s="376" t="s">
        <v>1609</v>
      </c>
      <c r="C2297" s="376" t="s">
        <v>1054</v>
      </c>
      <c r="D2297" s="376">
        <v>2024</v>
      </c>
      <c r="E2297" s="376">
        <v>2024</v>
      </c>
      <c r="F2297" s="376">
        <v>1</v>
      </c>
      <c r="G2297" s="376">
        <v>20148.813739673951</v>
      </c>
      <c r="H2297" s="376">
        <v>0</v>
      </c>
      <c r="I2297" s="376">
        <v>0.65716939790195539</v>
      </c>
    </row>
    <row r="2298" spans="1:9" x14ac:dyDescent="0.35">
      <c r="A2298" s="376" t="s">
        <v>1615</v>
      </c>
      <c r="B2298" s="376" t="s">
        <v>1609</v>
      </c>
      <c r="C2298" s="376" t="s">
        <v>1046</v>
      </c>
      <c r="D2298" s="376">
        <v>2024</v>
      </c>
      <c r="E2298" s="376">
        <v>2025</v>
      </c>
      <c r="F2298" s="376">
        <v>1</v>
      </c>
      <c r="G2298" s="376">
        <v>20148.813739673951</v>
      </c>
      <c r="H2298" s="376">
        <v>0</v>
      </c>
      <c r="I2298" s="376">
        <v>0.65716939790195539</v>
      </c>
    </row>
    <row r="2299" spans="1:9" x14ac:dyDescent="0.35">
      <c r="A2299" s="376" t="s">
        <v>1615</v>
      </c>
      <c r="B2299" s="376" t="s">
        <v>1609</v>
      </c>
      <c r="C2299" s="376" t="s">
        <v>644</v>
      </c>
      <c r="D2299" s="376">
        <v>2024</v>
      </c>
      <c r="E2299" s="376">
        <v>2025</v>
      </c>
      <c r="F2299" s="376">
        <v>1</v>
      </c>
      <c r="G2299" s="376">
        <v>20148.813739673951</v>
      </c>
      <c r="H2299" s="376">
        <v>0</v>
      </c>
      <c r="I2299" s="376">
        <v>0.65716939790195539</v>
      </c>
    </row>
    <row r="2300" spans="1:9" x14ac:dyDescent="0.35">
      <c r="A2300" s="376" t="s">
        <v>1615</v>
      </c>
      <c r="B2300" s="376" t="s">
        <v>1609</v>
      </c>
      <c r="C2300" s="376" t="s">
        <v>628</v>
      </c>
      <c r="D2300" s="376">
        <v>2024</v>
      </c>
      <c r="E2300" s="376">
        <v>2025</v>
      </c>
      <c r="F2300" s="376">
        <v>1</v>
      </c>
      <c r="G2300" s="376">
        <v>20148.813739673951</v>
      </c>
      <c r="H2300" s="376">
        <v>0</v>
      </c>
      <c r="I2300" s="376">
        <v>0.65716939790195539</v>
      </c>
    </row>
    <row r="2301" spans="1:9" x14ac:dyDescent="0.35">
      <c r="A2301" s="376" t="s">
        <v>1615</v>
      </c>
      <c r="B2301" s="376" t="s">
        <v>1609</v>
      </c>
      <c r="C2301" s="376" t="s">
        <v>1051</v>
      </c>
      <c r="D2301" s="376">
        <v>2024</v>
      </c>
      <c r="E2301" s="376">
        <v>2025</v>
      </c>
      <c r="F2301" s="376">
        <v>1</v>
      </c>
      <c r="G2301" s="376">
        <v>20148.813739673951</v>
      </c>
      <c r="H2301" s="376">
        <v>0</v>
      </c>
      <c r="I2301" s="376">
        <v>0.65716939790195539</v>
      </c>
    </row>
    <row r="2302" spans="1:9" x14ac:dyDescent="0.35">
      <c r="A2302" s="376" t="s">
        <v>1615</v>
      </c>
      <c r="B2302" s="376" t="s">
        <v>1609</v>
      </c>
      <c r="C2302" s="376" t="s">
        <v>1054</v>
      </c>
      <c r="D2302" s="376">
        <v>2024</v>
      </c>
      <c r="E2302" s="376">
        <v>2025</v>
      </c>
      <c r="F2302" s="376">
        <v>1</v>
      </c>
      <c r="G2302" s="376">
        <v>20148.813739673951</v>
      </c>
      <c r="H2302" s="376">
        <v>0</v>
      </c>
      <c r="I2302" s="376">
        <v>0.65716939790195539</v>
      </c>
    </row>
    <row r="2303" spans="1:9" x14ac:dyDescent="0.35">
      <c r="A2303" s="376" t="s">
        <v>1615</v>
      </c>
      <c r="B2303" s="376" t="s">
        <v>1609</v>
      </c>
      <c r="C2303" s="376" t="s">
        <v>1046</v>
      </c>
      <c r="D2303" s="376">
        <v>2024</v>
      </c>
      <c r="E2303" s="376">
        <v>2026</v>
      </c>
      <c r="F2303" s="376">
        <v>1</v>
      </c>
      <c r="G2303" s="376">
        <v>20148.813739673951</v>
      </c>
      <c r="H2303" s="376">
        <v>0</v>
      </c>
      <c r="I2303" s="376">
        <v>0.65716939790195539</v>
      </c>
    </row>
    <row r="2304" spans="1:9" x14ac:dyDescent="0.35">
      <c r="A2304" s="376" t="s">
        <v>1615</v>
      </c>
      <c r="B2304" s="376" t="s">
        <v>1609</v>
      </c>
      <c r="C2304" s="376" t="s">
        <v>644</v>
      </c>
      <c r="D2304" s="376">
        <v>2024</v>
      </c>
      <c r="E2304" s="376">
        <v>2026</v>
      </c>
      <c r="F2304" s="376">
        <v>1</v>
      </c>
      <c r="G2304" s="376">
        <v>20148.813739673951</v>
      </c>
      <c r="H2304" s="376">
        <v>0</v>
      </c>
      <c r="I2304" s="376">
        <v>0.65716939790195539</v>
      </c>
    </row>
    <row r="2305" spans="1:9" x14ac:dyDescent="0.35">
      <c r="A2305" s="376" t="s">
        <v>1615</v>
      </c>
      <c r="B2305" s="376" t="s">
        <v>1609</v>
      </c>
      <c r="C2305" s="376" t="s">
        <v>628</v>
      </c>
      <c r="D2305" s="376">
        <v>2024</v>
      </c>
      <c r="E2305" s="376">
        <v>2026</v>
      </c>
      <c r="F2305" s="376">
        <v>1</v>
      </c>
      <c r="G2305" s="376">
        <v>20148.813739673951</v>
      </c>
      <c r="H2305" s="376">
        <v>0</v>
      </c>
      <c r="I2305" s="376">
        <v>0.65716939790195539</v>
      </c>
    </row>
    <row r="2306" spans="1:9" x14ac:dyDescent="0.35">
      <c r="A2306" s="376" t="s">
        <v>1615</v>
      </c>
      <c r="B2306" s="376" t="s">
        <v>1609</v>
      </c>
      <c r="C2306" s="376" t="s">
        <v>1051</v>
      </c>
      <c r="D2306" s="376">
        <v>2024</v>
      </c>
      <c r="E2306" s="376">
        <v>2026</v>
      </c>
      <c r="F2306" s="376">
        <v>1</v>
      </c>
      <c r="G2306" s="376">
        <v>20148.813739673951</v>
      </c>
      <c r="H2306" s="376">
        <v>0</v>
      </c>
      <c r="I2306" s="376">
        <v>0.65716939790195539</v>
      </c>
    </row>
    <row r="2307" spans="1:9" x14ac:dyDescent="0.35">
      <c r="A2307" s="376" t="s">
        <v>1615</v>
      </c>
      <c r="B2307" s="376" t="s">
        <v>1609</v>
      </c>
      <c r="C2307" s="376" t="s">
        <v>1054</v>
      </c>
      <c r="D2307" s="376">
        <v>2024</v>
      </c>
      <c r="E2307" s="376">
        <v>2026</v>
      </c>
      <c r="F2307" s="376">
        <v>1</v>
      </c>
      <c r="G2307" s="376">
        <v>20148.813739673951</v>
      </c>
      <c r="H2307" s="376">
        <v>0</v>
      </c>
      <c r="I2307" s="376">
        <v>0.65716939790195539</v>
      </c>
    </row>
    <row r="2308" spans="1:9" x14ac:dyDescent="0.35">
      <c r="A2308" s="376" t="s">
        <v>1615</v>
      </c>
      <c r="B2308" s="376" t="s">
        <v>1609</v>
      </c>
      <c r="C2308" s="376" t="s">
        <v>1046</v>
      </c>
      <c r="D2308" s="376">
        <v>2024</v>
      </c>
      <c r="E2308" s="376">
        <v>2027</v>
      </c>
      <c r="F2308" s="376">
        <v>1</v>
      </c>
      <c r="G2308" s="376">
        <v>20148.813739673951</v>
      </c>
      <c r="H2308" s="376">
        <v>0</v>
      </c>
      <c r="I2308" s="376">
        <v>0.65716939790195539</v>
      </c>
    </row>
    <row r="2309" spans="1:9" x14ac:dyDescent="0.35">
      <c r="A2309" s="376" t="s">
        <v>1615</v>
      </c>
      <c r="B2309" s="376" t="s">
        <v>1609</v>
      </c>
      <c r="C2309" s="376" t="s">
        <v>644</v>
      </c>
      <c r="D2309" s="376">
        <v>2024</v>
      </c>
      <c r="E2309" s="376">
        <v>2027</v>
      </c>
      <c r="F2309" s="376">
        <v>1</v>
      </c>
      <c r="G2309" s="376">
        <v>20148.813739673951</v>
      </c>
      <c r="H2309" s="376">
        <v>0</v>
      </c>
      <c r="I2309" s="376">
        <v>0.65716939790195539</v>
      </c>
    </row>
    <row r="2310" spans="1:9" x14ac:dyDescent="0.35">
      <c r="A2310" s="376" t="s">
        <v>1615</v>
      </c>
      <c r="B2310" s="376" t="s">
        <v>1609</v>
      </c>
      <c r="C2310" s="376" t="s">
        <v>628</v>
      </c>
      <c r="D2310" s="376">
        <v>2024</v>
      </c>
      <c r="E2310" s="376">
        <v>2027</v>
      </c>
      <c r="F2310" s="376">
        <v>1</v>
      </c>
      <c r="G2310" s="376">
        <v>20148.813739673951</v>
      </c>
      <c r="H2310" s="376">
        <v>0</v>
      </c>
      <c r="I2310" s="376">
        <v>0.65716939790195539</v>
      </c>
    </row>
    <row r="2311" spans="1:9" x14ac:dyDescent="0.35">
      <c r="A2311" s="376" t="s">
        <v>1615</v>
      </c>
      <c r="B2311" s="376" t="s">
        <v>1609</v>
      </c>
      <c r="C2311" s="376" t="s">
        <v>1051</v>
      </c>
      <c r="D2311" s="376">
        <v>2024</v>
      </c>
      <c r="E2311" s="376">
        <v>2027</v>
      </c>
      <c r="F2311" s="376">
        <v>1</v>
      </c>
      <c r="G2311" s="376">
        <v>20148.813739673951</v>
      </c>
      <c r="H2311" s="376">
        <v>0</v>
      </c>
      <c r="I2311" s="376">
        <v>0.65716939790195539</v>
      </c>
    </row>
    <row r="2312" spans="1:9" x14ac:dyDescent="0.35">
      <c r="A2312" s="376" t="s">
        <v>1615</v>
      </c>
      <c r="B2312" s="376" t="s">
        <v>1609</v>
      </c>
      <c r="C2312" s="376" t="s">
        <v>1054</v>
      </c>
      <c r="D2312" s="376">
        <v>2024</v>
      </c>
      <c r="E2312" s="376">
        <v>2027</v>
      </c>
      <c r="F2312" s="376">
        <v>1</v>
      </c>
      <c r="G2312" s="376">
        <v>20148.813739673951</v>
      </c>
      <c r="H2312" s="376">
        <v>0</v>
      </c>
      <c r="I2312" s="376">
        <v>0.65716939790195539</v>
      </c>
    </row>
    <row r="2313" spans="1:9" x14ac:dyDescent="0.35">
      <c r="A2313" s="376" t="s">
        <v>1615</v>
      </c>
      <c r="B2313" s="376" t="s">
        <v>1609</v>
      </c>
      <c r="C2313" s="376" t="s">
        <v>1046</v>
      </c>
      <c r="D2313" s="376">
        <v>2024</v>
      </c>
      <c r="E2313" s="376">
        <v>2028</v>
      </c>
      <c r="F2313" s="376">
        <v>1</v>
      </c>
      <c r="G2313" s="376">
        <v>20148.813739673951</v>
      </c>
      <c r="H2313" s="376">
        <v>0</v>
      </c>
      <c r="I2313" s="376">
        <v>0.65716939790195539</v>
      </c>
    </row>
    <row r="2314" spans="1:9" x14ac:dyDescent="0.35">
      <c r="A2314" s="376" t="s">
        <v>1615</v>
      </c>
      <c r="B2314" s="376" t="s">
        <v>1609</v>
      </c>
      <c r="C2314" s="376" t="s">
        <v>644</v>
      </c>
      <c r="D2314" s="376">
        <v>2024</v>
      </c>
      <c r="E2314" s="376">
        <v>2028</v>
      </c>
      <c r="F2314" s="376">
        <v>1</v>
      </c>
      <c r="G2314" s="376">
        <v>20148.813739673951</v>
      </c>
      <c r="H2314" s="376">
        <v>0</v>
      </c>
      <c r="I2314" s="376">
        <v>0.65716939790195539</v>
      </c>
    </row>
    <row r="2315" spans="1:9" x14ac:dyDescent="0.35">
      <c r="A2315" s="376" t="s">
        <v>1615</v>
      </c>
      <c r="B2315" s="376" t="s">
        <v>1609</v>
      </c>
      <c r="C2315" s="376" t="s">
        <v>628</v>
      </c>
      <c r="D2315" s="376">
        <v>2024</v>
      </c>
      <c r="E2315" s="376">
        <v>2028</v>
      </c>
      <c r="F2315" s="376">
        <v>1</v>
      </c>
      <c r="G2315" s="376">
        <v>20148.813739673951</v>
      </c>
      <c r="H2315" s="376">
        <v>0</v>
      </c>
      <c r="I2315" s="376">
        <v>0.65716939790195539</v>
      </c>
    </row>
    <row r="2316" spans="1:9" x14ac:dyDescent="0.35">
      <c r="A2316" s="376" t="s">
        <v>1615</v>
      </c>
      <c r="B2316" s="376" t="s">
        <v>1609</v>
      </c>
      <c r="C2316" s="376" t="s">
        <v>1051</v>
      </c>
      <c r="D2316" s="376">
        <v>2024</v>
      </c>
      <c r="E2316" s="376">
        <v>2028</v>
      </c>
      <c r="F2316" s="376">
        <v>1</v>
      </c>
      <c r="G2316" s="376">
        <v>20148.813739673951</v>
      </c>
      <c r="H2316" s="376">
        <v>0</v>
      </c>
      <c r="I2316" s="376">
        <v>0.65716939790195539</v>
      </c>
    </row>
    <row r="2317" spans="1:9" x14ac:dyDescent="0.35">
      <c r="A2317" s="376" t="s">
        <v>1615</v>
      </c>
      <c r="B2317" s="376" t="s">
        <v>1609</v>
      </c>
      <c r="C2317" s="376" t="s">
        <v>1054</v>
      </c>
      <c r="D2317" s="376">
        <v>2024</v>
      </c>
      <c r="E2317" s="376">
        <v>2028</v>
      </c>
      <c r="F2317" s="376">
        <v>1</v>
      </c>
      <c r="G2317" s="376">
        <v>20148.813739673951</v>
      </c>
      <c r="H2317" s="376">
        <v>0</v>
      </c>
      <c r="I2317" s="376">
        <v>0.65716939790195539</v>
      </c>
    </row>
    <row r="2318" spans="1:9" x14ac:dyDescent="0.35">
      <c r="A2318" s="376" t="s">
        <v>1615</v>
      </c>
      <c r="B2318" s="376" t="s">
        <v>1609</v>
      </c>
      <c r="C2318" s="376" t="s">
        <v>1046</v>
      </c>
      <c r="D2318" s="376">
        <v>2024</v>
      </c>
      <c r="E2318" s="376">
        <v>2029</v>
      </c>
      <c r="F2318" s="376">
        <v>1</v>
      </c>
      <c r="G2318" s="376">
        <v>20148.813739673951</v>
      </c>
      <c r="H2318" s="376">
        <v>0</v>
      </c>
      <c r="I2318" s="376">
        <v>0.65716939790195539</v>
      </c>
    </row>
    <row r="2319" spans="1:9" x14ac:dyDescent="0.35">
      <c r="A2319" s="376" t="s">
        <v>1615</v>
      </c>
      <c r="B2319" s="376" t="s">
        <v>1609</v>
      </c>
      <c r="C2319" s="376" t="s">
        <v>644</v>
      </c>
      <c r="D2319" s="376">
        <v>2024</v>
      </c>
      <c r="E2319" s="376">
        <v>2029</v>
      </c>
      <c r="F2319" s="376">
        <v>1</v>
      </c>
      <c r="G2319" s="376">
        <v>20148.813739673951</v>
      </c>
      <c r="H2319" s="376">
        <v>0</v>
      </c>
      <c r="I2319" s="376">
        <v>0.65716939790195539</v>
      </c>
    </row>
    <row r="2320" spans="1:9" x14ac:dyDescent="0.35">
      <c r="A2320" s="376" t="s">
        <v>1615</v>
      </c>
      <c r="B2320" s="376" t="s">
        <v>1609</v>
      </c>
      <c r="C2320" s="376" t="s">
        <v>628</v>
      </c>
      <c r="D2320" s="376">
        <v>2024</v>
      </c>
      <c r="E2320" s="376">
        <v>2029</v>
      </c>
      <c r="F2320" s="376">
        <v>1</v>
      </c>
      <c r="G2320" s="376">
        <v>20148.813739673951</v>
      </c>
      <c r="H2320" s="376">
        <v>0</v>
      </c>
      <c r="I2320" s="376">
        <v>0.65716939790195539</v>
      </c>
    </row>
    <row r="2321" spans="1:9" x14ac:dyDescent="0.35">
      <c r="A2321" s="376" t="s">
        <v>1615</v>
      </c>
      <c r="B2321" s="376" t="s">
        <v>1609</v>
      </c>
      <c r="C2321" s="376" t="s">
        <v>1051</v>
      </c>
      <c r="D2321" s="376">
        <v>2024</v>
      </c>
      <c r="E2321" s="376">
        <v>2029</v>
      </c>
      <c r="F2321" s="376">
        <v>1</v>
      </c>
      <c r="G2321" s="376">
        <v>20148.813739673951</v>
      </c>
      <c r="H2321" s="376">
        <v>0</v>
      </c>
      <c r="I2321" s="376">
        <v>0.65716939790195539</v>
      </c>
    </row>
    <row r="2322" spans="1:9" x14ac:dyDescent="0.35">
      <c r="A2322" s="376" t="s">
        <v>1615</v>
      </c>
      <c r="B2322" s="376" t="s">
        <v>1609</v>
      </c>
      <c r="C2322" s="376" t="s">
        <v>1054</v>
      </c>
      <c r="D2322" s="376">
        <v>2024</v>
      </c>
      <c r="E2322" s="376">
        <v>2029</v>
      </c>
      <c r="F2322" s="376">
        <v>1</v>
      </c>
      <c r="G2322" s="376">
        <v>20148.813739673951</v>
      </c>
      <c r="H2322" s="376">
        <v>0</v>
      </c>
      <c r="I2322" s="376">
        <v>0.65716939790195539</v>
      </c>
    </row>
    <row r="2323" spans="1:9" x14ac:dyDescent="0.35">
      <c r="A2323" s="376" t="s">
        <v>1615</v>
      </c>
      <c r="B2323" s="376" t="s">
        <v>1609</v>
      </c>
      <c r="C2323" s="376" t="s">
        <v>1046</v>
      </c>
      <c r="D2323" s="376">
        <v>2024</v>
      </c>
      <c r="E2323" s="376">
        <v>2030</v>
      </c>
      <c r="F2323" s="376">
        <v>1</v>
      </c>
      <c r="G2323" s="376">
        <v>20148.813739673951</v>
      </c>
      <c r="H2323" s="376">
        <v>0</v>
      </c>
      <c r="I2323" s="376">
        <v>0.65716939790195539</v>
      </c>
    </row>
    <row r="2324" spans="1:9" x14ac:dyDescent="0.35">
      <c r="A2324" s="376" t="s">
        <v>1615</v>
      </c>
      <c r="B2324" s="376" t="s">
        <v>1609</v>
      </c>
      <c r="C2324" s="376" t="s">
        <v>644</v>
      </c>
      <c r="D2324" s="376">
        <v>2024</v>
      </c>
      <c r="E2324" s="376">
        <v>2030</v>
      </c>
      <c r="F2324" s="376">
        <v>1</v>
      </c>
      <c r="G2324" s="376">
        <v>20148.813739673951</v>
      </c>
      <c r="H2324" s="376">
        <v>0</v>
      </c>
      <c r="I2324" s="376">
        <v>0.65716939790195539</v>
      </c>
    </row>
    <row r="2325" spans="1:9" x14ac:dyDescent="0.35">
      <c r="A2325" s="376" t="s">
        <v>1615</v>
      </c>
      <c r="B2325" s="376" t="s">
        <v>1609</v>
      </c>
      <c r="C2325" s="376" t="s">
        <v>628</v>
      </c>
      <c r="D2325" s="376">
        <v>2024</v>
      </c>
      <c r="E2325" s="376">
        <v>2030</v>
      </c>
      <c r="F2325" s="376">
        <v>1</v>
      </c>
      <c r="G2325" s="376">
        <v>20148.813739673951</v>
      </c>
      <c r="H2325" s="376">
        <v>0</v>
      </c>
      <c r="I2325" s="376">
        <v>0.65716939790195539</v>
      </c>
    </row>
    <row r="2326" spans="1:9" x14ac:dyDescent="0.35">
      <c r="A2326" s="376" t="s">
        <v>1615</v>
      </c>
      <c r="B2326" s="376" t="s">
        <v>1609</v>
      </c>
      <c r="C2326" s="376" t="s">
        <v>1051</v>
      </c>
      <c r="D2326" s="376">
        <v>2024</v>
      </c>
      <c r="E2326" s="376">
        <v>2030</v>
      </c>
      <c r="F2326" s="376">
        <v>1</v>
      </c>
      <c r="G2326" s="376">
        <v>20148.813739673951</v>
      </c>
      <c r="H2326" s="376">
        <v>0</v>
      </c>
      <c r="I2326" s="376">
        <v>0.65716939790195539</v>
      </c>
    </row>
    <row r="2327" spans="1:9" x14ac:dyDescent="0.35">
      <c r="A2327" s="376" t="s">
        <v>1615</v>
      </c>
      <c r="B2327" s="376" t="s">
        <v>1609</v>
      </c>
      <c r="C2327" s="376" t="s">
        <v>1054</v>
      </c>
      <c r="D2327" s="376">
        <v>2024</v>
      </c>
      <c r="E2327" s="376">
        <v>2030</v>
      </c>
      <c r="F2327" s="376">
        <v>1</v>
      </c>
      <c r="G2327" s="376">
        <v>20148.813739673951</v>
      </c>
      <c r="H2327" s="376">
        <v>0</v>
      </c>
      <c r="I2327" s="376">
        <v>0.65716939790195539</v>
      </c>
    </row>
    <row r="2328" spans="1:9" x14ac:dyDescent="0.35">
      <c r="A2328" s="376" t="s">
        <v>1615</v>
      </c>
      <c r="B2328" s="376" t="s">
        <v>1609</v>
      </c>
      <c r="C2328" s="376" t="s">
        <v>1046</v>
      </c>
      <c r="D2328" s="376">
        <v>2024</v>
      </c>
      <c r="E2328" s="376">
        <v>2031</v>
      </c>
      <c r="F2328" s="376">
        <v>1</v>
      </c>
      <c r="G2328" s="376">
        <v>20148.813739673951</v>
      </c>
      <c r="H2328" s="376">
        <v>0</v>
      </c>
      <c r="I2328" s="376">
        <v>0.65716939790195539</v>
      </c>
    </row>
    <row r="2329" spans="1:9" x14ac:dyDescent="0.35">
      <c r="A2329" s="376" t="s">
        <v>1615</v>
      </c>
      <c r="B2329" s="376" t="s">
        <v>1609</v>
      </c>
      <c r="C2329" s="376" t="s">
        <v>644</v>
      </c>
      <c r="D2329" s="376">
        <v>2024</v>
      </c>
      <c r="E2329" s="376">
        <v>2031</v>
      </c>
      <c r="F2329" s="376">
        <v>1</v>
      </c>
      <c r="G2329" s="376">
        <v>20148.813739673951</v>
      </c>
      <c r="H2329" s="376">
        <v>0</v>
      </c>
      <c r="I2329" s="376">
        <v>0.65716939790195539</v>
      </c>
    </row>
    <row r="2330" spans="1:9" x14ac:dyDescent="0.35">
      <c r="A2330" s="376" t="s">
        <v>1615</v>
      </c>
      <c r="B2330" s="376" t="s">
        <v>1609</v>
      </c>
      <c r="C2330" s="376" t="s">
        <v>628</v>
      </c>
      <c r="D2330" s="376">
        <v>2024</v>
      </c>
      <c r="E2330" s="376">
        <v>2031</v>
      </c>
      <c r="F2330" s="376">
        <v>1</v>
      </c>
      <c r="G2330" s="376">
        <v>20148.813739673951</v>
      </c>
      <c r="H2330" s="376">
        <v>0</v>
      </c>
      <c r="I2330" s="376">
        <v>0.65716939790195539</v>
      </c>
    </row>
    <row r="2331" spans="1:9" x14ac:dyDescent="0.35">
      <c r="A2331" s="376" t="s">
        <v>1615</v>
      </c>
      <c r="B2331" s="376" t="s">
        <v>1609</v>
      </c>
      <c r="C2331" s="376" t="s">
        <v>1051</v>
      </c>
      <c r="D2331" s="376">
        <v>2024</v>
      </c>
      <c r="E2331" s="376">
        <v>2031</v>
      </c>
      <c r="F2331" s="376">
        <v>1</v>
      </c>
      <c r="G2331" s="376">
        <v>20148.813739673951</v>
      </c>
      <c r="H2331" s="376">
        <v>0</v>
      </c>
      <c r="I2331" s="376">
        <v>0.65716939790195539</v>
      </c>
    </row>
    <row r="2332" spans="1:9" x14ac:dyDescent="0.35">
      <c r="A2332" s="376" t="s">
        <v>1615</v>
      </c>
      <c r="B2332" s="376" t="s">
        <v>1609</v>
      </c>
      <c r="C2332" s="376" t="s">
        <v>1054</v>
      </c>
      <c r="D2332" s="376">
        <v>2024</v>
      </c>
      <c r="E2332" s="376">
        <v>2031</v>
      </c>
      <c r="F2332" s="376">
        <v>1</v>
      </c>
      <c r="G2332" s="376">
        <v>20148.813739673951</v>
      </c>
      <c r="H2332" s="376">
        <v>0</v>
      </c>
      <c r="I2332" s="376">
        <v>0.65716939790195539</v>
      </c>
    </row>
    <row r="2333" spans="1:9" x14ac:dyDescent="0.35">
      <c r="A2333" s="376" t="s">
        <v>1603</v>
      </c>
      <c r="B2333" s="376" t="s">
        <v>1609</v>
      </c>
      <c r="C2333" s="376" t="s">
        <v>1046</v>
      </c>
      <c r="D2333" s="376">
        <v>2024</v>
      </c>
      <c r="E2333" s="376">
        <v>2024</v>
      </c>
      <c r="F2333" s="376">
        <v>1</v>
      </c>
      <c r="G2333" s="376">
        <v>6101.463203368502</v>
      </c>
      <c r="H2333" s="376">
        <v>0</v>
      </c>
      <c r="I2333" s="376">
        <v>1</v>
      </c>
    </row>
    <row r="2334" spans="1:9" x14ac:dyDescent="0.35">
      <c r="A2334" s="376" t="s">
        <v>1603</v>
      </c>
      <c r="B2334" s="376" t="s">
        <v>1609</v>
      </c>
      <c r="C2334" s="376" t="s">
        <v>644</v>
      </c>
      <c r="D2334" s="376">
        <v>2024</v>
      </c>
      <c r="E2334" s="376">
        <v>2024</v>
      </c>
      <c r="F2334" s="376">
        <v>1</v>
      </c>
      <c r="G2334" s="376">
        <v>6101.463203368502</v>
      </c>
      <c r="H2334" s="376">
        <v>0</v>
      </c>
      <c r="I2334" s="376">
        <v>1</v>
      </c>
    </row>
    <row r="2335" spans="1:9" x14ac:dyDescent="0.35">
      <c r="A2335" s="376" t="s">
        <v>1603</v>
      </c>
      <c r="B2335" s="376" t="s">
        <v>1609</v>
      </c>
      <c r="C2335" s="376" t="s">
        <v>628</v>
      </c>
      <c r="D2335" s="376">
        <v>2024</v>
      </c>
      <c r="E2335" s="376">
        <v>2024</v>
      </c>
      <c r="F2335" s="376">
        <v>1</v>
      </c>
      <c r="G2335" s="376">
        <v>6101.463203368502</v>
      </c>
      <c r="H2335" s="376">
        <v>0</v>
      </c>
      <c r="I2335" s="376">
        <v>1</v>
      </c>
    </row>
    <row r="2336" spans="1:9" x14ac:dyDescent="0.35">
      <c r="A2336" s="376" t="s">
        <v>1603</v>
      </c>
      <c r="B2336" s="376" t="s">
        <v>1609</v>
      </c>
      <c r="C2336" s="376" t="s">
        <v>1051</v>
      </c>
      <c r="D2336" s="376">
        <v>2024</v>
      </c>
      <c r="E2336" s="376">
        <v>2024</v>
      </c>
      <c r="F2336" s="376">
        <v>1</v>
      </c>
      <c r="G2336" s="376">
        <v>6101.463203368502</v>
      </c>
      <c r="H2336" s="376">
        <v>0</v>
      </c>
      <c r="I2336" s="376">
        <v>1</v>
      </c>
    </row>
    <row r="2337" spans="1:9" x14ac:dyDescent="0.35">
      <c r="A2337" s="376" t="s">
        <v>1603</v>
      </c>
      <c r="B2337" s="376" t="s">
        <v>1609</v>
      </c>
      <c r="C2337" s="376" t="s">
        <v>1054</v>
      </c>
      <c r="D2337" s="376">
        <v>2024</v>
      </c>
      <c r="E2337" s="376">
        <v>2024</v>
      </c>
      <c r="F2337" s="376">
        <v>1</v>
      </c>
      <c r="G2337" s="376">
        <v>6101.463203368502</v>
      </c>
      <c r="H2337" s="376">
        <v>0</v>
      </c>
      <c r="I2337" s="376">
        <v>1</v>
      </c>
    </row>
    <row r="2338" spans="1:9" x14ac:dyDescent="0.35">
      <c r="A2338" s="376" t="s">
        <v>1603</v>
      </c>
      <c r="B2338" s="376" t="s">
        <v>1609</v>
      </c>
      <c r="C2338" s="376" t="s">
        <v>1046</v>
      </c>
      <c r="D2338" s="376">
        <v>2024</v>
      </c>
      <c r="E2338" s="376">
        <v>2025</v>
      </c>
      <c r="F2338" s="376">
        <v>1</v>
      </c>
      <c r="G2338" s="376">
        <v>6101.463203368502</v>
      </c>
      <c r="H2338" s="376">
        <v>0</v>
      </c>
      <c r="I2338" s="376">
        <v>1</v>
      </c>
    </row>
    <row r="2339" spans="1:9" x14ac:dyDescent="0.35">
      <c r="A2339" s="376" t="s">
        <v>1603</v>
      </c>
      <c r="B2339" s="376" t="s">
        <v>1609</v>
      </c>
      <c r="C2339" s="376" t="s">
        <v>644</v>
      </c>
      <c r="D2339" s="376">
        <v>2024</v>
      </c>
      <c r="E2339" s="376">
        <v>2025</v>
      </c>
      <c r="F2339" s="376">
        <v>1</v>
      </c>
      <c r="G2339" s="376">
        <v>6101.463203368502</v>
      </c>
      <c r="H2339" s="376">
        <v>0</v>
      </c>
      <c r="I2339" s="376">
        <v>1</v>
      </c>
    </row>
    <row r="2340" spans="1:9" x14ac:dyDescent="0.35">
      <c r="A2340" s="376" t="s">
        <v>1603</v>
      </c>
      <c r="B2340" s="376" t="s">
        <v>1609</v>
      </c>
      <c r="C2340" s="376" t="s">
        <v>628</v>
      </c>
      <c r="D2340" s="376">
        <v>2024</v>
      </c>
      <c r="E2340" s="376">
        <v>2025</v>
      </c>
      <c r="F2340" s="376">
        <v>1</v>
      </c>
      <c r="G2340" s="376">
        <v>6101.463203368502</v>
      </c>
      <c r="H2340" s="376">
        <v>0</v>
      </c>
      <c r="I2340" s="376">
        <v>1</v>
      </c>
    </row>
    <row r="2341" spans="1:9" x14ac:dyDescent="0.35">
      <c r="A2341" s="376" t="s">
        <v>1603</v>
      </c>
      <c r="B2341" s="376" t="s">
        <v>1609</v>
      </c>
      <c r="C2341" s="376" t="s">
        <v>1051</v>
      </c>
      <c r="D2341" s="376">
        <v>2024</v>
      </c>
      <c r="E2341" s="376">
        <v>2025</v>
      </c>
      <c r="F2341" s="376">
        <v>1</v>
      </c>
      <c r="G2341" s="376">
        <v>6101.463203368502</v>
      </c>
      <c r="H2341" s="376">
        <v>0</v>
      </c>
      <c r="I2341" s="376">
        <v>1</v>
      </c>
    </row>
    <row r="2342" spans="1:9" x14ac:dyDescent="0.35">
      <c r="A2342" s="376" t="s">
        <v>1603</v>
      </c>
      <c r="B2342" s="376" t="s">
        <v>1609</v>
      </c>
      <c r="C2342" s="376" t="s">
        <v>1054</v>
      </c>
      <c r="D2342" s="376">
        <v>2024</v>
      </c>
      <c r="E2342" s="376">
        <v>2025</v>
      </c>
      <c r="F2342" s="376">
        <v>1</v>
      </c>
      <c r="G2342" s="376">
        <v>6101.463203368502</v>
      </c>
      <c r="H2342" s="376">
        <v>0</v>
      </c>
      <c r="I2342" s="376">
        <v>1</v>
      </c>
    </row>
    <row r="2343" spans="1:9" x14ac:dyDescent="0.35">
      <c r="A2343" s="376" t="s">
        <v>1603</v>
      </c>
      <c r="B2343" s="376" t="s">
        <v>1609</v>
      </c>
      <c r="C2343" s="376" t="s">
        <v>1046</v>
      </c>
      <c r="D2343" s="376">
        <v>2024</v>
      </c>
      <c r="E2343" s="376">
        <v>2026</v>
      </c>
      <c r="F2343" s="376">
        <v>1</v>
      </c>
      <c r="G2343" s="376">
        <v>6101.463203368502</v>
      </c>
      <c r="H2343" s="376">
        <v>0</v>
      </c>
      <c r="I2343" s="376">
        <v>1</v>
      </c>
    </row>
    <row r="2344" spans="1:9" x14ac:dyDescent="0.35">
      <c r="A2344" s="376" t="s">
        <v>1603</v>
      </c>
      <c r="B2344" s="376" t="s">
        <v>1609</v>
      </c>
      <c r="C2344" s="376" t="s">
        <v>644</v>
      </c>
      <c r="D2344" s="376">
        <v>2024</v>
      </c>
      <c r="E2344" s="376">
        <v>2026</v>
      </c>
      <c r="F2344" s="376">
        <v>1</v>
      </c>
      <c r="G2344" s="376">
        <v>6101.463203368502</v>
      </c>
      <c r="H2344" s="376">
        <v>0</v>
      </c>
      <c r="I2344" s="376">
        <v>1</v>
      </c>
    </row>
    <row r="2345" spans="1:9" x14ac:dyDescent="0.35">
      <c r="A2345" s="376" t="s">
        <v>1603</v>
      </c>
      <c r="B2345" s="376" t="s">
        <v>1609</v>
      </c>
      <c r="C2345" s="376" t="s">
        <v>628</v>
      </c>
      <c r="D2345" s="376">
        <v>2024</v>
      </c>
      <c r="E2345" s="376">
        <v>2026</v>
      </c>
      <c r="F2345" s="376">
        <v>1</v>
      </c>
      <c r="G2345" s="376">
        <v>6101.463203368502</v>
      </c>
      <c r="H2345" s="376">
        <v>0</v>
      </c>
      <c r="I2345" s="376">
        <v>1</v>
      </c>
    </row>
    <row r="2346" spans="1:9" x14ac:dyDescent="0.35">
      <c r="A2346" s="376" t="s">
        <v>1603</v>
      </c>
      <c r="B2346" s="376" t="s">
        <v>1609</v>
      </c>
      <c r="C2346" s="376" t="s">
        <v>1051</v>
      </c>
      <c r="D2346" s="376">
        <v>2024</v>
      </c>
      <c r="E2346" s="376">
        <v>2026</v>
      </c>
      <c r="F2346" s="376">
        <v>1</v>
      </c>
      <c r="G2346" s="376">
        <v>6101.463203368502</v>
      </c>
      <c r="H2346" s="376">
        <v>0</v>
      </c>
      <c r="I2346" s="376">
        <v>1</v>
      </c>
    </row>
    <row r="2347" spans="1:9" x14ac:dyDescent="0.35">
      <c r="A2347" s="376" t="s">
        <v>1603</v>
      </c>
      <c r="B2347" s="376" t="s">
        <v>1609</v>
      </c>
      <c r="C2347" s="376" t="s">
        <v>1054</v>
      </c>
      <c r="D2347" s="376">
        <v>2024</v>
      </c>
      <c r="E2347" s="376">
        <v>2026</v>
      </c>
      <c r="F2347" s="376">
        <v>1</v>
      </c>
      <c r="G2347" s="376">
        <v>6101.463203368502</v>
      </c>
      <c r="H2347" s="376">
        <v>0</v>
      </c>
      <c r="I2347" s="376">
        <v>1</v>
      </c>
    </row>
    <row r="2348" spans="1:9" x14ac:dyDescent="0.35">
      <c r="A2348" s="376" t="s">
        <v>1603</v>
      </c>
      <c r="B2348" s="376" t="s">
        <v>1609</v>
      </c>
      <c r="C2348" s="376" t="s">
        <v>1046</v>
      </c>
      <c r="D2348" s="376">
        <v>2024</v>
      </c>
      <c r="E2348" s="376">
        <v>2027</v>
      </c>
      <c r="F2348" s="376">
        <v>1</v>
      </c>
      <c r="G2348" s="376">
        <v>6101.463203368502</v>
      </c>
      <c r="H2348" s="376">
        <v>0</v>
      </c>
      <c r="I2348" s="376">
        <v>1</v>
      </c>
    </row>
    <row r="2349" spans="1:9" x14ac:dyDescent="0.35">
      <c r="A2349" s="376" t="s">
        <v>1603</v>
      </c>
      <c r="B2349" s="376" t="s">
        <v>1609</v>
      </c>
      <c r="C2349" s="376" t="s">
        <v>644</v>
      </c>
      <c r="D2349" s="376">
        <v>2024</v>
      </c>
      <c r="E2349" s="376">
        <v>2027</v>
      </c>
      <c r="F2349" s="376">
        <v>1</v>
      </c>
      <c r="G2349" s="376">
        <v>6101.463203368502</v>
      </c>
      <c r="H2349" s="376">
        <v>0</v>
      </c>
      <c r="I2349" s="376">
        <v>1</v>
      </c>
    </row>
    <row r="2350" spans="1:9" x14ac:dyDescent="0.35">
      <c r="A2350" s="376" t="s">
        <v>1603</v>
      </c>
      <c r="B2350" s="376" t="s">
        <v>1609</v>
      </c>
      <c r="C2350" s="376" t="s">
        <v>628</v>
      </c>
      <c r="D2350" s="376">
        <v>2024</v>
      </c>
      <c r="E2350" s="376">
        <v>2027</v>
      </c>
      <c r="F2350" s="376">
        <v>1</v>
      </c>
      <c r="G2350" s="376">
        <v>6101.463203368502</v>
      </c>
      <c r="H2350" s="376">
        <v>0</v>
      </c>
      <c r="I2350" s="376">
        <v>1</v>
      </c>
    </row>
    <row r="2351" spans="1:9" x14ac:dyDescent="0.35">
      <c r="A2351" s="376" t="s">
        <v>1603</v>
      </c>
      <c r="B2351" s="376" t="s">
        <v>1609</v>
      </c>
      <c r="C2351" s="376" t="s">
        <v>1051</v>
      </c>
      <c r="D2351" s="376">
        <v>2024</v>
      </c>
      <c r="E2351" s="376">
        <v>2027</v>
      </c>
      <c r="F2351" s="376">
        <v>1</v>
      </c>
      <c r="G2351" s="376">
        <v>6101.463203368502</v>
      </c>
      <c r="H2351" s="376">
        <v>0</v>
      </c>
      <c r="I2351" s="376">
        <v>1</v>
      </c>
    </row>
    <row r="2352" spans="1:9" x14ac:dyDescent="0.35">
      <c r="A2352" s="376" t="s">
        <v>1603</v>
      </c>
      <c r="B2352" s="376" t="s">
        <v>1609</v>
      </c>
      <c r="C2352" s="376" t="s">
        <v>1054</v>
      </c>
      <c r="D2352" s="376">
        <v>2024</v>
      </c>
      <c r="E2352" s="376">
        <v>2027</v>
      </c>
      <c r="F2352" s="376">
        <v>1</v>
      </c>
      <c r="G2352" s="376">
        <v>6101.463203368502</v>
      </c>
      <c r="H2352" s="376">
        <v>0</v>
      </c>
      <c r="I2352" s="376">
        <v>1</v>
      </c>
    </row>
    <row r="2353" spans="1:9" x14ac:dyDescent="0.35">
      <c r="A2353" s="376" t="s">
        <v>1603</v>
      </c>
      <c r="B2353" s="376" t="s">
        <v>1609</v>
      </c>
      <c r="C2353" s="376" t="s">
        <v>1046</v>
      </c>
      <c r="D2353" s="376">
        <v>2024</v>
      </c>
      <c r="E2353" s="376">
        <v>2028</v>
      </c>
      <c r="F2353" s="376">
        <v>1</v>
      </c>
      <c r="G2353" s="376">
        <v>6101.463203368502</v>
      </c>
      <c r="H2353" s="376">
        <v>0</v>
      </c>
      <c r="I2353" s="376">
        <v>1</v>
      </c>
    </row>
    <row r="2354" spans="1:9" x14ac:dyDescent="0.35">
      <c r="A2354" s="376" t="s">
        <v>1603</v>
      </c>
      <c r="B2354" s="376" t="s">
        <v>1609</v>
      </c>
      <c r="C2354" s="376" t="s">
        <v>644</v>
      </c>
      <c r="D2354" s="376">
        <v>2024</v>
      </c>
      <c r="E2354" s="376">
        <v>2028</v>
      </c>
      <c r="F2354" s="376">
        <v>1</v>
      </c>
      <c r="G2354" s="376">
        <v>6101.463203368502</v>
      </c>
      <c r="H2354" s="376">
        <v>0</v>
      </c>
      <c r="I2354" s="376">
        <v>1</v>
      </c>
    </row>
    <row r="2355" spans="1:9" x14ac:dyDescent="0.35">
      <c r="A2355" s="376" t="s">
        <v>1603</v>
      </c>
      <c r="B2355" s="376" t="s">
        <v>1609</v>
      </c>
      <c r="C2355" s="376" t="s">
        <v>628</v>
      </c>
      <c r="D2355" s="376">
        <v>2024</v>
      </c>
      <c r="E2355" s="376">
        <v>2028</v>
      </c>
      <c r="F2355" s="376">
        <v>1</v>
      </c>
      <c r="G2355" s="376">
        <v>6101.463203368502</v>
      </c>
      <c r="H2355" s="376">
        <v>0</v>
      </c>
      <c r="I2355" s="376">
        <v>1</v>
      </c>
    </row>
    <row r="2356" spans="1:9" x14ac:dyDescent="0.35">
      <c r="A2356" s="376" t="s">
        <v>1603</v>
      </c>
      <c r="B2356" s="376" t="s">
        <v>1609</v>
      </c>
      <c r="C2356" s="376" t="s">
        <v>1051</v>
      </c>
      <c r="D2356" s="376">
        <v>2024</v>
      </c>
      <c r="E2356" s="376">
        <v>2028</v>
      </c>
      <c r="F2356" s="376">
        <v>1</v>
      </c>
      <c r="G2356" s="376">
        <v>6101.463203368502</v>
      </c>
      <c r="H2356" s="376">
        <v>0</v>
      </c>
      <c r="I2356" s="376">
        <v>1</v>
      </c>
    </row>
    <row r="2357" spans="1:9" x14ac:dyDescent="0.35">
      <c r="A2357" s="376" t="s">
        <v>1603</v>
      </c>
      <c r="B2357" s="376" t="s">
        <v>1609</v>
      </c>
      <c r="C2357" s="376" t="s">
        <v>1054</v>
      </c>
      <c r="D2357" s="376">
        <v>2024</v>
      </c>
      <c r="E2357" s="376">
        <v>2028</v>
      </c>
      <c r="F2357" s="376">
        <v>1</v>
      </c>
      <c r="G2357" s="376">
        <v>6101.463203368502</v>
      </c>
      <c r="H2357" s="376">
        <v>0</v>
      </c>
      <c r="I2357" s="376">
        <v>1</v>
      </c>
    </row>
    <row r="2358" spans="1:9" x14ac:dyDescent="0.35">
      <c r="A2358" s="376" t="s">
        <v>1603</v>
      </c>
      <c r="B2358" s="376" t="s">
        <v>1609</v>
      </c>
      <c r="C2358" s="376" t="s">
        <v>1046</v>
      </c>
      <c r="D2358" s="376">
        <v>2024</v>
      </c>
      <c r="E2358" s="376">
        <v>2029</v>
      </c>
      <c r="F2358" s="376">
        <v>1</v>
      </c>
      <c r="G2358" s="376">
        <v>6101.463203368502</v>
      </c>
      <c r="H2358" s="376">
        <v>0</v>
      </c>
      <c r="I2358" s="376">
        <v>1</v>
      </c>
    </row>
    <row r="2359" spans="1:9" x14ac:dyDescent="0.35">
      <c r="A2359" s="376" t="s">
        <v>1603</v>
      </c>
      <c r="B2359" s="376" t="s">
        <v>1609</v>
      </c>
      <c r="C2359" s="376" t="s">
        <v>644</v>
      </c>
      <c r="D2359" s="376">
        <v>2024</v>
      </c>
      <c r="E2359" s="376">
        <v>2029</v>
      </c>
      <c r="F2359" s="376">
        <v>1</v>
      </c>
      <c r="G2359" s="376">
        <v>6101.463203368502</v>
      </c>
      <c r="H2359" s="376">
        <v>0</v>
      </c>
      <c r="I2359" s="376">
        <v>1</v>
      </c>
    </row>
    <row r="2360" spans="1:9" x14ac:dyDescent="0.35">
      <c r="A2360" s="376" t="s">
        <v>1603</v>
      </c>
      <c r="B2360" s="376" t="s">
        <v>1609</v>
      </c>
      <c r="C2360" s="376" t="s">
        <v>628</v>
      </c>
      <c r="D2360" s="376">
        <v>2024</v>
      </c>
      <c r="E2360" s="376">
        <v>2029</v>
      </c>
      <c r="F2360" s="376">
        <v>1</v>
      </c>
      <c r="G2360" s="376">
        <v>6101.463203368502</v>
      </c>
      <c r="H2360" s="376">
        <v>0</v>
      </c>
      <c r="I2360" s="376">
        <v>1</v>
      </c>
    </row>
    <row r="2361" spans="1:9" x14ac:dyDescent="0.35">
      <c r="A2361" s="376" t="s">
        <v>1603</v>
      </c>
      <c r="B2361" s="376" t="s">
        <v>1609</v>
      </c>
      <c r="C2361" s="376" t="s">
        <v>1051</v>
      </c>
      <c r="D2361" s="376">
        <v>2024</v>
      </c>
      <c r="E2361" s="376">
        <v>2029</v>
      </c>
      <c r="F2361" s="376">
        <v>1</v>
      </c>
      <c r="G2361" s="376">
        <v>6101.463203368502</v>
      </c>
      <c r="H2361" s="376">
        <v>0</v>
      </c>
      <c r="I2361" s="376">
        <v>1</v>
      </c>
    </row>
    <row r="2362" spans="1:9" x14ac:dyDescent="0.35">
      <c r="A2362" s="376" t="s">
        <v>1603</v>
      </c>
      <c r="B2362" s="376" t="s">
        <v>1609</v>
      </c>
      <c r="C2362" s="376" t="s">
        <v>1054</v>
      </c>
      <c r="D2362" s="376">
        <v>2024</v>
      </c>
      <c r="E2362" s="376">
        <v>2029</v>
      </c>
      <c r="F2362" s="376">
        <v>1</v>
      </c>
      <c r="G2362" s="376">
        <v>6101.463203368502</v>
      </c>
      <c r="H2362" s="376">
        <v>0</v>
      </c>
      <c r="I2362" s="376">
        <v>1</v>
      </c>
    </row>
    <row r="2363" spans="1:9" x14ac:dyDescent="0.35">
      <c r="A2363" s="376" t="s">
        <v>1603</v>
      </c>
      <c r="B2363" s="376" t="s">
        <v>1609</v>
      </c>
      <c r="C2363" s="376" t="s">
        <v>1046</v>
      </c>
      <c r="D2363" s="376">
        <v>2024</v>
      </c>
      <c r="E2363" s="376">
        <v>2030</v>
      </c>
      <c r="F2363" s="376">
        <v>1</v>
      </c>
      <c r="G2363" s="376">
        <v>6101.463203368502</v>
      </c>
      <c r="H2363" s="376">
        <v>0</v>
      </c>
      <c r="I2363" s="376">
        <v>1</v>
      </c>
    </row>
    <row r="2364" spans="1:9" x14ac:dyDescent="0.35">
      <c r="A2364" s="376" t="s">
        <v>1603</v>
      </c>
      <c r="B2364" s="376" t="s">
        <v>1609</v>
      </c>
      <c r="C2364" s="376" t="s">
        <v>644</v>
      </c>
      <c r="D2364" s="376">
        <v>2024</v>
      </c>
      <c r="E2364" s="376">
        <v>2030</v>
      </c>
      <c r="F2364" s="376">
        <v>1</v>
      </c>
      <c r="G2364" s="376">
        <v>6101.463203368502</v>
      </c>
      <c r="H2364" s="376">
        <v>0</v>
      </c>
      <c r="I2364" s="376">
        <v>1</v>
      </c>
    </row>
    <row r="2365" spans="1:9" x14ac:dyDescent="0.35">
      <c r="A2365" s="376" t="s">
        <v>1603</v>
      </c>
      <c r="B2365" s="376" t="s">
        <v>1609</v>
      </c>
      <c r="C2365" s="376" t="s">
        <v>628</v>
      </c>
      <c r="D2365" s="376">
        <v>2024</v>
      </c>
      <c r="E2365" s="376">
        <v>2030</v>
      </c>
      <c r="F2365" s="376">
        <v>1</v>
      </c>
      <c r="G2365" s="376">
        <v>6101.463203368502</v>
      </c>
      <c r="H2365" s="376">
        <v>0</v>
      </c>
      <c r="I2365" s="376">
        <v>1</v>
      </c>
    </row>
    <row r="2366" spans="1:9" x14ac:dyDescent="0.35">
      <c r="A2366" s="376" t="s">
        <v>1603</v>
      </c>
      <c r="B2366" s="376" t="s">
        <v>1609</v>
      </c>
      <c r="C2366" s="376" t="s">
        <v>1051</v>
      </c>
      <c r="D2366" s="376">
        <v>2024</v>
      </c>
      <c r="E2366" s="376">
        <v>2030</v>
      </c>
      <c r="F2366" s="376">
        <v>1</v>
      </c>
      <c r="G2366" s="376">
        <v>6101.463203368502</v>
      </c>
      <c r="H2366" s="376">
        <v>0</v>
      </c>
      <c r="I2366" s="376">
        <v>1</v>
      </c>
    </row>
    <row r="2367" spans="1:9" x14ac:dyDescent="0.35">
      <c r="A2367" s="376" t="s">
        <v>1603</v>
      </c>
      <c r="B2367" s="376" t="s">
        <v>1609</v>
      </c>
      <c r="C2367" s="376" t="s">
        <v>1054</v>
      </c>
      <c r="D2367" s="376">
        <v>2024</v>
      </c>
      <c r="E2367" s="376">
        <v>2030</v>
      </c>
      <c r="F2367" s="376">
        <v>1</v>
      </c>
      <c r="G2367" s="376">
        <v>6101.463203368502</v>
      </c>
      <c r="H2367" s="376">
        <v>0</v>
      </c>
      <c r="I2367" s="376">
        <v>1</v>
      </c>
    </row>
    <row r="2368" spans="1:9" x14ac:dyDescent="0.35">
      <c r="A2368" s="376" t="s">
        <v>1603</v>
      </c>
      <c r="B2368" s="376" t="s">
        <v>1609</v>
      </c>
      <c r="C2368" s="376" t="s">
        <v>1046</v>
      </c>
      <c r="D2368" s="376">
        <v>2024</v>
      </c>
      <c r="E2368" s="376">
        <v>2031</v>
      </c>
      <c r="F2368" s="376">
        <v>1</v>
      </c>
      <c r="G2368" s="376">
        <v>6101.463203368502</v>
      </c>
      <c r="H2368" s="376">
        <v>0</v>
      </c>
      <c r="I2368" s="376">
        <v>1</v>
      </c>
    </row>
    <row r="2369" spans="1:9" x14ac:dyDescent="0.35">
      <c r="A2369" s="376" t="s">
        <v>1603</v>
      </c>
      <c r="B2369" s="376" t="s">
        <v>1609</v>
      </c>
      <c r="C2369" s="376" t="s">
        <v>644</v>
      </c>
      <c r="D2369" s="376">
        <v>2024</v>
      </c>
      <c r="E2369" s="376">
        <v>2031</v>
      </c>
      <c r="F2369" s="376">
        <v>1</v>
      </c>
      <c r="G2369" s="376">
        <v>6101.463203368502</v>
      </c>
      <c r="H2369" s="376">
        <v>0</v>
      </c>
      <c r="I2369" s="376">
        <v>1</v>
      </c>
    </row>
    <row r="2370" spans="1:9" x14ac:dyDescent="0.35">
      <c r="A2370" s="376" t="s">
        <v>1603</v>
      </c>
      <c r="B2370" s="376" t="s">
        <v>1609</v>
      </c>
      <c r="C2370" s="376" t="s">
        <v>628</v>
      </c>
      <c r="D2370" s="376">
        <v>2024</v>
      </c>
      <c r="E2370" s="376">
        <v>2031</v>
      </c>
      <c r="F2370" s="376">
        <v>1</v>
      </c>
      <c r="G2370" s="376">
        <v>6101.463203368502</v>
      </c>
      <c r="H2370" s="376">
        <v>0</v>
      </c>
      <c r="I2370" s="376">
        <v>1</v>
      </c>
    </row>
    <row r="2371" spans="1:9" x14ac:dyDescent="0.35">
      <c r="A2371" s="376" t="s">
        <v>1603</v>
      </c>
      <c r="B2371" s="376" t="s">
        <v>1609</v>
      </c>
      <c r="C2371" s="376" t="s">
        <v>1051</v>
      </c>
      <c r="D2371" s="376">
        <v>2024</v>
      </c>
      <c r="E2371" s="376">
        <v>2031</v>
      </c>
      <c r="F2371" s="376">
        <v>1</v>
      </c>
      <c r="G2371" s="376">
        <v>6101.463203368502</v>
      </c>
      <c r="H2371" s="376">
        <v>0</v>
      </c>
      <c r="I2371" s="376">
        <v>1</v>
      </c>
    </row>
    <row r="2372" spans="1:9" x14ac:dyDescent="0.35">
      <c r="A2372" s="376" t="s">
        <v>1603</v>
      </c>
      <c r="B2372" s="376" t="s">
        <v>1609</v>
      </c>
      <c r="C2372" s="376" t="s">
        <v>1054</v>
      </c>
      <c r="D2372" s="376">
        <v>2024</v>
      </c>
      <c r="E2372" s="376">
        <v>2031</v>
      </c>
      <c r="F2372" s="376">
        <v>1</v>
      </c>
      <c r="G2372" s="376">
        <v>6101.463203368502</v>
      </c>
      <c r="H2372" s="376">
        <v>0</v>
      </c>
      <c r="I2372" s="376">
        <v>1</v>
      </c>
    </row>
    <row r="2373" spans="1:9" x14ac:dyDescent="0.35">
      <c r="A2373" s="376" t="s">
        <v>1605</v>
      </c>
      <c r="B2373" s="376" t="s">
        <v>1609</v>
      </c>
      <c r="C2373" s="376" t="s">
        <v>1046</v>
      </c>
      <c r="D2373" s="376">
        <v>2024</v>
      </c>
      <c r="E2373" s="376">
        <v>2024</v>
      </c>
      <c r="F2373" s="376">
        <v>0.23884589662749595</v>
      </c>
      <c r="G2373" s="376">
        <v>10426.102375692073</v>
      </c>
      <c r="H2373" s="376">
        <v>0</v>
      </c>
      <c r="I2373" s="376">
        <v>1</v>
      </c>
    </row>
    <row r="2374" spans="1:9" x14ac:dyDescent="0.35">
      <c r="A2374" s="376" t="s">
        <v>1605</v>
      </c>
      <c r="B2374" s="376" t="s">
        <v>1609</v>
      </c>
      <c r="C2374" s="376" t="s">
        <v>644</v>
      </c>
      <c r="D2374" s="376">
        <v>2024</v>
      </c>
      <c r="E2374" s="376">
        <v>2024</v>
      </c>
      <c r="F2374" s="376">
        <v>0.23884589662749595</v>
      </c>
      <c r="G2374" s="376">
        <v>10426.102375692073</v>
      </c>
      <c r="H2374" s="376">
        <v>0</v>
      </c>
      <c r="I2374" s="376">
        <v>1</v>
      </c>
    </row>
    <row r="2375" spans="1:9" x14ac:dyDescent="0.35">
      <c r="A2375" s="376" t="s">
        <v>1605</v>
      </c>
      <c r="B2375" s="376" t="s">
        <v>1609</v>
      </c>
      <c r="C2375" s="376" t="s">
        <v>628</v>
      </c>
      <c r="D2375" s="376">
        <v>2024</v>
      </c>
      <c r="E2375" s="376">
        <v>2024</v>
      </c>
      <c r="F2375" s="376">
        <v>0.23884589662749595</v>
      </c>
      <c r="G2375" s="376">
        <v>10426.102375692073</v>
      </c>
      <c r="H2375" s="376">
        <v>0</v>
      </c>
      <c r="I2375" s="376">
        <v>1</v>
      </c>
    </row>
    <row r="2376" spans="1:9" x14ac:dyDescent="0.35">
      <c r="A2376" s="376" t="s">
        <v>1605</v>
      </c>
      <c r="B2376" s="376" t="s">
        <v>1609</v>
      </c>
      <c r="C2376" s="376" t="s">
        <v>1051</v>
      </c>
      <c r="D2376" s="376">
        <v>2024</v>
      </c>
      <c r="E2376" s="376">
        <v>2024</v>
      </c>
      <c r="F2376" s="376">
        <v>0.23884589662749595</v>
      </c>
      <c r="G2376" s="376">
        <v>10426.102375692073</v>
      </c>
      <c r="H2376" s="376">
        <v>0</v>
      </c>
      <c r="I2376" s="376">
        <v>1</v>
      </c>
    </row>
    <row r="2377" spans="1:9" x14ac:dyDescent="0.35">
      <c r="A2377" s="376" t="s">
        <v>1605</v>
      </c>
      <c r="B2377" s="376" t="s">
        <v>1609</v>
      </c>
      <c r="C2377" s="376" t="s">
        <v>1054</v>
      </c>
      <c r="D2377" s="376">
        <v>2024</v>
      </c>
      <c r="E2377" s="376">
        <v>2024</v>
      </c>
      <c r="F2377" s="376">
        <v>0.23884589662749595</v>
      </c>
      <c r="G2377" s="376">
        <v>10426.102375692073</v>
      </c>
      <c r="H2377" s="376">
        <v>0</v>
      </c>
      <c r="I2377" s="376">
        <v>1</v>
      </c>
    </row>
    <row r="2378" spans="1:9" x14ac:dyDescent="0.35">
      <c r="A2378" s="376" t="s">
        <v>1605</v>
      </c>
      <c r="B2378" s="376" t="s">
        <v>1609</v>
      </c>
      <c r="C2378" s="376" t="s">
        <v>1046</v>
      </c>
      <c r="D2378" s="376">
        <v>2024</v>
      </c>
      <c r="E2378" s="376">
        <v>2025</v>
      </c>
      <c r="F2378" s="376">
        <v>0.23884589662749595</v>
      </c>
      <c r="G2378" s="376">
        <v>10426.102375692073</v>
      </c>
      <c r="H2378" s="376">
        <v>0</v>
      </c>
      <c r="I2378" s="376">
        <v>1</v>
      </c>
    </row>
    <row r="2379" spans="1:9" x14ac:dyDescent="0.35">
      <c r="A2379" s="376" t="s">
        <v>1605</v>
      </c>
      <c r="B2379" s="376" t="s">
        <v>1609</v>
      </c>
      <c r="C2379" s="376" t="s">
        <v>644</v>
      </c>
      <c r="D2379" s="376">
        <v>2024</v>
      </c>
      <c r="E2379" s="376">
        <v>2025</v>
      </c>
      <c r="F2379" s="376">
        <v>0.23884589662749595</v>
      </c>
      <c r="G2379" s="376">
        <v>10426.102375692073</v>
      </c>
      <c r="H2379" s="376">
        <v>0</v>
      </c>
      <c r="I2379" s="376">
        <v>1</v>
      </c>
    </row>
    <row r="2380" spans="1:9" x14ac:dyDescent="0.35">
      <c r="A2380" s="376" t="s">
        <v>1605</v>
      </c>
      <c r="B2380" s="376" t="s">
        <v>1609</v>
      </c>
      <c r="C2380" s="376" t="s">
        <v>628</v>
      </c>
      <c r="D2380" s="376">
        <v>2024</v>
      </c>
      <c r="E2380" s="376">
        <v>2025</v>
      </c>
      <c r="F2380" s="376">
        <v>0.23884589662749595</v>
      </c>
      <c r="G2380" s="376">
        <v>10426.102375692073</v>
      </c>
      <c r="H2380" s="376">
        <v>0</v>
      </c>
      <c r="I2380" s="376">
        <v>1</v>
      </c>
    </row>
    <row r="2381" spans="1:9" x14ac:dyDescent="0.35">
      <c r="A2381" s="376" t="s">
        <v>1605</v>
      </c>
      <c r="B2381" s="376" t="s">
        <v>1609</v>
      </c>
      <c r="C2381" s="376" t="s">
        <v>1051</v>
      </c>
      <c r="D2381" s="376">
        <v>2024</v>
      </c>
      <c r="E2381" s="376">
        <v>2025</v>
      </c>
      <c r="F2381" s="376">
        <v>0.23884589662749595</v>
      </c>
      <c r="G2381" s="376">
        <v>10426.102375692073</v>
      </c>
      <c r="H2381" s="376">
        <v>0</v>
      </c>
      <c r="I2381" s="376">
        <v>1</v>
      </c>
    </row>
    <row r="2382" spans="1:9" x14ac:dyDescent="0.35">
      <c r="A2382" s="376" t="s">
        <v>1605</v>
      </c>
      <c r="B2382" s="376" t="s">
        <v>1609</v>
      </c>
      <c r="C2382" s="376" t="s">
        <v>1054</v>
      </c>
      <c r="D2382" s="376">
        <v>2024</v>
      </c>
      <c r="E2382" s="376">
        <v>2025</v>
      </c>
      <c r="F2382" s="376">
        <v>0.23884589662749595</v>
      </c>
      <c r="G2382" s="376">
        <v>10426.102375692073</v>
      </c>
      <c r="H2382" s="376">
        <v>0</v>
      </c>
      <c r="I2382" s="376">
        <v>1</v>
      </c>
    </row>
    <row r="2383" spans="1:9" x14ac:dyDescent="0.35">
      <c r="A2383" s="376" t="s">
        <v>1605</v>
      </c>
      <c r="B2383" s="376" t="s">
        <v>1609</v>
      </c>
      <c r="C2383" s="376" t="s">
        <v>1046</v>
      </c>
      <c r="D2383" s="376">
        <v>2024</v>
      </c>
      <c r="E2383" s="376">
        <v>2026</v>
      </c>
      <c r="F2383" s="376">
        <v>0.23884589662749595</v>
      </c>
      <c r="G2383" s="376">
        <v>10426.102375692073</v>
      </c>
      <c r="H2383" s="376">
        <v>0</v>
      </c>
      <c r="I2383" s="376">
        <v>1</v>
      </c>
    </row>
    <row r="2384" spans="1:9" x14ac:dyDescent="0.35">
      <c r="A2384" s="376" t="s">
        <v>1605</v>
      </c>
      <c r="B2384" s="376" t="s">
        <v>1609</v>
      </c>
      <c r="C2384" s="376" t="s">
        <v>644</v>
      </c>
      <c r="D2384" s="376">
        <v>2024</v>
      </c>
      <c r="E2384" s="376">
        <v>2026</v>
      </c>
      <c r="F2384" s="376">
        <v>0.23884589662749595</v>
      </c>
      <c r="G2384" s="376">
        <v>10426.102375692073</v>
      </c>
      <c r="H2384" s="376">
        <v>0</v>
      </c>
      <c r="I2384" s="376">
        <v>1</v>
      </c>
    </row>
    <row r="2385" spans="1:9" x14ac:dyDescent="0.35">
      <c r="A2385" s="376" t="s">
        <v>1605</v>
      </c>
      <c r="B2385" s="376" t="s">
        <v>1609</v>
      </c>
      <c r="C2385" s="376" t="s">
        <v>628</v>
      </c>
      <c r="D2385" s="376">
        <v>2024</v>
      </c>
      <c r="E2385" s="376">
        <v>2026</v>
      </c>
      <c r="F2385" s="376">
        <v>0.23884589662749595</v>
      </c>
      <c r="G2385" s="376">
        <v>10426.102375692073</v>
      </c>
      <c r="H2385" s="376">
        <v>0</v>
      </c>
      <c r="I2385" s="376">
        <v>1</v>
      </c>
    </row>
    <row r="2386" spans="1:9" x14ac:dyDescent="0.35">
      <c r="A2386" s="376" t="s">
        <v>1605</v>
      </c>
      <c r="B2386" s="376" t="s">
        <v>1609</v>
      </c>
      <c r="C2386" s="376" t="s">
        <v>1051</v>
      </c>
      <c r="D2386" s="376">
        <v>2024</v>
      </c>
      <c r="E2386" s="376">
        <v>2026</v>
      </c>
      <c r="F2386" s="376">
        <v>0.23884589662749595</v>
      </c>
      <c r="G2386" s="376">
        <v>10426.102375692073</v>
      </c>
      <c r="H2386" s="376">
        <v>0</v>
      </c>
      <c r="I2386" s="376">
        <v>1</v>
      </c>
    </row>
    <row r="2387" spans="1:9" x14ac:dyDescent="0.35">
      <c r="A2387" s="376" t="s">
        <v>1605</v>
      </c>
      <c r="B2387" s="376" t="s">
        <v>1609</v>
      </c>
      <c r="C2387" s="376" t="s">
        <v>1054</v>
      </c>
      <c r="D2387" s="376">
        <v>2024</v>
      </c>
      <c r="E2387" s="376">
        <v>2026</v>
      </c>
      <c r="F2387" s="376">
        <v>0.23884589662749595</v>
      </c>
      <c r="G2387" s="376">
        <v>10426.102375692073</v>
      </c>
      <c r="H2387" s="376">
        <v>0</v>
      </c>
      <c r="I2387" s="376">
        <v>1</v>
      </c>
    </row>
    <row r="2388" spans="1:9" x14ac:dyDescent="0.35">
      <c r="A2388" s="376" t="s">
        <v>1605</v>
      </c>
      <c r="B2388" s="376" t="s">
        <v>1609</v>
      </c>
      <c r="C2388" s="376" t="s">
        <v>1046</v>
      </c>
      <c r="D2388" s="376">
        <v>2024</v>
      </c>
      <c r="E2388" s="376">
        <v>2027</v>
      </c>
      <c r="F2388" s="376">
        <v>0.23884589662749595</v>
      </c>
      <c r="G2388" s="376">
        <v>10426.102375692073</v>
      </c>
      <c r="H2388" s="376">
        <v>0</v>
      </c>
      <c r="I2388" s="376">
        <v>1</v>
      </c>
    </row>
    <row r="2389" spans="1:9" x14ac:dyDescent="0.35">
      <c r="A2389" s="376" t="s">
        <v>1605</v>
      </c>
      <c r="B2389" s="376" t="s">
        <v>1609</v>
      </c>
      <c r="C2389" s="376" t="s">
        <v>644</v>
      </c>
      <c r="D2389" s="376">
        <v>2024</v>
      </c>
      <c r="E2389" s="376">
        <v>2027</v>
      </c>
      <c r="F2389" s="376">
        <v>0.23884589662749595</v>
      </c>
      <c r="G2389" s="376">
        <v>10426.102375692073</v>
      </c>
      <c r="H2389" s="376">
        <v>0</v>
      </c>
      <c r="I2389" s="376">
        <v>1</v>
      </c>
    </row>
    <row r="2390" spans="1:9" x14ac:dyDescent="0.35">
      <c r="A2390" s="376" t="s">
        <v>1605</v>
      </c>
      <c r="B2390" s="376" t="s">
        <v>1609</v>
      </c>
      <c r="C2390" s="376" t="s">
        <v>628</v>
      </c>
      <c r="D2390" s="376">
        <v>2024</v>
      </c>
      <c r="E2390" s="376">
        <v>2027</v>
      </c>
      <c r="F2390" s="376">
        <v>0.23884589662749595</v>
      </c>
      <c r="G2390" s="376">
        <v>10426.102375692073</v>
      </c>
      <c r="H2390" s="376">
        <v>0</v>
      </c>
      <c r="I2390" s="376">
        <v>1</v>
      </c>
    </row>
    <row r="2391" spans="1:9" x14ac:dyDescent="0.35">
      <c r="A2391" s="376" t="s">
        <v>1605</v>
      </c>
      <c r="B2391" s="376" t="s">
        <v>1609</v>
      </c>
      <c r="C2391" s="376" t="s">
        <v>1051</v>
      </c>
      <c r="D2391" s="376">
        <v>2024</v>
      </c>
      <c r="E2391" s="376">
        <v>2027</v>
      </c>
      <c r="F2391" s="376">
        <v>0.23884589662749595</v>
      </c>
      <c r="G2391" s="376">
        <v>10426.102375692073</v>
      </c>
      <c r="H2391" s="376">
        <v>0</v>
      </c>
      <c r="I2391" s="376">
        <v>1</v>
      </c>
    </row>
    <row r="2392" spans="1:9" x14ac:dyDescent="0.35">
      <c r="A2392" s="376" t="s">
        <v>1605</v>
      </c>
      <c r="B2392" s="376" t="s">
        <v>1609</v>
      </c>
      <c r="C2392" s="376" t="s">
        <v>1054</v>
      </c>
      <c r="D2392" s="376">
        <v>2024</v>
      </c>
      <c r="E2392" s="376">
        <v>2027</v>
      </c>
      <c r="F2392" s="376">
        <v>0.23884589662749595</v>
      </c>
      <c r="G2392" s="376">
        <v>10426.102375692073</v>
      </c>
      <c r="H2392" s="376">
        <v>0</v>
      </c>
      <c r="I2392" s="376">
        <v>1</v>
      </c>
    </row>
    <row r="2393" spans="1:9" x14ac:dyDescent="0.35">
      <c r="A2393" s="376" t="s">
        <v>1605</v>
      </c>
      <c r="B2393" s="376" t="s">
        <v>1609</v>
      </c>
      <c r="C2393" s="376" t="s">
        <v>1046</v>
      </c>
      <c r="D2393" s="376">
        <v>2024</v>
      </c>
      <c r="E2393" s="376">
        <v>2028</v>
      </c>
      <c r="F2393" s="376">
        <v>0.23884589662749595</v>
      </c>
      <c r="G2393" s="376">
        <v>10426.102375692073</v>
      </c>
      <c r="H2393" s="376">
        <v>0</v>
      </c>
      <c r="I2393" s="376">
        <v>1</v>
      </c>
    </row>
    <row r="2394" spans="1:9" x14ac:dyDescent="0.35">
      <c r="A2394" s="376" t="s">
        <v>1605</v>
      </c>
      <c r="B2394" s="376" t="s">
        <v>1609</v>
      </c>
      <c r="C2394" s="376" t="s">
        <v>644</v>
      </c>
      <c r="D2394" s="376">
        <v>2024</v>
      </c>
      <c r="E2394" s="376">
        <v>2028</v>
      </c>
      <c r="F2394" s="376">
        <v>0.23884589662749595</v>
      </c>
      <c r="G2394" s="376">
        <v>10426.102375692073</v>
      </c>
      <c r="H2394" s="376">
        <v>0</v>
      </c>
      <c r="I2394" s="376">
        <v>1</v>
      </c>
    </row>
    <row r="2395" spans="1:9" x14ac:dyDescent="0.35">
      <c r="A2395" s="376" t="s">
        <v>1605</v>
      </c>
      <c r="B2395" s="376" t="s">
        <v>1609</v>
      </c>
      <c r="C2395" s="376" t="s">
        <v>628</v>
      </c>
      <c r="D2395" s="376">
        <v>2024</v>
      </c>
      <c r="E2395" s="376">
        <v>2028</v>
      </c>
      <c r="F2395" s="376">
        <v>0.23884589662749595</v>
      </c>
      <c r="G2395" s="376">
        <v>10426.102375692073</v>
      </c>
      <c r="H2395" s="376">
        <v>0</v>
      </c>
      <c r="I2395" s="376">
        <v>1</v>
      </c>
    </row>
    <row r="2396" spans="1:9" x14ac:dyDescent="0.35">
      <c r="A2396" s="376" t="s">
        <v>1605</v>
      </c>
      <c r="B2396" s="376" t="s">
        <v>1609</v>
      </c>
      <c r="C2396" s="376" t="s">
        <v>1051</v>
      </c>
      <c r="D2396" s="376">
        <v>2024</v>
      </c>
      <c r="E2396" s="376">
        <v>2028</v>
      </c>
      <c r="F2396" s="376">
        <v>0.23884589662749595</v>
      </c>
      <c r="G2396" s="376">
        <v>10426.102375692073</v>
      </c>
      <c r="H2396" s="376">
        <v>0</v>
      </c>
      <c r="I2396" s="376">
        <v>1</v>
      </c>
    </row>
    <row r="2397" spans="1:9" x14ac:dyDescent="0.35">
      <c r="A2397" s="376" t="s">
        <v>1605</v>
      </c>
      <c r="B2397" s="376" t="s">
        <v>1609</v>
      </c>
      <c r="C2397" s="376" t="s">
        <v>1054</v>
      </c>
      <c r="D2397" s="376">
        <v>2024</v>
      </c>
      <c r="E2397" s="376">
        <v>2028</v>
      </c>
      <c r="F2397" s="376">
        <v>0.23884589662749595</v>
      </c>
      <c r="G2397" s="376">
        <v>10426.102375692073</v>
      </c>
      <c r="H2397" s="376">
        <v>0</v>
      </c>
      <c r="I2397" s="376">
        <v>1</v>
      </c>
    </row>
    <row r="2398" spans="1:9" x14ac:dyDescent="0.35">
      <c r="A2398" s="376" t="s">
        <v>1605</v>
      </c>
      <c r="B2398" s="376" t="s">
        <v>1609</v>
      </c>
      <c r="C2398" s="376" t="s">
        <v>1046</v>
      </c>
      <c r="D2398" s="376">
        <v>2024</v>
      </c>
      <c r="E2398" s="376">
        <v>2029</v>
      </c>
      <c r="F2398" s="376">
        <v>0.23884589662749595</v>
      </c>
      <c r="G2398" s="376">
        <v>10426.102375692073</v>
      </c>
      <c r="H2398" s="376">
        <v>0</v>
      </c>
      <c r="I2398" s="376">
        <v>1</v>
      </c>
    </row>
    <row r="2399" spans="1:9" x14ac:dyDescent="0.35">
      <c r="A2399" s="376" t="s">
        <v>1605</v>
      </c>
      <c r="B2399" s="376" t="s">
        <v>1609</v>
      </c>
      <c r="C2399" s="376" t="s">
        <v>644</v>
      </c>
      <c r="D2399" s="376">
        <v>2024</v>
      </c>
      <c r="E2399" s="376">
        <v>2029</v>
      </c>
      <c r="F2399" s="376">
        <v>0.23884589662749595</v>
      </c>
      <c r="G2399" s="376">
        <v>10426.102375692073</v>
      </c>
      <c r="H2399" s="376">
        <v>0</v>
      </c>
      <c r="I2399" s="376">
        <v>1</v>
      </c>
    </row>
    <row r="2400" spans="1:9" x14ac:dyDescent="0.35">
      <c r="A2400" s="376" t="s">
        <v>1605</v>
      </c>
      <c r="B2400" s="376" t="s">
        <v>1609</v>
      </c>
      <c r="C2400" s="376" t="s">
        <v>628</v>
      </c>
      <c r="D2400" s="376">
        <v>2024</v>
      </c>
      <c r="E2400" s="376">
        <v>2029</v>
      </c>
      <c r="F2400" s="376">
        <v>0.23884589662749595</v>
      </c>
      <c r="G2400" s="376">
        <v>10426.102375692073</v>
      </c>
      <c r="H2400" s="376">
        <v>0</v>
      </c>
      <c r="I2400" s="376">
        <v>1</v>
      </c>
    </row>
    <row r="2401" spans="1:9" x14ac:dyDescent="0.35">
      <c r="A2401" s="376" t="s">
        <v>1605</v>
      </c>
      <c r="B2401" s="376" t="s">
        <v>1609</v>
      </c>
      <c r="C2401" s="376" t="s">
        <v>1051</v>
      </c>
      <c r="D2401" s="376">
        <v>2024</v>
      </c>
      <c r="E2401" s="376">
        <v>2029</v>
      </c>
      <c r="F2401" s="376">
        <v>0.23884589662749595</v>
      </c>
      <c r="G2401" s="376">
        <v>10426.102375692073</v>
      </c>
      <c r="H2401" s="376">
        <v>0</v>
      </c>
      <c r="I2401" s="376">
        <v>1</v>
      </c>
    </row>
    <row r="2402" spans="1:9" x14ac:dyDescent="0.35">
      <c r="A2402" s="376" t="s">
        <v>1605</v>
      </c>
      <c r="B2402" s="376" t="s">
        <v>1609</v>
      </c>
      <c r="C2402" s="376" t="s">
        <v>1054</v>
      </c>
      <c r="D2402" s="376">
        <v>2024</v>
      </c>
      <c r="E2402" s="376">
        <v>2029</v>
      </c>
      <c r="F2402" s="376">
        <v>0.23884589662749595</v>
      </c>
      <c r="G2402" s="376">
        <v>10426.102375692073</v>
      </c>
      <c r="H2402" s="376">
        <v>0</v>
      </c>
      <c r="I2402" s="376">
        <v>1</v>
      </c>
    </row>
    <row r="2403" spans="1:9" x14ac:dyDescent="0.35">
      <c r="A2403" s="376" t="s">
        <v>1605</v>
      </c>
      <c r="B2403" s="376" t="s">
        <v>1609</v>
      </c>
      <c r="C2403" s="376" t="s">
        <v>1046</v>
      </c>
      <c r="D2403" s="376">
        <v>2024</v>
      </c>
      <c r="E2403" s="376">
        <v>2030</v>
      </c>
      <c r="F2403" s="376">
        <v>0.23884589662749595</v>
      </c>
      <c r="G2403" s="376">
        <v>10426.102375692073</v>
      </c>
      <c r="H2403" s="376">
        <v>0</v>
      </c>
      <c r="I2403" s="376">
        <v>1</v>
      </c>
    </row>
    <row r="2404" spans="1:9" x14ac:dyDescent="0.35">
      <c r="A2404" s="376" t="s">
        <v>1605</v>
      </c>
      <c r="B2404" s="376" t="s">
        <v>1609</v>
      </c>
      <c r="C2404" s="376" t="s">
        <v>644</v>
      </c>
      <c r="D2404" s="376">
        <v>2024</v>
      </c>
      <c r="E2404" s="376">
        <v>2030</v>
      </c>
      <c r="F2404" s="376">
        <v>0.23884589662749595</v>
      </c>
      <c r="G2404" s="376">
        <v>10426.102375692073</v>
      </c>
      <c r="H2404" s="376">
        <v>0</v>
      </c>
      <c r="I2404" s="376">
        <v>1</v>
      </c>
    </row>
    <row r="2405" spans="1:9" x14ac:dyDescent="0.35">
      <c r="A2405" s="376" t="s">
        <v>1605</v>
      </c>
      <c r="B2405" s="376" t="s">
        <v>1609</v>
      </c>
      <c r="C2405" s="376" t="s">
        <v>628</v>
      </c>
      <c r="D2405" s="376">
        <v>2024</v>
      </c>
      <c r="E2405" s="376">
        <v>2030</v>
      </c>
      <c r="F2405" s="376">
        <v>0.23884589662749595</v>
      </c>
      <c r="G2405" s="376">
        <v>10426.102375692073</v>
      </c>
      <c r="H2405" s="376">
        <v>0</v>
      </c>
      <c r="I2405" s="376">
        <v>1</v>
      </c>
    </row>
    <row r="2406" spans="1:9" x14ac:dyDescent="0.35">
      <c r="A2406" s="376" t="s">
        <v>1605</v>
      </c>
      <c r="B2406" s="376" t="s">
        <v>1609</v>
      </c>
      <c r="C2406" s="376" t="s">
        <v>1051</v>
      </c>
      <c r="D2406" s="376">
        <v>2024</v>
      </c>
      <c r="E2406" s="376">
        <v>2030</v>
      </c>
      <c r="F2406" s="376">
        <v>0.23884589662749595</v>
      </c>
      <c r="G2406" s="376">
        <v>10426.102375692073</v>
      </c>
      <c r="H2406" s="376">
        <v>0</v>
      </c>
      <c r="I2406" s="376">
        <v>1</v>
      </c>
    </row>
    <row r="2407" spans="1:9" x14ac:dyDescent="0.35">
      <c r="A2407" s="376" t="s">
        <v>1605</v>
      </c>
      <c r="B2407" s="376" t="s">
        <v>1609</v>
      </c>
      <c r="C2407" s="376" t="s">
        <v>1054</v>
      </c>
      <c r="D2407" s="376">
        <v>2024</v>
      </c>
      <c r="E2407" s="376">
        <v>2030</v>
      </c>
      <c r="F2407" s="376">
        <v>0.23884589662749595</v>
      </c>
      <c r="G2407" s="376">
        <v>10426.102375692073</v>
      </c>
      <c r="H2407" s="376">
        <v>0</v>
      </c>
      <c r="I2407" s="376">
        <v>1</v>
      </c>
    </row>
    <row r="2408" spans="1:9" x14ac:dyDescent="0.35">
      <c r="A2408" s="376" t="s">
        <v>1605</v>
      </c>
      <c r="B2408" s="376" t="s">
        <v>1609</v>
      </c>
      <c r="C2408" s="376" t="s">
        <v>1046</v>
      </c>
      <c r="D2408" s="376">
        <v>2024</v>
      </c>
      <c r="E2408" s="376">
        <v>2031</v>
      </c>
      <c r="F2408" s="376">
        <v>0.23884589662749595</v>
      </c>
      <c r="G2408" s="376">
        <v>10426.102375692073</v>
      </c>
      <c r="H2408" s="376">
        <v>0</v>
      </c>
      <c r="I2408" s="376">
        <v>1</v>
      </c>
    </row>
    <row r="2409" spans="1:9" x14ac:dyDescent="0.35">
      <c r="A2409" s="376" t="s">
        <v>1605</v>
      </c>
      <c r="B2409" s="376" t="s">
        <v>1609</v>
      </c>
      <c r="C2409" s="376" t="s">
        <v>644</v>
      </c>
      <c r="D2409" s="376">
        <v>2024</v>
      </c>
      <c r="E2409" s="376">
        <v>2031</v>
      </c>
      <c r="F2409" s="376">
        <v>0.23884589662749595</v>
      </c>
      <c r="G2409" s="376">
        <v>10426.102375692073</v>
      </c>
      <c r="H2409" s="376">
        <v>0</v>
      </c>
      <c r="I2409" s="376">
        <v>1</v>
      </c>
    </row>
    <row r="2410" spans="1:9" x14ac:dyDescent="0.35">
      <c r="A2410" s="376" t="s">
        <v>1605</v>
      </c>
      <c r="B2410" s="376" t="s">
        <v>1609</v>
      </c>
      <c r="C2410" s="376" t="s">
        <v>628</v>
      </c>
      <c r="D2410" s="376">
        <v>2024</v>
      </c>
      <c r="E2410" s="376">
        <v>2031</v>
      </c>
      <c r="F2410" s="376">
        <v>0.23884589662749595</v>
      </c>
      <c r="G2410" s="376">
        <v>10426.102375692073</v>
      </c>
      <c r="H2410" s="376">
        <v>0</v>
      </c>
      <c r="I2410" s="376">
        <v>1</v>
      </c>
    </row>
    <row r="2411" spans="1:9" x14ac:dyDescent="0.35">
      <c r="A2411" s="376" t="s">
        <v>1605</v>
      </c>
      <c r="B2411" s="376" t="s">
        <v>1609</v>
      </c>
      <c r="C2411" s="376" t="s">
        <v>1051</v>
      </c>
      <c r="D2411" s="376">
        <v>2024</v>
      </c>
      <c r="E2411" s="376">
        <v>2031</v>
      </c>
      <c r="F2411" s="376">
        <v>0.23884589662749595</v>
      </c>
      <c r="G2411" s="376">
        <v>10426.102375692073</v>
      </c>
      <c r="H2411" s="376">
        <v>0</v>
      </c>
      <c r="I2411" s="376">
        <v>1</v>
      </c>
    </row>
    <row r="2412" spans="1:9" x14ac:dyDescent="0.35">
      <c r="A2412" s="376" t="s">
        <v>1605</v>
      </c>
      <c r="B2412" s="376" t="s">
        <v>1609</v>
      </c>
      <c r="C2412" s="376" t="s">
        <v>1054</v>
      </c>
      <c r="D2412" s="376">
        <v>2024</v>
      </c>
      <c r="E2412" s="376">
        <v>2031</v>
      </c>
      <c r="F2412" s="376">
        <v>0.23884589662749595</v>
      </c>
      <c r="G2412" s="376">
        <v>10426.102375692073</v>
      </c>
      <c r="H2412" s="376">
        <v>0</v>
      </c>
      <c r="I2412" s="376">
        <v>1</v>
      </c>
    </row>
    <row r="2413" spans="1:9" x14ac:dyDescent="0.35">
      <c r="A2413" s="376" t="s">
        <v>1636</v>
      </c>
      <c r="B2413" s="376" t="s">
        <v>1609</v>
      </c>
      <c r="C2413" s="376" t="s">
        <v>1046</v>
      </c>
      <c r="D2413" s="376">
        <v>2024</v>
      </c>
      <c r="E2413" s="376">
        <v>2024</v>
      </c>
      <c r="F2413" s="376">
        <v>1</v>
      </c>
      <c r="G2413" s="376">
        <v>3592.5747097887579</v>
      </c>
      <c r="H2413" s="376">
        <v>0</v>
      </c>
      <c r="I2413" s="376">
        <v>1</v>
      </c>
    </row>
    <row r="2414" spans="1:9" x14ac:dyDescent="0.35">
      <c r="A2414" s="376" t="s">
        <v>1636</v>
      </c>
      <c r="B2414" s="376" t="s">
        <v>1609</v>
      </c>
      <c r="C2414" s="376" t="s">
        <v>644</v>
      </c>
      <c r="D2414" s="376">
        <v>2024</v>
      </c>
      <c r="E2414" s="376">
        <v>2024</v>
      </c>
      <c r="F2414" s="376">
        <v>1</v>
      </c>
      <c r="G2414" s="376">
        <v>3592.5747097887579</v>
      </c>
      <c r="H2414" s="376">
        <v>0</v>
      </c>
      <c r="I2414" s="376">
        <v>1</v>
      </c>
    </row>
    <row r="2415" spans="1:9" x14ac:dyDescent="0.35">
      <c r="A2415" s="376" t="s">
        <v>1636</v>
      </c>
      <c r="B2415" s="376" t="s">
        <v>1609</v>
      </c>
      <c r="C2415" s="376" t="s">
        <v>628</v>
      </c>
      <c r="D2415" s="376">
        <v>2024</v>
      </c>
      <c r="E2415" s="376">
        <v>2024</v>
      </c>
      <c r="F2415" s="376">
        <v>1</v>
      </c>
      <c r="G2415" s="376">
        <v>3592.5747097887579</v>
      </c>
      <c r="H2415" s="376">
        <v>0</v>
      </c>
      <c r="I2415" s="376">
        <v>1</v>
      </c>
    </row>
    <row r="2416" spans="1:9" x14ac:dyDescent="0.35">
      <c r="A2416" s="376" t="s">
        <v>1636</v>
      </c>
      <c r="B2416" s="376" t="s">
        <v>1609</v>
      </c>
      <c r="C2416" s="376" t="s">
        <v>1051</v>
      </c>
      <c r="D2416" s="376">
        <v>2024</v>
      </c>
      <c r="E2416" s="376">
        <v>2024</v>
      </c>
      <c r="F2416" s="376">
        <v>1</v>
      </c>
      <c r="G2416" s="376">
        <v>3592.5747097887579</v>
      </c>
      <c r="H2416" s="376">
        <v>0</v>
      </c>
      <c r="I2416" s="376">
        <v>1</v>
      </c>
    </row>
    <row r="2417" spans="1:9" x14ac:dyDescent="0.35">
      <c r="A2417" s="376" t="s">
        <v>1636</v>
      </c>
      <c r="B2417" s="376" t="s">
        <v>1609</v>
      </c>
      <c r="C2417" s="376" t="s">
        <v>1054</v>
      </c>
      <c r="D2417" s="376">
        <v>2024</v>
      </c>
      <c r="E2417" s="376">
        <v>2024</v>
      </c>
      <c r="F2417" s="376">
        <v>1</v>
      </c>
      <c r="G2417" s="376">
        <v>3592.5747097887579</v>
      </c>
      <c r="H2417" s="376">
        <v>0</v>
      </c>
      <c r="I2417" s="376">
        <v>1</v>
      </c>
    </row>
    <row r="2418" spans="1:9" x14ac:dyDescent="0.35">
      <c r="A2418" s="376" t="s">
        <v>1636</v>
      </c>
      <c r="B2418" s="376" t="s">
        <v>1609</v>
      </c>
      <c r="C2418" s="376" t="s">
        <v>1046</v>
      </c>
      <c r="D2418" s="376">
        <v>2024</v>
      </c>
      <c r="E2418" s="376">
        <v>2025</v>
      </c>
      <c r="F2418" s="376">
        <v>1</v>
      </c>
      <c r="G2418" s="376">
        <v>3592.5747097887579</v>
      </c>
      <c r="H2418" s="376">
        <v>0</v>
      </c>
      <c r="I2418" s="376">
        <v>1</v>
      </c>
    </row>
    <row r="2419" spans="1:9" x14ac:dyDescent="0.35">
      <c r="A2419" s="376" t="s">
        <v>1636</v>
      </c>
      <c r="B2419" s="376" t="s">
        <v>1609</v>
      </c>
      <c r="C2419" s="376" t="s">
        <v>644</v>
      </c>
      <c r="D2419" s="376">
        <v>2024</v>
      </c>
      <c r="E2419" s="376">
        <v>2025</v>
      </c>
      <c r="F2419" s="376">
        <v>1</v>
      </c>
      <c r="G2419" s="376">
        <v>3592.5747097887579</v>
      </c>
      <c r="H2419" s="376">
        <v>0</v>
      </c>
      <c r="I2419" s="376">
        <v>1</v>
      </c>
    </row>
    <row r="2420" spans="1:9" x14ac:dyDescent="0.35">
      <c r="A2420" s="376" t="s">
        <v>1636</v>
      </c>
      <c r="B2420" s="376" t="s">
        <v>1609</v>
      </c>
      <c r="C2420" s="376" t="s">
        <v>628</v>
      </c>
      <c r="D2420" s="376">
        <v>2024</v>
      </c>
      <c r="E2420" s="376">
        <v>2025</v>
      </c>
      <c r="F2420" s="376">
        <v>1</v>
      </c>
      <c r="G2420" s="376">
        <v>3592.5747097887579</v>
      </c>
      <c r="H2420" s="376">
        <v>0</v>
      </c>
      <c r="I2420" s="376">
        <v>1</v>
      </c>
    </row>
    <row r="2421" spans="1:9" x14ac:dyDescent="0.35">
      <c r="A2421" s="376" t="s">
        <v>1636</v>
      </c>
      <c r="B2421" s="376" t="s">
        <v>1609</v>
      </c>
      <c r="C2421" s="376" t="s">
        <v>1051</v>
      </c>
      <c r="D2421" s="376">
        <v>2024</v>
      </c>
      <c r="E2421" s="376">
        <v>2025</v>
      </c>
      <c r="F2421" s="376">
        <v>1</v>
      </c>
      <c r="G2421" s="376">
        <v>3592.5747097887579</v>
      </c>
      <c r="H2421" s="376">
        <v>0</v>
      </c>
      <c r="I2421" s="376">
        <v>1</v>
      </c>
    </row>
    <row r="2422" spans="1:9" x14ac:dyDescent="0.35">
      <c r="A2422" s="376" t="s">
        <v>1636</v>
      </c>
      <c r="B2422" s="376" t="s">
        <v>1609</v>
      </c>
      <c r="C2422" s="376" t="s">
        <v>1054</v>
      </c>
      <c r="D2422" s="376">
        <v>2024</v>
      </c>
      <c r="E2422" s="376">
        <v>2025</v>
      </c>
      <c r="F2422" s="376">
        <v>1</v>
      </c>
      <c r="G2422" s="376">
        <v>3592.5747097887579</v>
      </c>
      <c r="H2422" s="376">
        <v>0</v>
      </c>
      <c r="I2422" s="376">
        <v>1</v>
      </c>
    </row>
    <row r="2423" spans="1:9" x14ac:dyDescent="0.35">
      <c r="A2423" s="376" t="s">
        <v>1636</v>
      </c>
      <c r="B2423" s="376" t="s">
        <v>1609</v>
      </c>
      <c r="C2423" s="376" t="s">
        <v>1046</v>
      </c>
      <c r="D2423" s="376">
        <v>2024</v>
      </c>
      <c r="E2423" s="376">
        <v>2026</v>
      </c>
      <c r="F2423" s="376">
        <v>1</v>
      </c>
      <c r="G2423" s="376">
        <v>3592.5747097887579</v>
      </c>
      <c r="H2423" s="376">
        <v>0</v>
      </c>
      <c r="I2423" s="376">
        <v>1</v>
      </c>
    </row>
    <row r="2424" spans="1:9" x14ac:dyDescent="0.35">
      <c r="A2424" s="376" t="s">
        <v>1636</v>
      </c>
      <c r="B2424" s="376" t="s">
        <v>1609</v>
      </c>
      <c r="C2424" s="376" t="s">
        <v>644</v>
      </c>
      <c r="D2424" s="376">
        <v>2024</v>
      </c>
      <c r="E2424" s="376">
        <v>2026</v>
      </c>
      <c r="F2424" s="376">
        <v>1</v>
      </c>
      <c r="G2424" s="376">
        <v>3592.5747097887579</v>
      </c>
      <c r="H2424" s="376">
        <v>0</v>
      </c>
      <c r="I2424" s="376">
        <v>1</v>
      </c>
    </row>
    <row r="2425" spans="1:9" x14ac:dyDescent="0.35">
      <c r="A2425" s="376" t="s">
        <v>1636</v>
      </c>
      <c r="B2425" s="376" t="s">
        <v>1609</v>
      </c>
      <c r="C2425" s="376" t="s">
        <v>628</v>
      </c>
      <c r="D2425" s="376">
        <v>2024</v>
      </c>
      <c r="E2425" s="376">
        <v>2026</v>
      </c>
      <c r="F2425" s="376">
        <v>1</v>
      </c>
      <c r="G2425" s="376">
        <v>3592.5747097887579</v>
      </c>
      <c r="H2425" s="376">
        <v>0</v>
      </c>
      <c r="I2425" s="376">
        <v>1</v>
      </c>
    </row>
    <row r="2426" spans="1:9" x14ac:dyDescent="0.35">
      <c r="A2426" s="376" t="s">
        <v>1636</v>
      </c>
      <c r="B2426" s="376" t="s">
        <v>1609</v>
      </c>
      <c r="C2426" s="376" t="s">
        <v>1051</v>
      </c>
      <c r="D2426" s="376">
        <v>2024</v>
      </c>
      <c r="E2426" s="376">
        <v>2026</v>
      </c>
      <c r="F2426" s="376">
        <v>1</v>
      </c>
      <c r="G2426" s="376">
        <v>3592.5747097887579</v>
      </c>
      <c r="H2426" s="376">
        <v>0</v>
      </c>
      <c r="I2426" s="376">
        <v>1</v>
      </c>
    </row>
    <row r="2427" spans="1:9" x14ac:dyDescent="0.35">
      <c r="A2427" s="376" t="s">
        <v>1636</v>
      </c>
      <c r="B2427" s="376" t="s">
        <v>1609</v>
      </c>
      <c r="C2427" s="376" t="s">
        <v>1054</v>
      </c>
      <c r="D2427" s="376">
        <v>2024</v>
      </c>
      <c r="E2427" s="376">
        <v>2026</v>
      </c>
      <c r="F2427" s="376">
        <v>1</v>
      </c>
      <c r="G2427" s="376">
        <v>3592.5747097887579</v>
      </c>
      <c r="H2427" s="376">
        <v>0</v>
      </c>
      <c r="I2427" s="376">
        <v>1</v>
      </c>
    </row>
    <row r="2428" spans="1:9" x14ac:dyDescent="0.35">
      <c r="A2428" s="376" t="s">
        <v>1636</v>
      </c>
      <c r="B2428" s="376" t="s">
        <v>1609</v>
      </c>
      <c r="C2428" s="376" t="s">
        <v>1046</v>
      </c>
      <c r="D2428" s="376">
        <v>2024</v>
      </c>
      <c r="E2428" s="376">
        <v>2027</v>
      </c>
      <c r="F2428" s="376">
        <v>1</v>
      </c>
      <c r="G2428" s="376">
        <v>3592.5747097887579</v>
      </c>
      <c r="H2428" s="376">
        <v>0</v>
      </c>
      <c r="I2428" s="376">
        <v>1</v>
      </c>
    </row>
    <row r="2429" spans="1:9" x14ac:dyDescent="0.35">
      <c r="A2429" s="376" t="s">
        <v>1636</v>
      </c>
      <c r="B2429" s="376" t="s">
        <v>1609</v>
      </c>
      <c r="C2429" s="376" t="s">
        <v>644</v>
      </c>
      <c r="D2429" s="376">
        <v>2024</v>
      </c>
      <c r="E2429" s="376">
        <v>2027</v>
      </c>
      <c r="F2429" s="376">
        <v>1</v>
      </c>
      <c r="G2429" s="376">
        <v>3592.5747097887579</v>
      </c>
      <c r="H2429" s="376">
        <v>0</v>
      </c>
      <c r="I2429" s="376">
        <v>1</v>
      </c>
    </row>
    <row r="2430" spans="1:9" x14ac:dyDescent="0.35">
      <c r="A2430" s="376" t="s">
        <v>1636</v>
      </c>
      <c r="B2430" s="376" t="s">
        <v>1609</v>
      </c>
      <c r="C2430" s="376" t="s">
        <v>628</v>
      </c>
      <c r="D2430" s="376">
        <v>2024</v>
      </c>
      <c r="E2430" s="376">
        <v>2027</v>
      </c>
      <c r="F2430" s="376">
        <v>1</v>
      </c>
      <c r="G2430" s="376">
        <v>3592.5747097887579</v>
      </c>
      <c r="H2430" s="376">
        <v>0</v>
      </c>
      <c r="I2430" s="376">
        <v>1</v>
      </c>
    </row>
    <row r="2431" spans="1:9" x14ac:dyDescent="0.35">
      <c r="A2431" s="376" t="s">
        <v>1636</v>
      </c>
      <c r="B2431" s="376" t="s">
        <v>1609</v>
      </c>
      <c r="C2431" s="376" t="s">
        <v>1051</v>
      </c>
      <c r="D2431" s="376">
        <v>2024</v>
      </c>
      <c r="E2431" s="376">
        <v>2027</v>
      </c>
      <c r="F2431" s="376">
        <v>1</v>
      </c>
      <c r="G2431" s="376">
        <v>3592.5747097887579</v>
      </c>
      <c r="H2431" s="376">
        <v>0</v>
      </c>
      <c r="I2431" s="376">
        <v>1</v>
      </c>
    </row>
    <row r="2432" spans="1:9" x14ac:dyDescent="0.35">
      <c r="A2432" s="376" t="s">
        <v>1636</v>
      </c>
      <c r="B2432" s="376" t="s">
        <v>1609</v>
      </c>
      <c r="C2432" s="376" t="s">
        <v>1054</v>
      </c>
      <c r="D2432" s="376">
        <v>2024</v>
      </c>
      <c r="E2432" s="376">
        <v>2027</v>
      </c>
      <c r="F2432" s="376">
        <v>1</v>
      </c>
      <c r="G2432" s="376">
        <v>3592.5747097887579</v>
      </c>
      <c r="H2432" s="376">
        <v>0</v>
      </c>
      <c r="I2432" s="376">
        <v>1</v>
      </c>
    </row>
    <row r="2433" spans="1:9" x14ac:dyDescent="0.35">
      <c r="A2433" s="376" t="s">
        <v>1636</v>
      </c>
      <c r="B2433" s="376" t="s">
        <v>1609</v>
      </c>
      <c r="C2433" s="376" t="s">
        <v>1046</v>
      </c>
      <c r="D2433" s="376">
        <v>2024</v>
      </c>
      <c r="E2433" s="376">
        <v>2028</v>
      </c>
      <c r="F2433" s="376">
        <v>1</v>
      </c>
      <c r="G2433" s="376">
        <v>3592.5747097887579</v>
      </c>
      <c r="H2433" s="376">
        <v>0</v>
      </c>
      <c r="I2433" s="376">
        <v>1</v>
      </c>
    </row>
    <row r="2434" spans="1:9" x14ac:dyDescent="0.35">
      <c r="A2434" s="376" t="s">
        <v>1636</v>
      </c>
      <c r="B2434" s="376" t="s">
        <v>1609</v>
      </c>
      <c r="C2434" s="376" t="s">
        <v>644</v>
      </c>
      <c r="D2434" s="376">
        <v>2024</v>
      </c>
      <c r="E2434" s="376">
        <v>2028</v>
      </c>
      <c r="F2434" s="376">
        <v>1</v>
      </c>
      <c r="G2434" s="376">
        <v>3592.5747097887579</v>
      </c>
      <c r="H2434" s="376">
        <v>0</v>
      </c>
      <c r="I2434" s="376">
        <v>1</v>
      </c>
    </row>
    <row r="2435" spans="1:9" x14ac:dyDescent="0.35">
      <c r="A2435" s="376" t="s">
        <v>1636</v>
      </c>
      <c r="B2435" s="376" t="s">
        <v>1609</v>
      </c>
      <c r="C2435" s="376" t="s">
        <v>628</v>
      </c>
      <c r="D2435" s="376">
        <v>2024</v>
      </c>
      <c r="E2435" s="376">
        <v>2028</v>
      </c>
      <c r="F2435" s="376">
        <v>1</v>
      </c>
      <c r="G2435" s="376">
        <v>3592.5747097887579</v>
      </c>
      <c r="H2435" s="376">
        <v>0</v>
      </c>
      <c r="I2435" s="376">
        <v>1</v>
      </c>
    </row>
    <row r="2436" spans="1:9" x14ac:dyDescent="0.35">
      <c r="A2436" s="376" t="s">
        <v>1636</v>
      </c>
      <c r="B2436" s="376" t="s">
        <v>1609</v>
      </c>
      <c r="C2436" s="376" t="s">
        <v>1051</v>
      </c>
      <c r="D2436" s="376">
        <v>2024</v>
      </c>
      <c r="E2436" s="376">
        <v>2028</v>
      </c>
      <c r="F2436" s="376">
        <v>1</v>
      </c>
      <c r="G2436" s="376">
        <v>3592.5747097887579</v>
      </c>
      <c r="H2436" s="376">
        <v>0</v>
      </c>
      <c r="I2436" s="376">
        <v>1</v>
      </c>
    </row>
    <row r="2437" spans="1:9" x14ac:dyDescent="0.35">
      <c r="A2437" s="376" t="s">
        <v>1636</v>
      </c>
      <c r="B2437" s="376" t="s">
        <v>1609</v>
      </c>
      <c r="C2437" s="376" t="s">
        <v>1054</v>
      </c>
      <c r="D2437" s="376">
        <v>2024</v>
      </c>
      <c r="E2437" s="376">
        <v>2028</v>
      </c>
      <c r="F2437" s="376">
        <v>1</v>
      </c>
      <c r="G2437" s="376">
        <v>3592.5747097887579</v>
      </c>
      <c r="H2437" s="376">
        <v>0</v>
      </c>
      <c r="I2437" s="376">
        <v>1</v>
      </c>
    </row>
    <row r="2438" spans="1:9" x14ac:dyDescent="0.35">
      <c r="A2438" s="376" t="s">
        <v>1636</v>
      </c>
      <c r="B2438" s="376" t="s">
        <v>1609</v>
      </c>
      <c r="C2438" s="376" t="s">
        <v>1046</v>
      </c>
      <c r="D2438" s="376">
        <v>2024</v>
      </c>
      <c r="E2438" s="376">
        <v>2029</v>
      </c>
      <c r="F2438" s="376">
        <v>1</v>
      </c>
      <c r="G2438" s="376">
        <v>3592.5747097887579</v>
      </c>
      <c r="H2438" s="376">
        <v>0</v>
      </c>
      <c r="I2438" s="376">
        <v>1</v>
      </c>
    </row>
    <row r="2439" spans="1:9" x14ac:dyDescent="0.35">
      <c r="A2439" s="376" t="s">
        <v>1636</v>
      </c>
      <c r="B2439" s="376" t="s">
        <v>1609</v>
      </c>
      <c r="C2439" s="376" t="s">
        <v>644</v>
      </c>
      <c r="D2439" s="376">
        <v>2024</v>
      </c>
      <c r="E2439" s="376">
        <v>2029</v>
      </c>
      <c r="F2439" s="376">
        <v>1</v>
      </c>
      <c r="G2439" s="376">
        <v>3592.5747097887579</v>
      </c>
      <c r="H2439" s="376">
        <v>0</v>
      </c>
      <c r="I2439" s="376">
        <v>1</v>
      </c>
    </row>
    <row r="2440" spans="1:9" x14ac:dyDescent="0.35">
      <c r="A2440" s="376" t="s">
        <v>1636</v>
      </c>
      <c r="B2440" s="376" t="s">
        <v>1609</v>
      </c>
      <c r="C2440" s="376" t="s">
        <v>628</v>
      </c>
      <c r="D2440" s="376">
        <v>2024</v>
      </c>
      <c r="E2440" s="376">
        <v>2029</v>
      </c>
      <c r="F2440" s="376">
        <v>1</v>
      </c>
      <c r="G2440" s="376">
        <v>3592.5747097887579</v>
      </c>
      <c r="H2440" s="376">
        <v>0</v>
      </c>
      <c r="I2440" s="376">
        <v>1</v>
      </c>
    </row>
    <row r="2441" spans="1:9" x14ac:dyDescent="0.35">
      <c r="A2441" s="376" t="s">
        <v>1636</v>
      </c>
      <c r="B2441" s="376" t="s">
        <v>1609</v>
      </c>
      <c r="C2441" s="376" t="s">
        <v>1051</v>
      </c>
      <c r="D2441" s="376">
        <v>2024</v>
      </c>
      <c r="E2441" s="376">
        <v>2029</v>
      </c>
      <c r="F2441" s="376">
        <v>1</v>
      </c>
      <c r="G2441" s="376">
        <v>3592.5747097887579</v>
      </c>
      <c r="H2441" s="376">
        <v>0</v>
      </c>
      <c r="I2441" s="376">
        <v>1</v>
      </c>
    </row>
    <row r="2442" spans="1:9" x14ac:dyDescent="0.35">
      <c r="A2442" s="376" t="s">
        <v>1636</v>
      </c>
      <c r="B2442" s="376" t="s">
        <v>1609</v>
      </c>
      <c r="C2442" s="376" t="s">
        <v>1054</v>
      </c>
      <c r="D2442" s="376">
        <v>2024</v>
      </c>
      <c r="E2442" s="376">
        <v>2029</v>
      </c>
      <c r="F2442" s="376">
        <v>1</v>
      </c>
      <c r="G2442" s="376">
        <v>3592.5747097887579</v>
      </c>
      <c r="H2442" s="376">
        <v>0</v>
      </c>
      <c r="I2442" s="376">
        <v>1</v>
      </c>
    </row>
    <row r="2443" spans="1:9" x14ac:dyDescent="0.35">
      <c r="A2443" s="376" t="s">
        <v>1636</v>
      </c>
      <c r="B2443" s="376" t="s">
        <v>1609</v>
      </c>
      <c r="C2443" s="376" t="s">
        <v>1046</v>
      </c>
      <c r="D2443" s="376">
        <v>2024</v>
      </c>
      <c r="E2443" s="376">
        <v>2030</v>
      </c>
      <c r="F2443" s="376">
        <v>1</v>
      </c>
      <c r="G2443" s="376">
        <v>3592.5747097887579</v>
      </c>
      <c r="H2443" s="376">
        <v>0</v>
      </c>
      <c r="I2443" s="376">
        <v>1</v>
      </c>
    </row>
    <row r="2444" spans="1:9" x14ac:dyDescent="0.35">
      <c r="A2444" s="376" t="s">
        <v>1636</v>
      </c>
      <c r="B2444" s="376" t="s">
        <v>1609</v>
      </c>
      <c r="C2444" s="376" t="s">
        <v>644</v>
      </c>
      <c r="D2444" s="376">
        <v>2024</v>
      </c>
      <c r="E2444" s="376">
        <v>2030</v>
      </c>
      <c r="F2444" s="376">
        <v>1</v>
      </c>
      <c r="G2444" s="376">
        <v>3592.5747097887579</v>
      </c>
      <c r="H2444" s="376">
        <v>0</v>
      </c>
      <c r="I2444" s="376">
        <v>1</v>
      </c>
    </row>
    <row r="2445" spans="1:9" x14ac:dyDescent="0.35">
      <c r="A2445" s="376" t="s">
        <v>1636</v>
      </c>
      <c r="B2445" s="376" t="s">
        <v>1609</v>
      </c>
      <c r="C2445" s="376" t="s">
        <v>628</v>
      </c>
      <c r="D2445" s="376">
        <v>2024</v>
      </c>
      <c r="E2445" s="376">
        <v>2030</v>
      </c>
      <c r="F2445" s="376">
        <v>1</v>
      </c>
      <c r="G2445" s="376">
        <v>3592.5747097887579</v>
      </c>
      <c r="H2445" s="376">
        <v>0</v>
      </c>
      <c r="I2445" s="376">
        <v>1</v>
      </c>
    </row>
    <row r="2446" spans="1:9" x14ac:dyDescent="0.35">
      <c r="A2446" s="376" t="s">
        <v>1636</v>
      </c>
      <c r="B2446" s="376" t="s">
        <v>1609</v>
      </c>
      <c r="C2446" s="376" t="s">
        <v>1051</v>
      </c>
      <c r="D2446" s="376">
        <v>2024</v>
      </c>
      <c r="E2446" s="376">
        <v>2030</v>
      </c>
      <c r="F2446" s="376">
        <v>1</v>
      </c>
      <c r="G2446" s="376">
        <v>3592.5747097887579</v>
      </c>
      <c r="H2446" s="376">
        <v>0</v>
      </c>
      <c r="I2446" s="376">
        <v>1</v>
      </c>
    </row>
    <row r="2447" spans="1:9" x14ac:dyDescent="0.35">
      <c r="A2447" s="376" t="s">
        <v>1636</v>
      </c>
      <c r="B2447" s="376" t="s">
        <v>1609</v>
      </c>
      <c r="C2447" s="376" t="s">
        <v>1054</v>
      </c>
      <c r="D2447" s="376">
        <v>2024</v>
      </c>
      <c r="E2447" s="376">
        <v>2030</v>
      </c>
      <c r="F2447" s="376">
        <v>1</v>
      </c>
      <c r="G2447" s="376">
        <v>3592.5747097887579</v>
      </c>
      <c r="H2447" s="376">
        <v>0</v>
      </c>
      <c r="I2447" s="376">
        <v>1</v>
      </c>
    </row>
    <row r="2448" spans="1:9" x14ac:dyDescent="0.35">
      <c r="A2448" s="376" t="s">
        <v>1636</v>
      </c>
      <c r="B2448" s="376" t="s">
        <v>1609</v>
      </c>
      <c r="C2448" s="376" t="s">
        <v>1046</v>
      </c>
      <c r="D2448" s="376">
        <v>2024</v>
      </c>
      <c r="E2448" s="376">
        <v>2031</v>
      </c>
      <c r="F2448" s="376">
        <v>1</v>
      </c>
      <c r="G2448" s="376">
        <v>3592.5747097887579</v>
      </c>
      <c r="H2448" s="376">
        <v>0</v>
      </c>
      <c r="I2448" s="376">
        <v>1</v>
      </c>
    </row>
    <row r="2449" spans="1:9" x14ac:dyDescent="0.35">
      <c r="A2449" s="376" t="s">
        <v>1636</v>
      </c>
      <c r="B2449" s="376" t="s">
        <v>1609</v>
      </c>
      <c r="C2449" s="376" t="s">
        <v>644</v>
      </c>
      <c r="D2449" s="376">
        <v>2024</v>
      </c>
      <c r="E2449" s="376">
        <v>2031</v>
      </c>
      <c r="F2449" s="376">
        <v>1</v>
      </c>
      <c r="G2449" s="376">
        <v>3592.5747097887579</v>
      </c>
      <c r="H2449" s="376">
        <v>0</v>
      </c>
      <c r="I2449" s="376">
        <v>1</v>
      </c>
    </row>
    <row r="2450" spans="1:9" x14ac:dyDescent="0.35">
      <c r="A2450" s="376" t="s">
        <v>1636</v>
      </c>
      <c r="B2450" s="376" t="s">
        <v>1609</v>
      </c>
      <c r="C2450" s="376" t="s">
        <v>628</v>
      </c>
      <c r="D2450" s="376">
        <v>2024</v>
      </c>
      <c r="E2450" s="376">
        <v>2031</v>
      </c>
      <c r="F2450" s="376">
        <v>1</v>
      </c>
      <c r="G2450" s="376">
        <v>3592.5747097887579</v>
      </c>
      <c r="H2450" s="376">
        <v>0</v>
      </c>
      <c r="I2450" s="376">
        <v>1</v>
      </c>
    </row>
    <row r="2451" spans="1:9" x14ac:dyDescent="0.35">
      <c r="A2451" s="376" t="s">
        <v>1636</v>
      </c>
      <c r="B2451" s="376" t="s">
        <v>1609</v>
      </c>
      <c r="C2451" s="376" t="s">
        <v>1051</v>
      </c>
      <c r="D2451" s="376">
        <v>2024</v>
      </c>
      <c r="E2451" s="376">
        <v>2031</v>
      </c>
      <c r="F2451" s="376">
        <v>1</v>
      </c>
      <c r="G2451" s="376">
        <v>3592.5747097887579</v>
      </c>
      <c r="H2451" s="376">
        <v>0</v>
      </c>
      <c r="I2451" s="376">
        <v>1</v>
      </c>
    </row>
    <row r="2452" spans="1:9" x14ac:dyDescent="0.35">
      <c r="A2452" s="376" t="s">
        <v>1636</v>
      </c>
      <c r="B2452" s="376" t="s">
        <v>1609</v>
      </c>
      <c r="C2452" s="376" t="s">
        <v>1054</v>
      </c>
      <c r="D2452" s="376">
        <v>2024</v>
      </c>
      <c r="E2452" s="376">
        <v>2031</v>
      </c>
      <c r="F2452" s="376">
        <v>1</v>
      </c>
      <c r="G2452" s="376">
        <v>3592.5747097887579</v>
      </c>
      <c r="H2452" s="376">
        <v>0</v>
      </c>
      <c r="I2452" s="376">
        <v>1</v>
      </c>
    </row>
    <row r="2453" spans="1:9" x14ac:dyDescent="0.35">
      <c r="A2453" s="376" t="s">
        <v>1606</v>
      </c>
      <c r="B2453" s="376" t="s">
        <v>1609</v>
      </c>
      <c r="C2453" s="376" t="s">
        <v>1046</v>
      </c>
      <c r="D2453" s="376">
        <v>2024</v>
      </c>
      <c r="E2453" s="376">
        <v>2024</v>
      </c>
      <c r="F2453" s="376">
        <v>1</v>
      </c>
      <c r="G2453" s="376">
        <v>5993.361184792012</v>
      </c>
      <c r="H2453" s="376">
        <v>0</v>
      </c>
      <c r="I2453" s="376">
        <v>1</v>
      </c>
    </row>
    <row r="2454" spans="1:9" x14ac:dyDescent="0.35">
      <c r="A2454" s="376" t="s">
        <v>1606</v>
      </c>
      <c r="B2454" s="376" t="s">
        <v>1609</v>
      </c>
      <c r="C2454" s="376" t="s">
        <v>644</v>
      </c>
      <c r="D2454" s="376">
        <v>2024</v>
      </c>
      <c r="E2454" s="376">
        <v>2024</v>
      </c>
      <c r="F2454" s="376">
        <v>1</v>
      </c>
      <c r="G2454" s="376">
        <v>5993.361184792012</v>
      </c>
      <c r="H2454" s="376">
        <v>0</v>
      </c>
      <c r="I2454" s="376">
        <v>1</v>
      </c>
    </row>
    <row r="2455" spans="1:9" x14ac:dyDescent="0.35">
      <c r="A2455" s="376" t="s">
        <v>1606</v>
      </c>
      <c r="B2455" s="376" t="s">
        <v>1609</v>
      </c>
      <c r="C2455" s="376" t="s">
        <v>628</v>
      </c>
      <c r="D2455" s="376">
        <v>2024</v>
      </c>
      <c r="E2455" s="376">
        <v>2024</v>
      </c>
      <c r="F2455" s="376">
        <v>1</v>
      </c>
      <c r="G2455" s="376">
        <v>5993.361184792012</v>
      </c>
      <c r="H2455" s="376">
        <v>0</v>
      </c>
      <c r="I2455" s="376">
        <v>1</v>
      </c>
    </row>
    <row r="2456" spans="1:9" x14ac:dyDescent="0.35">
      <c r="A2456" s="376" t="s">
        <v>1606</v>
      </c>
      <c r="B2456" s="376" t="s">
        <v>1609</v>
      </c>
      <c r="C2456" s="376" t="s">
        <v>1051</v>
      </c>
      <c r="D2456" s="376">
        <v>2024</v>
      </c>
      <c r="E2456" s="376">
        <v>2024</v>
      </c>
      <c r="F2456" s="376">
        <v>1</v>
      </c>
      <c r="G2456" s="376">
        <v>5993.361184792012</v>
      </c>
      <c r="H2456" s="376">
        <v>0</v>
      </c>
      <c r="I2456" s="376">
        <v>1</v>
      </c>
    </row>
    <row r="2457" spans="1:9" x14ac:dyDescent="0.35">
      <c r="A2457" s="376" t="s">
        <v>1606</v>
      </c>
      <c r="B2457" s="376" t="s">
        <v>1609</v>
      </c>
      <c r="C2457" s="376" t="s">
        <v>1054</v>
      </c>
      <c r="D2457" s="376">
        <v>2024</v>
      </c>
      <c r="E2457" s="376">
        <v>2024</v>
      </c>
      <c r="F2457" s="376">
        <v>1</v>
      </c>
      <c r="G2457" s="376">
        <v>5993.361184792012</v>
      </c>
      <c r="H2457" s="376">
        <v>0</v>
      </c>
      <c r="I2457" s="376">
        <v>1</v>
      </c>
    </row>
    <row r="2458" spans="1:9" x14ac:dyDescent="0.35">
      <c r="A2458" s="376" t="s">
        <v>1606</v>
      </c>
      <c r="B2458" s="376" t="s">
        <v>1609</v>
      </c>
      <c r="C2458" s="376" t="s">
        <v>1046</v>
      </c>
      <c r="D2458" s="376">
        <v>2024</v>
      </c>
      <c r="E2458" s="376">
        <v>2025</v>
      </c>
      <c r="F2458" s="376">
        <v>1</v>
      </c>
      <c r="G2458" s="376">
        <v>5993.361184792012</v>
      </c>
      <c r="H2458" s="376">
        <v>0</v>
      </c>
      <c r="I2458" s="376">
        <v>1</v>
      </c>
    </row>
    <row r="2459" spans="1:9" x14ac:dyDescent="0.35">
      <c r="A2459" s="376" t="s">
        <v>1606</v>
      </c>
      <c r="B2459" s="376" t="s">
        <v>1609</v>
      </c>
      <c r="C2459" s="376" t="s">
        <v>644</v>
      </c>
      <c r="D2459" s="376">
        <v>2024</v>
      </c>
      <c r="E2459" s="376">
        <v>2025</v>
      </c>
      <c r="F2459" s="376">
        <v>1</v>
      </c>
      <c r="G2459" s="376">
        <v>5993.361184792012</v>
      </c>
      <c r="H2459" s="376">
        <v>0</v>
      </c>
      <c r="I2459" s="376">
        <v>1</v>
      </c>
    </row>
    <row r="2460" spans="1:9" x14ac:dyDescent="0.35">
      <c r="A2460" s="376" t="s">
        <v>1606</v>
      </c>
      <c r="B2460" s="376" t="s">
        <v>1609</v>
      </c>
      <c r="C2460" s="376" t="s">
        <v>628</v>
      </c>
      <c r="D2460" s="376">
        <v>2024</v>
      </c>
      <c r="E2460" s="376">
        <v>2025</v>
      </c>
      <c r="F2460" s="376">
        <v>1</v>
      </c>
      <c r="G2460" s="376">
        <v>5993.361184792012</v>
      </c>
      <c r="H2460" s="376">
        <v>0</v>
      </c>
      <c r="I2460" s="376">
        <v>1</v>
      </c>
    </row>
    <row r="2461" spans="1:9" x14ac:dyDescent="0.35">
      <c r="A2461" s="376" t="s">
        <v>1606</v>
      </c>
      <c r="B2461" s="376" t="s">
        <v>1609</v>
      </c>
      <c r="C2461" s="376" t="s">
        <v>1051</v>
      </c>
      <c r="D2461" s="376">
        <v>2024</v>
      </c>
      <c r="E2461" s="376">
        <v>2025</v>
      </c>
      <c r="F2461" s="376">
        <v>1</v>
      </c>
      <c r="G2461" s="376">
        <v>5993.361184792012</v>
      </c>
      <c r="H2461" s="376">
        <v>0</v>
      </c>
      <c r="I2461" s="376">
        <v>1</v>
      </c>
    </row>
    <row r="2462" spans="1:9" x14ac:dyDescent="0.35">
      <c r="A2462" s="376" t="s">
        <v>1606</v>
      </c>
      <c r="B2462" s="376" t="s">
        <v>1609</v>
      </c>
      <c r="C2462" s="376" t="s">
        <v>1054</v>
      </c>
      <c r="D2462" s="376">
        <v>2024</v>
      </c>
      <c r="E2462" s="376">
        <v>2025</v>
      </c>
      <c r="F2462" s="376">
        <v>1</v>
      </c>
      <c r="G2462" s="376">
        <v>5993.361184792012</v>
      </c>
      <c r="H2462" s="376">
        <v>0</v>
      </c>
      <c r="I2462" s="376">
        <v>1</v>
      </c>
    </row>
    <row r="2463" spans="1:9" x14ac:dyDescent="0.35">
      <c r="A2463" s="376" t="s">
        <v>1606</v>
      </c>
      <c r="B2463" s="376" t="s">
        <v>1609</v>
      </c>
      <c r="C2463" s="376" t="s">
        <v>1046</v>
      </c>
      <c r="D2463" s="376">
        <v>2024</v>
      </c>
      <c r="E2463" s="376">
        <v>2026</v>
      </c>
      <c r="F2463" s="376">
        <v>1</v>
      </c>
      <c r="G2463" s="376">
        <v>5993.361184792012</v>
      </c>
      <c r="H2463" s="376">
        <v>0</v>
      </c>
      <c r="I2463" s="376">
        <v>1</v>
      </c>
    </row>
    <row r="2464" spans="1:9" x14ac:dyDescent="0.35">
      <c r="A2464" s="376" t="s">
        <v>1606</v>
      </c>
      <c r="B2464" s="376" t="s">
        <v>1609</v>
      </c>
      <c r="C2464" s="376" t="s">
        <v>644</v>
      </c>
      <c r="D2464" s="376">
        <v>2024</v>
      </c>
      <c r="E2464" s="376">
        <v>2026</v>
      </c>
      <c r="F2464" s="376">
        <v>1</v>
      </c>
      <c r="G2464" s="376">
        <v>5993.361184792012</v>
      </c>
      <c r="H2464" s="376">
        <v>0</v>
      </c>
      <c r="I2464" s="376">
        <v>1</v>
      </c>
    </row>
    <row r="2465" spans="1:9" x14ac:dyDescent="0.35">
      <c r="A2465" s="376" t="s">
        <v>1606</v>
      </c>
      <c r="B2465" s="376" t="s">
        <v>1609</v>
      </c>
      <c r="C2465" s="376" t="s">
        <v>628</v>
      </c>
      <c r="D2465" s="376">
        <v>2024</v>
      </c>
      <c r="E2465" s="376">
        <v>2026</v>
      </c>
      <c r="F2465" s="376">
        <v>1</v>
      </c>
      <c r="G2465" s="376">
        <v>5993.361184792012</v>
      </c>
      <c r="H2465" s="376">
        <v>0</v>
      </c>
      <c r="I2465" s="376">
        <v>1</v>
      </c>
    </row>
    <row r="2466" spans="1:9" x14ac:dyDescent="0.35">
      <c r="A2466" s="376" t="s">
        <v>1606</v>
      </c>
      <c r="B2466" s="376" t="s">
        <v>1609</v>
      </c>
      <c r="C2466" s="376" t="s">
        <v>1051</v>
      </c>
      <c r="D2466" s="376">
        <v>2024</v>
      </c>
      <c r="E2466" s="376">
        <v>2026</v>
      </c>
      <c r="F2466" s="376">
        <v>1</v>
      </c>
      <c r="G2466" s="376">
        <v>5993.361184792012</v>
      </c>
      <c r="H2466" s="376">
        <v>0</v>
      </c>
      <c r="I2466" s="376">
        <v>1</v>
      </c>
    </row>
    <row r="2467" spans="1:9" x14ac:dyDescent="0.35">
      <c r="A2467" s="376" t="s">
        <v>1606</v>
      </c>
      <c r="B2467" s="376" t="s">
        <v>1609</v>
      </c>
      <c r="C2467" s="376" t="s">
        <v>1054</v>
      </c>
      <c r="D2467" s="376">
        <v>2024</v>
      </c>
      <c r="E2467" s="376">
        <v>2026</v>
      </c>
      <c r="F2467" s="376">
        <v>1</v>
      </c>
      <c r="G2467" s="376">
        <v>5993.361184792012</v>
      </c>
      <c r="H2467" s="376">
        <v>0</v>
      </c>
      <c r="I2467" s="376">
        <v>1</v>
      </c>
    </row>
    <row r="2468" spans="1:9" x14ac:dyDescent="0.35">
      <c r="A2468" s="376" t="s">
        <v>1606</v>
      </c>
      <c r="B2468" s="376" t="s">
        <v>1609</v>
      </c>
      <c r="C2468" s="376" t="s">
        <v>1046</v>
      </c>
      <c r="D2468" s="376">
        <v>2024</v>
      </c>
      <c r="E2468" s="376">
        <v>2027</v>
      </c>
      <c r="F2468" s="376">
        <v>1</v>
      </c>
      <c r="G2468" s="376">
        <v>5993.361184792012</v>
      </c>
      <c r="H2468" s="376">
        <v>0</v>
      </c>
      <c r="I2468" s="376">
        <v>1</v>
      </c>
    </row>
    <row r="2469" spans="1:9" x14ac:dyDescent="0.35">
      <c r="A2469" s="376" t="s">
        <v>1606</v>
      </c>
      <c r="B2469" s="376" t="s">
        <v>1609</v>
      </c>
      <c r="C2469" s="376" t="s">
        <v>644</v>
      </c>
      <c r="D2469" s="376">
        <v>2024</v>
      </c>
      <c r="E2469" s="376">
        <v>2027</v>
      </c>
      <c r="F2469" s="376">
        <v>1</v>
      </c>
      <c r="G2469" s="376">
        <v>5993.361184792012</v>
      </c>
      <c r="H2469" s="376">
        <v>0</v>
      </c>
      <c r="I2469" s="376">
        <v>1</v>
      </c>
    </row>
    <row r="2470" spans="1:9" x14ac:dyDescent="0.35">
      <c r="A2470" s="376" t="s">
        <v>1606</v>
      </c>
      <c r="B2470" s="376" t="s">
        <v>1609</v>
      </c>
      <c r="C2470" s="376" t="s">
        <v>628</v>
      </c>
      <c r="D2470" s="376">
        <v>2024</v>
      </c>
      <c r="E2470" s="376">
        <v>2027</v>
      </c>
      <c r="F2470" s="376">
        <v>1</v>
      </c>
      <c r="G2470" s="376">
        <v>5993.361184792012</v>
      </c>
      <c r="H2470" s="376">
        <v>0</v>
      </c>
      <c r="I2470" s="376">
        <v>1</v>
      </c>
    </row>
    <row r="2471" spans="1:9" x14ac:dyDescent="0.35">
      <c r="A2471" s="376" t="s">
        <v>1606</v>
      </c>
      <c r="B2471" s="376" t="s">
        <v>1609</v>
      </c>
      <c r="C2471" s="376" t="s">
        <v>1051</v>
      </c>
      <c r="D2471" s="376">
        <v>2024</v>
      </c>
      <c r="E2471" s="376">
        <v>2027</v>
      </c>
      <c r="F2471" s="376">
        <v>1</v>
      </c>
      <c r="G2471" s="376">
        <v>5993.361184792012</v>
      </c>
      <c r="H2471" s="376">
        <v>0</v>
      </c>
      <c r="I2471" s="376">
        <v>1</v>
      </c>
    </row>
    <row r="2472" spans="1:9" x14ac:dyDescent="0.35">
      <c r="A2472" s="376" t="s">
        <v>1606</v>
      </c>
      <c r="B2472" s="376" t="s">
        <v>1609</v>
      </c>
      <c r="C2472" s="376" t="s">
        <v>1054</v>
      </c>
      <c r="D2472" s="376">
        <v>2024</v>
      </c>
      <c r="E2472" s="376">
        <v>2027</v>
      </c>
      <c r="F2472" s="376">
        <v>1</v>
      </c>
      <c r="G2472" s="376">
        <v>5993.361184792012</v>
      </c>
      <c r="H2472" s="376">
        <v>0</v>
      </c>
      <c r="I2472" s="376">
        <v>1</v>
      </c>
    </row>
    <row r="2473" spans="1:9" x14ac:dyDescent="0.35">
      <c r="A2473" s="376" t="s">
        <v>1606</v>
      </c>
      <c r="B2473" s="376" t="s">
        <v>1609</v>
      </c>
      <c r="C2473" s="376" t="s">
        <v>1046</v>
      </c>
      <c r="D2473" s="376">
        <v>2024</v>
      </c>
      <c r="E2473" s="376">
        <v>2028</v>
      </c>
      <c r="F2473" s="376">
        <v>1</v>
      </c>
      <c r="G2473" s="376">
        <v>5993.361184792012</v>
      </c>
      <c r="H2473" s="376">
        <v>0</v>
      </c>
      <c r="I2473" s="376">
        <v>1</v>
      </c>
    </row>
    <row r="2474" spans="1:9" x14ac:dyDescent="0.35">
      <c r="A2474" s="376" t="s">
        <v>1606</v>
      </c>
      <c r="B2474" s="376" t="s">
        <v>1609</v>
      </c>
      <c r="C2474" s="376" t="s">
        <v>644</v>
      </c>
      <c r="D2474" s="376">
        <v>2024</v>
      </c>
      <c r="E2474" s="376">
        <v>2028</v>
      </c>
      <c r="F2474" s="376">
        <v>1</v>
      </c>
      <c r="G2474" s="376">
        <v>5993.361184792012</v>
      </c>
      <c r="H2474" s="376">
        <v>0</v>
      </c>
      <c r="I2474" s="376">
        <v>1</v>
      </c>
    </row>
    <row r="2475" spans="1:9" x14ac:dyDescent="0.35">
      <c r="A2475" s="376" t="s">
        <v>1606</v>
      </c>
      <c r="B2475" s="376" t="s">
        <v>1609</v>
      </c>
      <c r="C2475" s="376" t="s">
        <v>628</v>
      </c>
      <c r="D2475" s="376">
        <v>2024</v>
      </c>
      <c r="E2475" s="376">
        <v>2028</v>
      </c>
      <c r="F2475" s="376">
        <v>1</v>
      </c>
      <c r="G2475" s="376">
        <v>5993.361184792012</v>
      </c>
      <c r="H2475" s="376">
        <v>0</v>
      </c>
      <c r="I2475" s="376">
        <v>1</v>
      </c>
    </row>
    <row r="2476" spans="1:9" x14ac:dyDescent="0.35">
      <c r="A2476" s="376" t="s">
        <v>1606</v>
      </c>
      <c r="B2476" s="376" t="s">
        <v>1609</v>
      </c>
      <c r="C2476" s="376" t="s">
        <v>1051</v>
      </c>
      <c r="D2476" s="376">
        <v>2024</v>
      </c>
      <c r="E2476" s="376">
        <v>2028</v>
      </c>
      <c r="F2476" s="376">
        <v>1</v>
      </c>
      <c r="G2476" s="376">
        <v>5993.361184792012</v>
      </c>
      <c r="H2476" s="376">
        <v>0</v>
      </c>
      <c r="I2476" s="376">
        <v>1</v>
      </c>
    </row>
    <row r="2477" spans="1:9" x14ac:dyDescent="0.35">
      <c r="A2477" s="376" t="s">
        <v>1606</v>
      </c>
      <c r="B2477" s="376" t="s">
        <v>1609</v>
      </c>
      <c r="C2477" s="376" t="s">
        <v>1054</v>
      </c>
      <c r="D2477" s="376">
        <v>2024</v>
      </c>
      <c r="E2477" s="376">
        <v>2028</v>
      </c>
      <c r="F2477" s="376">
        <v>1</v>
      </c>
      <c r="G2477" s="376">
        <v>5993.361184792012</v>
      </c>
      <c r="H2477" s="376">
        <v>0</v>
      </c>
      <c r="I2477" s="376">
        <v>1</v>
      </c>
    </row>
    <row r="2478" spans="1:9" x14ac:dyDescent="0.35">
      <c r="A2478" s="376" t="s">
        <v>1606</v>
      </c>
      <c r="B2478" s="376" t="s">
        <v>1609</v>
      </c>
      <c r="C2478" s="376" t="s">
        <v>1046</v>
      </c>
      <c r="D2478" s="376">
        <v>2024</v>
      </c>
      <c r="E2478" s="376">
        <v>2029</v>
      </c>
      <c r="F2478" s="376">
        <v>1</v>
      </c>
      <c r="G2478" s="376">
        <v>5993.361184792012</v>
      </c>
      <c r="H2478" s="376">
        <v>0</v>
      </c>
      <c r="I2478" s="376">
        <v>1</v>
      </c>
    </row>
    <row r="2479" spans="1:9" x14ac:dyDescent="0.35">
      <c r="A2479" s="376" t="s">
        <v>1606</v>
      </c>
      <c r="B2479" s="376" t="s">
        <v>1609</v>
      </c>
      <c r="C2479" s="376" t="s">
        <v>644</v>
      </c>
      <c r="D2479" s="376">
        <v>2024</v>
      </c>
      <c r="E2479" s="376">
        <v>2029</v>
      </c>
      <c r="F2479" s="376">
        <v>1</v>
      </c>
      <c r="G2479" s="376">
        <v>5993.361184792012</v>
      </c>
      <c r="H2479" s="376">
        <v>0</v>
      </c>
      <c r="I2479" s="376">
        <v>1</v>
      </c>
    </row>
    <row r="2480" spans="1:9" x14ac:dyDescent="0.35">
      <c r="A2480" s="376" t="s">
        <v>1606</v>
      </c>
      <c r="B2480" s="376" t="s">
        <v>1609</v>
      </c>
      <c r="C2480" s="376" t="s">
        <v>628</v>
      </c>
      <c r="D2480" s="376">
        <v>2024</v>
      </c>
      <c r="E2480" s="376">
        <v>2029</v>
      </c>
      <c r="F2480" s="376">
        <v>1</v>
      </c>
      <c r="G2480" s="376">
        <v>5993.361184792012</v>
      </c>
      <c r="H2480" s="376">
        <v>0</v>
      </c>
      <c r="I2480" s="376">
        <v>1</v>
      </c>
    </row>
    <row r="2481" spans="1:9" x14ac:dyDescent="0.35">
      <c r="A2481" s="376" t="s">
        <v>1606</v>
      </c>
      <c r="B2481" s="376" t="s">
        <v>1609</v>
      </c>
      <c r="C2481" s="376" t="s">
        <v>1051</v>
      </c>
      <c r="D2481" s="376">
        <v>2024</v>
      </c>
      <c r="E2481" s="376">
        <v>2029</v>
      </c>
      <c r="F2481" s="376">
        <v>1</v>
      </c>
      <c r="G2481" s="376">
        <v>5993.361184792012</v>
      </c>
      <c r="H2481" s="376">
        <v>0</v>
      </c>
      <c r="I2481" s="376">
        <v>1</v>
      </c>
    </row>
    <row r="2482" spans="1:9" x14ac:dyDescent="0.35">
      <c r="A2482" s="376" t="s">
        <v>1606</v>
      </c>
      <c r="B2482" s="376" t="s">
        <v>1609</v>
      </c>
      <c r="C2482" s="376" t="s">
        <v>1054</v>
      </c>
      <c r="D2482" s="376">
        <v>2024</v>
      </c>
      <c r="E2482" s="376">
        <v>2029</v>
      </c>
      <c r="F2482" s="376">
        <v>1</v>
      </c>
      <c r="G2482" s="376">
        <v>5993.361184792012</v>
      </c>
      <c r="H2482" s="376">
        <v>0</v>
      </c>
      <c r="I2482" s="376">
        <v>1</v>
      </c>
    </row>
    <row r="2483" spans="1:9" x14ac:dyDescent="0.35">
      <c r="A2483" s="376" t="s">
        <v>1606</v>
      </c>
      <c r="B2483" s="376" t="s">
        <v>1609</v>
      </c>
      <c r="C2483" s="376" t="s">
        <v>1046</v>
      </c>
      <c r="D2483" s="376">
        <v>2024</v>
      </c>
      <c r="E2483" s="376">
        <v>2030</v>
      </c>
      <c r="F2483" s="376">
        <v>1</v>
      </c>
      <c r="G2483" s="376">
        <v>5993.361184792012</v>
      </c>
      <c r="H2483" s="376">
        <v>0</v>
      </c>
      <c r="I2483" s="376">
        <v>1</v>
      </c>
    </row>
    <row r="2484" spans="1:9" x14ac:dyDescent="0.35">
      <c r="A2484" s="376" t="s">
        <v>1606</v>
      </c>
      <c r="B2484" s="376" t="s">
        <v>1609</v>
      </c>
      <c r="C2484" s="376" t="s">
        <v>644</v>
      </c>
      <c r="D2484" s="376">
        <v>2024</v>
      </c>
      <c r="E2484" s="376">
        <v>2030</v>
      </c>
      <c r="F2484" s="376">
        <v>1</v>
      </c>
      <c r="G2484" s="376">
        <v>5993.361184792012</v>
      </c>
      <c r="H2484" s="376">
        <v>0</v>
      </c>
      <c r="I2484" s="376">
        <v>1</v>
      </c>
    </row>
    <row r="2485" spans="1:9" x14ac:dyDescent="0.35">
      <c r="A2485" s="376" t="s">
        <v>1606</v>
      </c>
      <c r="B2485" s="376" t="s">
        <v>1609</v>
      </c>
      <c r="C2485" s="376" t="s">
        <v>628</v>
      </c>
      <c r="D2485" s="376">
        <v>2024</v>
      </c>
      <c r="E2485" s="376">
        <v>2030</v>
      </c>
      <c r="F2485" s="376">
        <v>1</v>
      </c>
      <c r="G2485" s="376">
        <v>5993.361184792012</v>
      </c>
      <c r="H2485" s="376">
        <v>0</v>
      </c>
      <c r="I2485" s="376">
        <v>1</v>
      </c>
    </row>
    <row r="2486" spans="1:9" x14ac:dyDescent="0.35">
      <c r="A2486" s="376" t="s">
        <v>1606</v>
      </c>
      <c r="B2486" s="376" t="s">
        <v>1609</v>
      </c>
      <c r="C2486" s="376" t="s">
        <v>1051</v>
      </c>
      <c r="D2486" s="376">
        <v>2024</v>
      </c>
      <c r="E2486" s="376">
        <v>2030</v>
      </c>
      <c r="F2486" s="376">
        <v>1</v>
      </c>
      <c r="G2486" s="376">
        <v>5993.361184792012</v>
      </c>
      <c r="H2486" s="376">
        <v>0</v>
      </c>
      <c r="I2486" s="376">
        <v>1</v>
      </c>
    </row>
    <row r="2487" spans="1:9" x14ac:dyDescent="0.35">
      <c r="A2487" s="376" t="s">
        <v>1606</v>
      </c>
      <c r="B2487" s="376" t="s">
        <v>1609</v>
      </c>
      <c r="C2487" s="376" t="s">
        <v>1054</v>
      </c>
      <c r="D2487" s="376">
        <v>2024</v>
      </c>
      <c r="E2487" s="376">
        <v>2030</v>
      </c>
      <c r="F2487" s="376">
        <v>1</v>
      </c>
      <c r="G2487" s="376">
        <v>5993.361184792012</v>
      </c>
      <c r="H2487" s="376">
        <v>0</v>
      </c>
      <c r="I2487" s="376">
        <v>1</v>
      </c>
    </row>
    <row r="2488" spans="1:9" x14ac:dyDescent="0.35">
      <c r="A2488" s="376" t="s">
        <v>1606</v>
      </c>
      <c r="B2488" s="376" t="s">
        <v>1609</v>
      </c>
      <c r="C2488" s="376" t="s">
        <v>1046</v>
      </c>
      <c r="D2488" s="376">
        <v>2024</v>
      </c>
      <c r="E2488" s="376">
        <v>2031</v>
      </c>
      <c r="F2488" s="376">
        <v>1</v>
      </c>
      <c r="G2488" s="376">
        <v>5993.361184792012</v>
      </c>
      <c r="H2488" s="376">
        <v>0</v>
      </c>
      <c r="I2488" s="376">
        <v>1</v>
      </c>
    </row>
    <row r="2489" spans="1:9" x14ac:dyDescent="0.35">
      <c r="A2489" s="376" t="s">
        <v>1606</v>
      </c>
      <c r="B2489" s="376" t="s">
        <v>1609</v>
      </c>
      <c r="C2489" s="376" t="s">
        <v>644</v>
      </c>
      <c r="D2489" s="376">
        <v>2024</v>
      </c>
      <c r="E2489" s="376">
        <v>2031</v>
      </c>
      <c r="F2489" s="376">
        <v>1</v>
      </c>
      <c r="G2489" s="376">
        <v>5993.361184792012</v>
      </c>
      <c r="H2489" s="376">
        <v>0</v>
      </c>
      <c r="I2489" s="376">
        <v>1</v>
      </c>
    </row>
    <row r="2490" spans="1:9" x14ac:dyDescent="0.35">
      <c r="A2490" s="376" t="s">
        <v>1606</v>
      </c>
      <c r="B2490" s="376" t="s">
        <v>1609</v>
      </c>
      <c r="C2490" s="376" t="s">
        <v>628</v>
      </c>
      <c r="D2490" s="376">
        <v>2024</v>
      </c>
      <c r="E2490" s="376">
        <v>2031</v>
      </c>
      <c r="F2490" s="376">
        <v>1</v>
      </c>
      <c r="G2490" s="376">
        <v>5993.361184792012</v>
      </c>
      <c r="H2490" s="376">
        <v>0</v>
      </c>
      <c r="I2490" s="376">
        <v>1</v>
      </c>
    </row>
    <row r="2491" spans="1:9" x14ac:dyDescent="0.35">
      <c r="A2491" s="376" t="s">
        <v>1606</v>
      </c>
      <c r="B2491" s="376" t="s">
        <v>1609</v>
      </c>
      <c r="C2491" s="376" t="s">
        <v>1051</v>
      </c>
      <c r="D2491" s="376">
        <v>2024</v>
      </c>
      <c r="E2491" s="376">
        <v>2031</v>
      </c>
      <c r="F2491" s="376">
        <v>1</v>
      </c>
      <c r="G2491" s="376">
        <v>5993.361184792012</v>
      </c>
      <c r="H2491" s="376">
        <v>0</v>
      </c>
      <c r="I2491" s="376">
        <v>1</v>
      </c>
    </row>
    <row r="2492" spans="1:9" x14ac:dyDescent="0.35">
      <c r="A2492" s="376" t="s">
        <v>1606</v>
      </c>
      <c r="B2492" s="376" t="s">
        <v>1609</v>
      </c>
      <c r="C2492" s="376" t="s">
        <v>1054</v>
      </c>
      <c r="D2492" s="376">
        <v>2024</v>
      </c>
      <c r="E2492" s="376">
        <v>2031</v>
      </c>
      <c r="F2492" s="376">
        <v>1</v>
      </c>
      <c r="G2492" s="376">
        <v>5993.361184792012</v>
      </c>
      <c r="H2492" s="376">
        <v>0</v>
      </c>
      <c r="I2492" s="376">
        <v>1</v>
      </c>
    </row>
    <row r="2493" spans="1:9" x14ac:dyDescent="0.35">
      <c r="A2493" s="376" t="s">
        <v>1612</v>
      </c>
      <c r="B2493" s="376" t="s">
        <v>1609</v>
      </c>
      <c r="C2493" s="376" t="s">
        <v>1046</v>
      </c>
      <c r="D2493" s="376">
        <v>2025</v>
      </c>
      <c r="E2493" s="376">
        <v>2025</v>
      </c>
      <c r="F2493" s="376">
        <v>0.37384575124303709</v>
      </c>
      <c r="G2493" s="376">
        <v>9928.6887826901675</v>
      </c>
      <c r="H2493" s="376">
        <v>0.2715120516915453</v>
      </c>
      <c r="I2493" s="376">
        <v>0.85</v>
      </c>
    </row>
    <row r="2494" spans="1:9" x14ac:dyDescent="0.35">
      <c r="A2494" s="376" t="s">
        <v>1612</v>
      </c>
      <c r="B2494" s="376" t="s">
        <v>1609</v>
      </c>
      <c r="C2494" s="376" t="s">
        <v>644</v>
      </c>
      <c r="D2494" s="376">
        <v>2025</v>
      </c>
      <c r="E2494" s="376">
        <v>2025</v>
      </c>
      <c r="F2494" s="376">
        <v>0.37384575124303709</v>
      </c>
      <c r="G2494" s="376">
        <v>9928.6887826901675</v>
      </c>
      <c r="H2494" s="376">
        <v>0.2715120516915453</v>
      </c>
      <c r="I2494" s="376">
        <v>0.85</v>
      </c>
    </row>
    <row r="2495" spans="1:9" x14ac:dyDescent="0.35">
      <c r="A2495" s="376" t="s">
        <v>1612</v>
      </c>
      <c r="B2495" s="376" t="s">
        <v>1609</v>
      </c>
      <c r="C2495" s="376" t="s">
        <v>628</v>
      </c>
      <c r="D2495" s="376">
        <v>2025</v>
      </c>
      <c r="E2495" s="376">
        <v>2025</v>
      </c>
      <c r="F2495" s="376">
        <v>0.37384575124303709</v>
      </c>
      <c r="G2495" s="376">
        <v>9928.6887826901675</v>
      </c>
      <c r="H2495" s="376">
        <v>0.2715120516915453</v>
      </c>
      <c r="I2495" s="376">
        <v>0.85</v>
      </c>
    </row>
    <row r="2496" spans="1:9" x14ac:dyDescent="0.35">
      <c r="A2496" s="376" t="s">
        <v>1612</v>
      </c>
      <c r="B2496" s="376" t="s">
        <v>1609</v>
      </c>
      <c r="C2496" s="376" t="s">
        <v>1051</v>
      </c>
      <c r="D2496" s="376">
        <v>2025</v>
      </c>
      <c r="E2496" s="376">
        <v>2025</v>
      </c>
      <c r="F2496" s="376">
        <v>0.37384575124303709</v>
      </c>
      <c r="G2496" s="376">
        <v>9928.6887826901675</v>
      </c>
      <c r="H2496" s="376">
        <v>0.2715120516915453</v>
      </c>
      <c r="I2496" s="376">
        <v>0.85</v>
      </c>
    </row>
    <row r="2497" spans="1:9" x14ac:dyDescent="0.35">
      <c r="A2497" s="376" t="s">
        <v>1612</v>
      </c>
      <c r="B2497" s="376" t="s">
        <v>1609</v>
      </c>
      <c r="C2497" s="376" t="s">
        <v>1054</v>
      </c>
      <c r="D2497" s="376">
        <v>2025</v>
      </c>
      <c r="E2497" s="376">
        <v>2025</v>
      </c>
      <c r="F2497" s="376">
        <v>0.37384575124303709</v>
      </c>
      <c r="G2497" s="376">
        <v>9928.6887826901675</v>
      </c>
      <c r="H2497" s="376">
        <v>0.2715120516915453</v>
      </c>
      <c r="I2497" s="376">
        <v>0.85</v>
      </c>
    </row>
    <row r="2498" spans="1:9" x14ac:dyDescent="0.35">
      <c r="A2498" s="376" t="s">
        <v>1612</v>
      </c>
      <c r="B2498" s="376" t="s">
        <v>1609</v>
      </c>
      <c r="C2498" s="376" t="s">
        <v>1046</v>
      </c>
      <c r="D2498" s="376">
        <v>2025</v>
      </c>
      <c r="E2498" s="376">
        <v>2026</v>
      </c>
      <c r="F2498" s="376">
        <v>0.37384575124303709</v>
      </c>
      <c r="G2498" s="376">
        <v>9928.6887826901675</v>
      </c>
      <c r="H2498" s="376">
        <v>0.2715120516915453</v>
      </c>
      <c r="I2498" s="376">
        <v>0.85</v>
      </c>
    </row>
    <row r="2499" spans="1:9" x14ac:dyDescent="0.35">
      <c r="A2499" s="376" t="s">
        <v>1612</v>
      </c>
      <c r="B2499" s="376" t="s">
        <v>1609</v>
      </c>
      <c r="C2499" s="376" t="s">
        <v>644</v>
      </c>
      <c r="D2499" s="376">
        <v>2025</v>
      </c>
      <c r="E2499" s="376">
        <v>2026</v>
      </c>
      <c r="F2499" s="376">
        <v>0.37384575124303709</v>
      </c>
      <c r="G2499" s="376">
        <v>9928.6887826901675</v>
      </c>
      <c r="H2499" s="376">
        <v>0.2715120516915453</v>
      </c>
      <c r="I2499" s="376">
        <v>0.85</v>
      </c>
    </row>
    <row r="2500" spans="1:9" x14ac:dyDescent="0.35">
      <c r="A2500" s="376" t="s">
        <v>1612</v>
      </c>
      <c r="B2500" s="376" t="s">
        <v>1609</v>
      </c>
      <c r="C2500" s="376" t="s">
        <v>628</v>
      </c>
      <c r="D2500" s="376">
        <v>2025</v>
      </c>
      <c r="E2500" s="376">
        <v>2026</v>
      </c>
      <c r="F2500" s="376">
        <v>0.37384575124303709</v>
      </c>
      <c r="G2500" s="376">
        <v>9928.6887826901675</v>
      </c>
      <c r="H2500" s="376">
        <v>0.2715120516915453</v>
      </c>
      <c r="I2500" s="376">
        <v>0.85</v>
      </c>
    </row>
    <row r="2501" spans="1:9" x14ac:dyDescent="0.35">
      <c r="A2501" s="376" t="s">
        <v>1612</v>
      </c>
      <c r="B2501" s="376" t="s">
        <v>1609</v>
      </c>
      <c r="C2501" s="376" t="s">
        <v>1051</v>
      </c>
      <c r="D2501" s="376">
        <v>2025</v>
      </c>
      <c r="E2501" s="376">
        <v>2026</v>
      </c>
      <c r="F2501" s="376">
        <v>0.37384575124303709</v>
      </c>
      <c r="G2501" s="376">
        <v>9928.6887826901675</v>
      </c>
      <c r="H2501" s="376">
        <v>0.2715120516915453</v>
      </c>
      <c r="I2501" s="376">
        <v>0.85</v>
      </c>
    </row>
    <row r="2502" spans="1:9" x14ac:dyDescent="0.35">
      <c r="A2502" s="376" t="s">
        <v>1612</v>
      </c>
      <c r="B2502" s="376" t="s">
        <v>1609</v>
      </c>
      <c r="C2502" s="376" t="s">
        <v>1054</v>
      </c>
      <c r="D2502" s="376">
        <v>2025</v>
      </c>
      <c r="E2502" s="376">
        <v>2026</v>
      </c>
      <c r="F2502" s="376">
        <v>0.37384575124303709</v>
      </c>
      <c r="G2502" s="376">
        <v>9928.6887826901675</v>
      </c>
      <c r="H2502" s="376">
        <v>0.2715120516915453</v>
      </c>
      <c r="I2502" s="376">
        <v>0.85</v>
      </c>
    </row>
    <row r="2503" spans="1:9" x14ac:dyDescent="0.35">
      <c r="A2503" s="376" t="s">
        <v>1612</v>
      </c>
      <c r="B2503" s="376" t="s">
        <v>1609</v>
      </c>
      <c r="C2503" s="376" t="s">
        <v>1046</v>
      </c>
      <c r="D2503" s="376">
        <v>2025</v>
      </c>
      <c r="E2503" s="376">
        <v>2027</v>
      </c>
      <c r="F2503" s="376">
        <v>0.37384575124303709</v>
      </c>
      <c r="G2503" s="376">
        <v>9928.6887826901675</v>
      </c>
      <c r="H2503" s="376">
        <v>0.2715120516915453</v>
      </c>
      <c r="I2503" s="376">
        <v>0.85</v>
      </c>
    </row>
    <row r="2504" spans="1:9" x14ac:dyDescent="0.35">
      <c r="A2504" s="376" t="s">
        <v>1612</v>
      </c>
      <c r="B2504" s="376" t="s">
        <v>1609</v>
      </c>
      <c r="C2504" s="376" t="s">
        <v>644</v>
      </c>
      <c r="D2504" s="376">
        <v>2025</v>
      </c>
      <c r="E2504" s="376">
        <v>2027</v>
      </c>
      <c r="F2504" s="376">
        <v>0.37384575124303709</v>
      </c>
      <c r="G2504" s="376">
        <v>9928.6887826901675</v>
      </c>
      <c r="H2504" s="376">
        <v>0.2715120516915453</v>
      </c>
      <c r="I2504" s="376">
        <v>0.85</v>
      </c>
    </row>
    <row r="2505" spans="1:9" x14ac:dyDescent="0.35">
      <c r="A2505" s="376" t="s">
        <v>1612</v>
      </c>
      <c r="B2505" s="376" t="s">
        <v>1609</v>
      </c>
      <c r="C2505" s="376" t="s">
        <v>628</v>
      </c>
      <c r="D2505" s="376">
        <v>2025</v>
      </c>
      <c r="E2505" s="376">
        <v>2027</v>
      </c>
      <c r="F2505" s="376">
        <v>0.37384575124303709</v>
      </c>
      <c r="G2505" s="376">
        <v>9928.6887826901675</v>
      </c>
      <c r="H2505" s="376">
        <v>0.2715120516915453</v>
      </c>
      <c r="I2505" s="376">
        <v>0.85</v>
      </c>
    </row>
    <row r="2506" spans="1:9" x14ac:dyDescent="0.35">
      <c r="A2506" s="376" t="s">
        <v>1612</v>
      </c>
      <c r="B2506" s="376" t="s">
        <v>1609</v>
      </c>
      <c r="C2506" s="376" t="s">
        <v>1051</v>
      </c>
      <c r="D2506" s="376">
        <v>2025</v>
      </c>
      <c r="E2506" s="376">
        <v>2027</v>
      </c>
      <c r="F2506" s="376">
        <v>0.37384575124303709</v>
      </c>
      <c r="G2506" s="376">
        <v>9928.6887826901675</v>
      </c>
      <c r="H2506" s="376">
        <v>0.2715120516915453</v>
      </c>
      <c r="I2506" s="376">
        <v>0.85</v>
      </c>
    </row>
    <row r="2507" spans="1:9" x14ac:dyDescent="0.35">
      <c r="A2507" s="376" t="s">
        <v>1612</v>
      </c>
      <c r="B2507" s="376" t="s">
        <v>1609</v>
      </c>
      <c r="C2507" s="376" t="s">
        <v>1054</v>
      </c>
      <c r="D2507" s="376">
        <v>2025</v>
      </c>
      <c r="E2507" s="376">
        <v>2027</v>
      </c>
      <c r="F2507" s="376">
        <v>0.37384575124303709</v>
      </c>
      <c r="G2507" s="376">
        <v>9928.6887826901675</v>
      </c>
      <c r="H2507" s="376">
        <v>0.2715120516915453</v>
      </c>
      <c r="I2507" s="376">
        <v>0.85</v>
      </c>
    </row>
    <row r="2508" spans="1:9" x14ac:dyDescent="0.35">
      <c r="A2508" s="376" t="s">
        <v>1612</v>
      </c>
      <c r="B2508" s="376" t="s">
        <v>1609</v>
      </c>
      <c r="C2508" s="376" t="s">
        <v>1046</v>
      </c>
      <c r="D2508" s="376">
        <v>2025</v>
      </c>
      <c r="E2508" s="376">
        <v>2028</v>
      </c>
      <c r="F2508" s="376">
        <v>0.37384575124303709</v>
      </c>
      <c r="G2508" s="376">
        <v>9928.6887826901675</v>
      </c>
      <c r="H2508" s="376">
        <v>0.2715120516915453</v>
      </c>
      <c r="I2508" s="376">
        <v>0.85</v>
      </c>
    </row>
    <row r="2509" spans="1:9" x14ac:dyDescent="0.35">
      <c r="A2509" s="376" t="s">
        <v>1612</v>
      </c>
      <c r="B2509" s="376" t="s">
        <v>1609</v>
      </c>
      <c r="C2509" s="376" t="s">
        <v>644</v>
      </c>
      <c r="D2509" s="376">
        <v>2025</v>
      </c>
      <c r="E2509" s="376">
        <v>2028</v>
      </c>
      <c r="F2509" s="376">
        <v>0.37384575124303709</v>
      </c>
      <c r="G2509" s="376">
        <v>9928.6887826901675</v>
      </c>
      <c r="H2509" s="376">
        <v>0.2715120516915453</v>
      </c>
      <c r="I2509" s="376">
        <v>0.85</v>
      </c>
    </row>
    <row r="2510" spans="1:9" x14ac:dyDescent="0.35">
      <c r="A2510" s="376" t="s">
        <v>1612</v>
      </c>
      <c r="B2510" s="376" t="s">
        <v>1609</v>
      </c>
      <c r="C2510" s="376" t="s">
        <v>628</v>
      </c>
      <c r="D2510" s="376">
        <v>2025</v>
      </c>
      <c r="E2510" s="376">
        <v>2028</v>
      </c>
      <c r="F2510" s="376">
        <v>0.37384575124303709</v>
      </c>
      <c r="G2510" s="376">
        <v>9928.6887826901675</v>
      </c>
      <c r="H2510" s="376">
        <v>0.2715120516915453</v>
      </c>
      <c r="I2510" s="376">
        <v>0.85</v>
      </c>
    </row>
    <row r="2511" spans="1:9" x14ac:dyDescent="0.35">
      <c r="A2511" s="376" t="s">
        <v>1612</v>
      </c>
      <c r="B2511" s="376" t="s">
        <v>1609</v>
      </c>
      <c r="C2511" s="376" t="s">
        <v>1051</v>
      </c>
      <c r="D2511" s="376">
        <v>2025</v>
      </c>
      <c r="E2511" s="376">
        <v>2028</v>
      </c>
      <c r="F2511" s="376">
        <v>0.37384575124303709</v>
      </c>
      <c r="G2511" s="376">
        <v>9928.6887826901675</v>
      </c>
      <c r="H2511" s="376">
        <v>0.2715120516915453</v>
      </c>
      <c r="I2511" s="376">
        <v>0.85</v>
      </c>
    </row>
    <row r="2512" spans="1:9" x14ac:dyDescent="0.35">
      <c r="A2512" s="376" t="s">
        <v>1612</v>
      </c>
      <c r="B2512" s="376" t="s">
        <v>1609</v>
      </c>
      <c r="C2512" s="376" t="s">
        <v>1054</v>
      </c>
      <c r="D2512" s="376">
        <v>2025</v>
      </c>
      <c r="E2512" s="376">
        <v>2028</v>
      </c>
      <c r="F2512" s="376">
        <v>0.37384575124303709</v>
      </c>
      <c r="G2512" s="376">
        <v>9928.6887826901675</v>
      </c>
      <c r="H2512" s="376">
        <v>0.2715120516915453</v>
      </c>
      <c r="I2512" s="376">
        <v>0.85</v>
      </c>
    </row>
    <row r="2513" spans="1:9" x14ac:dyDescent="0.35">
      <c r="A2513" s="376" t="s">
        <v>1612</v>
      </c>
      <c r="B2513" s="376" t="s">
        <v>1609</v>
      </c>
      <c r="C2513" s="376" t="s">
        <v>1046</v>
      </c>
      <c r="D2513" s="376">
        <v>2025</v>
      </c>
      <c r="E2513" s="376">
        <v>2029</v>
      </c>
      <c r="F2513" s="376">
        <v>0.37384575124303709</v>
      </c>
      <c r="G2513" s="376">
        <v>9928.6887826901675</v>
      </c>
      <c r="H2513" s="376">
        <v>0.2715120516915453</v>
      </c>
      <c r="I2513" s="376">
        <v>0.85</v>
      </c>
    </row>
    <row r="2514" spans="1:9" x14ac:dyDescent="0.35">
      <c r="A2514" s="376" t="s">
        <v>1612</v>
      </c>
      <c r="B2514" s="376" t="s">
        <v>1609</v>
      </c>
      <c r="C2514" s="376" t="s">
        <v>644</v>
      </c>
      <c r="D2514" s="376">
        <v>2025</v>
      </c>
      <c r="E2514" s="376">
        <v>2029</v>
      </c>
      <c r="F2514" s="376">
        <v>0.37384575124303709</v>
      </c>
      <c r="G2514" s="376">
        <v>9928.6887826901675</v>
      </c>
      <c r="H2514" s="376">
        <v>0.2715120516915453</v>
      </c>
      <c r="I2514" s="376">
        <v>0.85</v>
      </c>
    </row>
    <row r="2515" spans="1:9" x14ac:dyDescent="0.35">
      <c r="A2515" s="376" t="s">
        <v>1612</v>
      </c>
      <c r="B2515" s="376" t="s">
        <v>1609</v>
      </c>
      <c r="C2515" s="376" t="s">
        <v>628</v>
      </c>
      <c r="D2515" s="376">
        <v>2025</v>
      </c>
      <c r="E2515" s="376">
        <v>2029</v>
      </c>
      <c r="F2515" s="376">
        <v>0.37384575124303709</v>
      </c>
      <c r="G2515" s="376">
        <v>9928.6887826901675</v>
      </c>
      <c r="H2515" s="376">
        <v>0.2715120516915453</v>
      </c>
      <c r="I2515" s="376">
        <v>0.85</v>
      </c>
    </row>
    <row r="2516" spans="1:9" x14ac:dyDescent="0.35">
      <c r="A2516" s="376" t="s">
        <v>1612</v>
      </c>
      <c r="B2516" s="376" t="s">
        <v>1609</v>
      </c>
      <c r="C2516" s="376" t="s">
        <v>1051</v>
      </c>
      <c r="D2516" s="376">
        <v>2025</v>
      </c>
      <c r="E2516" s="376">
        <v>2029</v>
      </c>
      <c r="F2516" s="376">
        <v>0.37384575124303709</v>
      </c>
      <c r="G2516" s="376">
        <v>9928.6887826901675</v>
      </c>
      <c r="H2516" s="376">
        <v>0.2715120516915453</v>
      </c>
      <c r="I2516" s="376">
        <v>0.85</v>
      </c>
    </row>
    <row r="2517" spans="1:9" x14ac:dyDescent="0.35">
      <c r="A2517" s="376" t="s">
        <v>1612</v>
      </c>
      <c r="B2517" s="376" t="s">
        <v>1609</v>
      </c>
      <c r="C2517" s="376" t="s">
        <v>1054</v>
      </c>
      <c r="D2517" s="376">
        <v>2025</v>
      </c>
      <c r="E2517" s="376">
        <v>2029</v>
      </c>
      <c r="F2517" s="376">
        <v>0.37384575124303709</v>
      </c>
      <c r="G2517" s="376">
        <v>9928.6887826901675</v>
      </c>
      <c r="H2517" s="376">
        <v>0.2715120516915453</v>
      </c>
      <c r="I2517" s="376">
        <v>0.85</v>
      </c>
    </row>
    <row r="2518" spans="1:9" x14ac:dyDescent="0.35">
      <c r="A2518" s="376" t="s">
        <v>1612</v>
      </c>
      <c r="B2518" s="376" t="s">
        <v>1609</v>
      </c>
      <c r="C2518" s="376" t="s">
        <v>1046</v>
      </c>
      <c r="D2518" s="376">
        <v>2025</v>
      </c>
      <c r="E2518" s="376">
        <v>2030</v>
      </c>
      <c r="F2518" s="376">
        <v>0.37384575124303709</v>
      </c>
      <c r="G2518" s="376">
        <v>9928.6887826901675</v>
      </c>
      <c r="H2518" s="376">
        <v>0.2715120516915453</v>
      </c>
      <c r="I2518" s="376">
        <v>0.85</v>
      </c>
    </row>
    <row r="2519" spans="1:9" x14ac:dyDescent="0.35">
      <c r="A2519" s="376" t="s">
        <v>1612</v>
      </c>
      <c r="B2519" s="376" t="s">
        <v>1609</v>
      </c>
      <c r="C2519" s="376" t="s">
        <v>644</v>
      </c>
      <c r="D2519" s="376">
        <v>2025</v>
      </c>
      <c r="E2519" s="376">
        <v>2030</v>
      </c>
      <c r="F2519" s="376">
        <v>0.37384575124303709</v>
      </c>
      <c r="G2519" s="376">
        <v>9928.6887826901675</v>
      </c>
      <c r="H2519" s="376">
        <v>0.2715120516915453</v>
      </c>
      <c r="I2519" s="376">
        <v>0.85</v>
      </c>
    </row>
    <row r="2520" spans="1:9" x14ac:dyDescent="0.35">
      <c r="A2520" s="376" t="s">
        <v>1612</v>
      </c>
      <c r="B2520" s="376" t="s">
        <v>1609</v>
      </c>
      <c r="C2520" s="376" t="s">
        <v>628</v>
      </c>
      <c r="D2520" s="376">
        <v>2025</v>
      </c>
      <c r="E2520" s="376">
        <v>2030</v>
      </c>
      <c r="F2520" s="376">
        <v>0.37384575124303709</v>
      </c>
      <c r="G2520" s="376">
        <v>9928.6887826901675</v>
      </c>
      <c r="H2520" s="376">
        <v>0.2715120516915453</v>
      </c>
      <c r="I2520" s="376">
        <v>0.85</v>
      </c>
    </row>
    <row r="2521" spans="1:9" x14ac:dyDescent="0.35">
      <c r="A2521" s="376" t="s">
        <v>1612</v>
      </c>
      <c r="B2521" s="376" t="s">
        <v>1609</v>
      </c>
      <c r="C2521" s="376" t="s">
        <v>1051</v>
      </c>
      <c r="D2521" s="376">
        <v>2025</v>
      </c>
      <c r="E2521" s="376">
        <v>2030</v>
      </c>
      <c r="F2521" s="376">
        <v>0.37384575124303709</v>
      </c>
      <c r="G2521" s="376">
        <v>9928.6887826901675</v>
      </c>
      <c r="H2521" s="376">
        <v>0.2715120516915453</v>
      </c>
      <c r="I2521" s="376">
        <v>0.85</v>
      </c>
    </row>
    <row r="2522" spans="1:9" x14ac:dyDescent="0.35">
      <c r="A2522" s="376" t="s">
        <v>1612</v>
      </c>
      <c r="B2522" s="376" t="s">
        <v>1609</v>
      </c>
      <c r="C2522" s="376" t="s">
        <v>1054</v>
      </c>
      <c r="D2522" s="376">
        <v>2025</v>
      </c>
      <c r="E2522" s="376">
        <v>2030</v>
      </c>
      <c r="F2522" s="376">
        <v>0.37384575124303709</v>
      </c>
      <c r="G2522" s="376">
        <v>9928.6887826901675</v>
      </c>
      <c r="H2522" s="376">
        <v>0.2715120516915453</v>
      </c>
      <c r="I2522" s="376">
        <v>0.85</v>
      </c>
    </row>
    <row r="2523" spans="1:9" x14ac:dyDescent="0.35">
      <c r="A2523" s="376" t="s">
        <v>1612</v>
      </c>
      <c r="B2523" s="376" t="s">
        <v>1609</v>
      </c>
      <c r="C2523" s="376" t="s">
        <v>1046</v>
      </c>
      <c r="D2523" s="376">
        <v>2025</v>
      </c>
      <c r="E2523" s="376">
        <v>2031</v>
      </c>
      <c r="F2523" s="376">
        <v>0.37384575124303709</v>
      </c>
      <c r="G2523" s="376">
        <v>9928.6887826901675</v>
      </c>
      <c r="H2523" s="376">
        <v>0.2715120516915453</v>
      </c>
      <c r="I2523" s="376">
        <v>0.85</v>
      </c>
    </row>
    <row r="2524" spans="1:9" x14ac:dyDescent="0.35">
      <c r="A2524" s="376" t="s">
        <v>1612</v>
      </c>
      <c r="B2524" s="376" t="s">
        <v>1609</v>
      </c>
      <c r="C2524" s="376" t="s">
        <v>644</v>
      </c>
      <c r="D2524" s="376">
        <v>2025</v>
      </c>
      <c r="E2524" s="376">
        <v>2031</v>
      </c>
      <c r="F2524" s="376">
        <v>0.37384575124303709</v>
      </c>
      <c r="G2524" s="376">
        <v>9928.6887826901675</v>
      </c>
      <c r="H2524" s="376">
        <v>0.2715120516915453</v>
      </c>
      <c r="I2524" s="376">
        <v>0.85</v>
      </c>
    </row>
    <row r="2525" spans="1:9" x14ac:dyDescent="0.35">
      <c r="A2525" s="376" t="s">
        <v>1612</v>
      </c>
      <c r="B2525" s="376" t="s">
        <v>1609</v>
      </c>
      <c r="C2525" s="376" t="s">
        <v>628</v>
      </c>
      <c r="D2525" s="376">
        <v>2025</v>
      </c>
      <c r="E2525" s="376">
        <v>2031</v>
      </c>
      <c r="F2525" s="376">
        <v>0.37384575124303709</v>
      </c>
      <c r="G2525" s="376">
        <v>9928.6887826901675</v>
      </c>
      <c r="H2525" s="376">
        <v>0.2715120516915453</v>
      </c>
      <c r="I2525" s="376">
        <v>0.85</v>
      </c>
    </row>
    <row r="2526" spans="1:9" x14ac:dyDescent="0.35">
      <c r="A2526" s="376" t="s">
        <v>1612</v>
      </c>
      <c r="B2526" s="376" t="s">
        <v>1609</v>
      </c>
      <c r="C2526" s="376" t="s">
        <v>1051</v>
      </c>
      <c r="D2526" s="376">
        <v>2025</v>
      </c>
      <c r="E2526" s="376">
        <v>2031</v>
      </c>
      <c r="F2526" s="376">
        <v>0.37384575124303709</v>
      </c>
      <c r="G2526" s="376">
        <v>9928.6887826901675</v>
      </c>
      <c r="H2526" s="376">
        <v>0.2715120516915453</v>
      </c>
      <c r="I2526" s="376">
        <v>0.85</v>
      </c>
    </row>
    <row r="2527" spans="1:9" x14ac:dyDescent="0.35">
      <c r="A2527" s="376" t="s">
        <v>1612</v>
      </c>
      <c r="B2527" s="376" t="s">
        <v>1609</v>
      </c>
      <c r="C2527" s="376" t="s">
        <v>1054</v>
      </c>
      <c r="D2527" s="376">
        <v>2025</v>
      </c>
      <c r="E2527" s="376">
        <v>2031</v>
      </c>
      <c r="F2527" s="376">
        <v>0.37384575124303709</v>
      </c>
      <c r="G2527" s="376">
        <v>9928.6887826901675</v>
      </c>
      <c r="H2527" s="376">
        <v>0.2715120516915453</v>
      </c>
      <c r="I2527" s="376">
        <v>0.85</v>
      </c>
    </row>
    <row r="2528" spans="1:9" x14ac:dyDescent="0.35">
      <c r="A2528" s="376" t="s">
        <v>1613</v>
      </c>
      <c r="B2528" s="376" t="s">
        <v>1609</v>
      </c>
      <c r="C2528" s="376" t="s">
        <v>1046</v>
      </c>
      <c r="D2528" s="376">
        <v>2025</v>
      </c>
      <c r="E2528" s="376">
        <v>2025</v>
      </c>
      <c r="F2528" s="376">
        <v>0.40444272241720852</v>
      </c>
      <c r="G2528" s="376">
        <v>8848.5269568257354</v>
      </c>
      <c r="H2528" s="376">
        <v>0.26531649349605579</v>
      </c>
      <c r="I2528" s="376">
        <v>0.85</v>
      </c>
    </row>
    <row r="2529" spans="1:9" x14ac:dyDescent="0.35">
      <c r="A2529" s="376" t="s">
        <v>1613</v>
      </c>
      <c r="B2529" s="376" t="s">
        <v>1609</v>
      </c>
      <c r="C2529" s="376" t="s">
        <v>644</v>
      </c>
      <c r="D2529" s="376">
        <v>2025</v>
      </c>
      <c r="E2529" s="376">
        <v>2025</v>
      </c>
      <c r="F2529" s="376">
        <v>0.40444272241720852</v>
      </c>
      <c r="G2529" s="376">
        <v>8848.5269568257354</v>
      </c>
      <c r="H2529" s="376">
        <v>0.26531649349605579</v>
      </c>
      <c r="I2529" s="376">
        <v>0.85</v>
      </c>
    </row>
    <row r="2530" spans="1:9" x14ac:dyDescent="0.35">
      <c r="A2530" s="376" t="s">
        <v>1613</v>
      </c>
      <c r="B2530" s="376" t="s">
        <v>1609</v>
      </c>
      <c r="C2530" s="376" t="s">
        <v>628</v>
      </c>
      <c r="D2530" s="376">
        <v>2025</v>
      </c>
      <c r="E2530" s="376">
        <v>2025</v>
      </c>
      <c r="F2530" s="376">
        <v>0.40444272241720852</v>
      </c>
      <c r="G2530" s="376">
        <v>8848.5269568257354</v>
      </c>
      <c r="H2530" s="376">
        <v>0.26531649349605579</v>
      </c>
      <c r="I2530" s="376">
        <v>0.85</v>
      </c>
    </row>
    <row r="2531" spans="1:9" x14ac:dyDescent="0.35">
      <c r="A2531" s="376" t="s">
        <v>1613</v>
      </c>
      <c r="B2531" s="376" t="s">
        <v>1609</v>
      </c>
      <c r="C2531" s="376" t="s">
        <v>1051</v>
      </c>
      <c r="D2531" s="376">
        <v>2025</v>
      </c>
      <c r="E2531" s="376">
        <v>2025</v>
      </c>
      <c r="F2531" s="376">
        <v>0.40444272241720852</v>
      </c>
      <c r="G2531" s="376">
        <v>8848.5269568257354</v>
      </c>
      <c r="H2531" s="376">
        <v>0.26531649349605579</v>
      </c>
      <c r="I2531" s="376">
        <v>0.85</v>
      </c>
    </row>
    <row r="2532" spans="1:9" x14ac:dyDescent="0.35">
      <c r="A2532" s="376" t="s">
        <v>1613</v>
      </c>
      <c r="B2532" s="376" t="s">
        <v>1609</v>
      </c>
      <c r="C2532" s="376" t="s">
        <v>1054</v>
      </c>
      <c r="D2532" s="376">
        <v>2025</v>
      </c>
      <c r="E2532" s="376">
        <v>2025</v>
      </c>
      <c r="F2532" s="376">
        <v>0.40444272241720852</v>
      </c>
      <c r="G2532" s="376">
        <v>8848.5269568257354</v>
      </c>
      <c r="H2532" s="376">
        <v>0.26531649349605579</v>
      </c>
      <c r="I2532" s="376">
        <v>0.85</v>
      </c>
    </row>
    <row r="2533" spans="1:9" x14ac:dyDescent="0.35">
      <c r="A2533" s="376" t="s">
        <v>1613</v>
      </c>
      <c r="B2533" s="376" t="s">
        <v>1609</v>
      </c>
      <c r="C2533" s="376" t="s">
        <v>1046</v>
      </c>
      <c r="D2533" s="376">
        <v>2025</v>
      </c>
      <c r="E2533" s="376">
        <v>2026</v>
      </c>
      <c r="F2533" s="376">
        <v>0.40444272241720852</v>
      </c>
      <c r="G2533" s="376">
        <v>8848.5269568257354</v>
      </c>
      <c r="H2533" s="376">
        <v>0.26531649349605579</v>
      </c>
      <c r="I2533" s="376">
        <v>0.85</v>
      </c>
    </row>
    <row r="2534" spans="1:9" x14ac:dyDescent="0.35">
      <c r="A2534" s="376" t="s">
        <v>1613</v>
      </c>
      <c r="B2534" s="376" t="s">
        <v>1609</v>
      </c>
      <c r="C2534" s="376" t="s">
        <v>644</v>
      </c>
      <c r="D2534" s="376">
        <v>2025</v>
      </c>
      <c r="E2534" s="376">
        <v>2026</v>
      </c>
      <c r="F2534" s="376">
        <v>0.40444272241720852</v>
      </c>
      <c r="G2534" s="376">
        <v>8848.5269568257354</v>
      </c>
      <c r="H2534" s="376">
        <v>0.26531649349605579</v>
      </c>
      <c r="I2534" s="376">
        <v>0.85</v>
      </c>
    </row>
    <row r="2535" spans="1:9" x14ac:dyDescent="0.35">
      <c r="A2535" s="376" t="s">
        <v>1613</v>
      </c>
      <c r="B2535" s="376" t="s">
        <v>1609</v>
      </c>
      <c r="C2535" s="376" t="s">
        <v>628</v>
      </c>
      <c r="D2535" s="376">
        <v>2025</v>
      </c>
      <c r="E2535" s="376">
        <v>2026</v>
      </c>
      <c r="F2535" s="376">
        <v>0.40444272241720852</v>
      </c>
      <c r="G2535" s="376">
        <v>8848.5269568257354</v>
      </c>
      <c r="H2535" s="376">
        <v>0.26531649349605579</v>
      </c>
      <c r="I2535" s="376">
        <v>0.85</v>
      </c>
    </row>
    <row r="2536" spans="1:9" x14ac:dyDescent="0.35">
      <c r="A2536" s="376" t="s">
        <v>1613</v>
      </c>
      <c r="B2536" s="376" t="s">
        <v>1609</v>
      </c>
      <c r="C2536" s="376" t="s">
        <v>1051</v>
      </c>
      <c r="D2536" s="376">
        <v>2025</v>
      </c>
      <c r="E2536" s="376">
        <v>2026</v>
      </c>
      <c r="F2536" s="376">
        <v>0.40444272241720852</v>
      </c>
      <c r="G2536" s="376">
        <v>8848.5269568257354</v>
      </c>
      <c r="H2536" s="376">
        <v>0.26531649349605579</v>
      </c>
      <c r="I2536" s="376">
        <v>0.85</v>
      </c>
    </row>
    <row r="2537" spans="1:9" x14ac:dyDescent="0.35">
      <c r="A2537" s="376" t="s">
        <v>1613</v>
      </c>
      <c r="B2537" s="376" t="s">
        <v>1609</v>
      </c>
      <c r="C2537" s="376" t="s">
        <v>1054</v>
      </c>
      <c r="D2537" s="376">
        <v>2025</v>
      </c>
      <c r="E2537" s="376">
        <v>2026</v>
      </c>
      <c r="F2537" s="376">
        <v>0.40444272241720852</v>
      </c>
      <c r="G2537" s="376">
        <v>8848.5269568257354</v>
      </c>
      <c r="H2537" s="376">
        <v>0.26531649349605579</v>
      </c>
      <c r="I2537" s="376">
        <v>0.85</v>
      </c>
    </row>
    <row r="2538" spans="1:9" x14ac:dyDescent="0.35">
      <c r="A2538" s="376" t="s">
        <v>1613</v>
      </c>
      <c r="B2538" s="376" t="s">
        <v>1609</v>
      </c>
      <c r="C2538" s="376" t="s">
        <v>1046</v>
      </c>
      <c r="D2538" s="376">
        <v>2025</v>
      </c>
      <c r="E2538" s="376">
        <v>2027</v>
      </c>
      <c r="F2538" s="376">
        <v>0.40444272241720852</v>
      </c>
      <c r="G2538" s="376">
        <v>8848.5269568257354</v>
      </c>
      <c r="H2538" s="376">
        <v>0.26531649349605579</v>
      </c>
      <c r="I2538" s="376">
        <v>0.85</v>
      </c>
    </row>
    <row r="2539" spans="1:9" x14ac:dyDescent="0.35">
      <c r="A2539" s="376" t="s">
        <v>1613</v>
      </c>
      <c r="B2539" s="376" t="s">
        <v>1609</v>
      </c>
      <c r="C2539" s="376" t="s">
        <v>644</v>
      </c>
      <c r="D2539" s="376">
        <v>2025</v>
      </c>
      <c r="E2539" s="376">
        <v>2027</v>
      </c>
      <c r="F2539" s="376">
        <v>0.40444272241720852</v>
      </c>
      <c r="G2539" s="376">
        <v>8848.5269568257354</v>
      </c>
      <c r="H2539" s="376">
        <v>0.26531649349605579</v>
      </c>
      <c r="I2539" s="376">
        <v>0.85</v>
      </c>
    </row>
    <row r="2540" spans="1:9" x14ac:dyDescent="0.35">
      <c r="A2540" s="376" t="s">
        <v>1613</v>
      </c>
      <c r="B2540" s="376" t="s">
        <v>1609</v>
      </c>
      <c r="C2540" s="376" t="s">
        <v>628</v>
      </c>
      <c r="D2540" s="376">
        <v>2025</v>
      </c>
      <c r="E2540" s="376">
        <v>2027</v>
      </c>
      <c r="F2540" s="376">
        <v>0.40444272241720852</v>
      </c>
      <c r="G2540" s="376">
        <v>8848.5269568257354</v>
      </c>
      <c r="H2540" s="376">
        <v>0.26531649349605579</v>
      </c>
      <c r="I2540" s="376">
        <v>0.85</v>
      </c>
    </row>
    <row r="2541" spans="1:9" x14ac:dyDescent="0.35">
      <c r="A2541" s="376" t="s">
        <v>1613</v>
      </c>
      <c r="B2541" s="376" t="s">
        <v>1609</v>
      </c>
      <c r="C2541" s="376" t="s">
        <v>1051</v>
      </c>
      <c r="D2541" s="376">
        <v>2025</v>
      </c>
      <c r="E2541" s="376">
        <v>2027</v>
      </c>
      <c r="F2541" s="376">
        <v>0.40444272241720852</v>
      </c>
      <c r="G2541" s="376">
        <v>8848.5269568257354</v>
      </c>
      <c r="H2541" s="376">
        <v>0.26531649349605579</v>
      </c>
      <c r="I2541" s="376">
        <v>0.85</v>
      </c>
    </row>
    <row r="2542" spans="1:9" x14ac:dyDescent="0.35">
      <c r="A2542" s="376" t="s">
        <v>1613</v>
      </c>
      <c r="B2542" s="376" t="s">
        <v>1609</v>
      </c>
      <c r="C2542" s="376" t="s">
        <v>1054</v>
      </c>
      <c r="D2542" s="376">
        <v>2025</v>
      </c>
      <c r="E2542" s="376">
        <v>2027</v>
      </c>
      <c r="F2542" s="376">
        <v>0.40444272241720852</v>
      </c>
      <c r="G2542" s="376">
        <v>8848.5269568257354</v>
      </c>
      <c r="H2542" s="376">
        <v>0.26531649349605579</v>
      </c>
      <c r="I2542" s="376">
        <v>0.85</v>
      </c>
    </row>
    <row r="2543" spans="1:9" x14ac:dyDescent="0.35">
      <c r="A2543" s="376" t="s">
        <v>1613</v>
      </c>
      <c r="B2543" s="376" t="s">
        <v>1609</v>
      </c>
      <c r="C2543" s="376" t="s">
        <v>1046</v>
      </c>
      <c r="D2543" s="376">
        <v>2025</v>
      </c>
      <c r="E2543" s="376">
        <v>2028</v>
      </c>
      <c r="F2543" s="376">
        <v>0.40444272241720852</v>
      </c>
      <c r="G2543" s="376">
        <v>8848.5269568257354</v>
      </c>
      <c r="H2543" s="376">
        <v>0.26531649349605579</v>
      </c>
      <c r="I2543" s="376">
        <v>0.85</v>
      </c>
    </row>
    <row r="2544" spans="1:9" x14ac:dyDescent="0.35">
      <c r="A2544" s="376" t="s">
        <v>1613</v>
      </c>
      <c r="B2544" s="376" t="s">
        <v>1609</v>
      </c>
      <c r="C2544" s="376" t="s">
        <v>644</v>
      </c>
      <c r="D2544" s="376">
        <v>2025</v>
      </c>
      <c r="E2544" s="376">
        <v>2028</v>
      </c>
      <c r="F2544" s="376">
        <v>0.40444272241720852</v>
      </c>
      <c r="G2544" s="376">
        <v>8848.5269568257354</v>
      </c>
      <c r="H2544" s="376">
        <v>0.26531649349605579</v>
      </c>
      <c r="I2544" s="376">
        <v>0.85</v>
      </c>
    </row>
    <row r="2545" spans="1:9" x14ac:dyDescent="0.35">
      <c r="A2545" s="376" t="s">
        <v>1613</v>
      </c>
      <c r="B2545" s="376" t="s">
        <v>1609</v>
      </c>
      <c r="C2545" s="376" t="s">
        <v>628</v>
      </c>
      <c r="D2545" s="376">
        <v>2025</v>
      </c>
      <c r="E2545" s="376">
        <v>2028</v>
      </c>
      <c r="F2545" s="376">
        <v>0.40444272241720852</v>
      </c>
      <c r="G2545" s="376">
        <v>8848.5269568257354</v>
      </c>
      <c r="H2545" s="376">
        <v>0.26531649349605579</v>
      </c>
      <c r="I2545" s="376">
        <v>0.85</v>
      </c>
    </row>
    <row r="2546" spans="1:9" x14ac:dyDescent="0.35">
      <c r="A2546" s="376" t="s">
        <v>1613</v>
      </c>
      <c r="B2546" s="376" t="s">
        <v>1609</v>
      </c>
      <c r="C2546" s="376" t="s">
        <v>1051</v>
      </c>
      <c r="D2546" s="376">
        <v>2025</v>
      </c>
      <c r="E2546" s="376">
        <v>2028</v>
      </c>
      <c r="F2546" s="376">
        <v>0.40444272241720852</v>
      </c>
      <c r="G2546" s="376">
        <v>8848.5269568257354</v>
      </c>
      <c r="H2546" s="376">
        <v>0.26531649349605579</v>
      </c>
      <c r="I2546" s="376">
        <v>0.85</v>
      </c>
    </row>
    <row r="2547" spans="1:9" x14ac:dyDescent="0.35">
      <c r="A2547" s="376" t="s">
        <v>1613</v>
      </c>
      <c r="B2547" s="376" t="s">
        <v>1609</v>
      </c>
      <c r="C2547" s="376" t="s">
        <v>1054</v>
      </c>
      <c r="D2547" s="376">
        <v>2025</v>
      </c>
      <c r="E2547" s="376">
        <v>2028</v>
      </c>
      <c r="F2547" s="376">
        <v>0.40444272241720852</v>
      </c>
      <c r="G2547" s="376">
        <v>8848.5269568257354</v>
      </c>
      <c r="H2547" s="376">
        <v>0.26531649349605579</v>
      </c>
      <c r="I2547" s="376">
        <v>0.85</v>
      </c>
    </row>
    <row r="2548" spans="1:9" x14ac:dyDescent="0.35">
      <c r="A2548" s="376" t="s">
        <v>1613</v>
      </c>
      <c r="B2548" s="376" t="s">
        <v>1609</v>
      </c>
      <c r="C2548" s="376" t="s">
        <v>1046</v>
      </c>
      <c r="D2548" s="376">
        <v>2025</v>
      </c>
      <c r="E2548" s="376">
        <v>2029</v>
      </c>
      <c r="F2548" s="376">
        <v>0.40444272241720852</v>
      </c>
      <c r="G2548" s="376">
        <v>8848.5269568257354</v>
      </c>
      <c r="H2548" s="376">
        <v>0.26531649349605579</v>
      </c>
      <c r="I2548" s="376">
        <v>0.85</v>
      </c>
    </row>
    <row r="2549" spans="1:9" x14ac:dyDescent="0.35">
      <c r="A2549" s="376" t="s">
        <v>1613</v>
      </c>
      <c r="B2549" s="376" t="s">
        <v>1609</v>
      </c>
      <c r="C2549" s="376" t="s">
        <v>644</v>
      </c>
      <c r="D2549" s="376">
        <v>2025</v>
      </c>
      <c r="E2549" s="376">
        <v>2029</v>
      </c>
      <c r="F2549" s="376">
        <v>0.40444272241720852</v>
      </c>
      <c r="G2549" s="376">
        <v>8848.5269568257354</v>
      </c>
      <c r="H2549" s="376">
        <v>0.26531649349605579</v>
      </c>
      <c r="I2549" s="376">
        <v>0.85</v>
      </c>
    </row>
    <row r="2550" spans="1:9" x14ac:dyDescent="0.35">
      <c r="A2550" s="376" t="s">
        <v>1613</v>
      </c>
      <c r="B2550" s="376" t="s">
        <v>1609</v>
      </c>
      <c r="C2550" s="376" t="s">
        <v>628</v>
      </c>
      <c r="D2550" s="376">
        <v>2025</v>
      </c>
      <c r="E2550" s="376">
        <v>2029</v>
      </c>
      <c r="F2550" s="376">
        <v>0.40444272241720852</v>
      </c>
      <c r="G2550" s="376">
        <v>8848.5269568257354</v>
      </c>
      <c r="H2550" s="376">
        <v>0.26531649349605579</v>
      </c>
      <c r="I2550" s="376">
        <v>0.85</v>
      </c>
    </row>
    <row r="2551" spans="1:9" x14ac:dyDescent="0.35">
      <c r="A2551" s="376" t="s">
        <v>1613</v>
      </c>
      <c r="B2551" s="376" t="s">
        <v>1609</v>
      </c>
      <c r="C2551" s="376" t="s">
        <v>1051</v>
      </c>
      <c r="D2551" s="376">
        <v>2025</v>
      </c>
      <c r="E2551" s="376">
        <v>2029</v>
      </c>
      <c r="F2551" s="376">
        <v>0.40444272241720852</v>
      </c>
      <c r="G2551" s="376">
        <v>8848.5269568257354</v>
      </c>
      <c r="H2551" s="376">
        <v>0.26531649349605579</v>
      </c>
      <c r="I2551" s="376">
        <v>0.85</v>
      </c>
    </row>
    <row r="2552" spans="1:9" x14ac:dyDescent="0.35">
      <c r="A2552" s="376" t="s">
        <v>1613</v>
      </c>
      <c r="B2552" s="376" t="s">
        <v>1609</v>
      </c>
      <c r="C2552" s="376" t="s">
        <v>1054</v>
      </c>
      <c r="D2552" s="376">
        <v>2025</v>
      </c>
      <c r="E2552" s="376">
        <v>2029</v>
      </c>
      <c r="F2552" s="376">
        <v>0.40444272241720852</v>
      </c>
      <c r="G2552" s="376">
        <v>8848.5269568257354</v>
      </c>
      <c r="H2552" s="376">
        <v>0.26531649349605579</v>
      </c>
      <c r="I2552" s="376">
        <v>0.85</v>
      </c>
    </row>
    <row r="2553" spans="1:9" x14ac:dyDescent="0.35">
      <c r="A2553" s="376" t="s">
        <v>1613</v>
      </c>
      <c r="B2553" s="376" t="s">
        <v>1609</v>
      </c>
      <c r="C2553" s="376" t="s">
        <v>1046</v>
      </c>
      <c r="D2553" s="376">
        <v>2025</v>
      </c>
      <c r="E2553" s="376">
        <v>2030</v>
      </c>
      <c r="F2553" s="376">
        <v>0.40444272241720852</v>
      </c>
      <c r="G2553" s="376">
        <v>8848.5269568257354</v>
      </c>
      <c r="H2553" s="376">
        <v>0.26531649349605579</v>
      </c>
      <c r="I2553" s="376">
        <v>0.85</v>
      </c>
    </row>
    <row r="2554" spans="1:9" x14ac:dyDescent="0.35">
      <c r="A2554" s="376" t="s">
        <v>1613</v>
      </c>
      <c r="B2554" s="376" t="s">
        <v>1609</v>
      </c>
      <c r="C2554" s="376" t="s">
        <v>644</v>
      </c>
      <c r="D2554" s="376">
        <v>2025</v>
      </c>
      <c r="E2554" s="376">
        <v>2030</v>
      </c>
      <c r="F2554" s="376">
        <v>0.40444272241720852</v>
      </c>
      <c r="G2554" s="376">
        <v>8848.5269568257354</v>
      </c>
      <c r="H2554" s="376">
        <v>0.26531649349605579</v>
      </c>
      <c r="I2554" s="376">
        <v>0.85</v>
      </c>
    </row>
    <row r="2555" spans="1:9" x14ac:dyDescent="0.35">
      <c r="A2555" s="376" t="s">
        <v>1613</v>
      </c>
      <c r="B2555" s="376" t="s">
        <v>1609</v>
      </c>
      <c r="C2555" s="376" t="s">
        <v>628</v>
      </c>
      <c r="D2555" s="376">
        <v>2025</v>
      </c>
      <c r="E2555" s="376">
        <v>2030</v>
      </c>
      <c r="F2555" s="376">
        <v>0.40444272241720852</v>
      </c>
      <c r="G2555" s="376">
        <v>8848.5269568257354</v>
      </c>
      <c r="H2555" s="376">
        <v>0.26531649349605579</v>
      </c>
      <c r="I2555" s="376">
        <v>0.85</v>
      </c>
    </row>
    <row r="2556" spans="1:9" x14ac:dyDescent="0.35">
      <c r="A2556" s="376" t="s">
        <v>1613</v>
      </c>
      <c r="B2556" s="376" t="s">
        <v>1609</v>
      </c>
      <c r="C2556" s="376" t="s">
        <v>1051</v>
      </c>
      <c r="D2556" s="376">
        <v>2025</v>
      </c>
      <c r="E2556" s="376">
        <v>2030</v>
      </c>
      <c r="F2556" s="376">
        <v>0.40444272241720852</v>
      </c>
      <c r="G2556" s="376">
        <v>8848.5269568257354</v>
      </c>
      <c r="H2556" s="376">
        <v>0.26531649349605579</v>
      </c>
      <c r="I2556" s="376">
        <v>0.85</v>
      </c>
    </row>
    <row r="2557" spans="1:9" x14ac:dyDescent="0.35">
      <c r="A2557" s="376" t="s">
        <v>1613</v>
      </c>
      <c r="B2557" s="376" t="s">
        <v>1609</v>
      </c>
      <c r="C2557" s="376" t="s">
        <v>1054</v>
      </c>
      <c r="D2557" s="376">
        <v>2025</v>
      </c>
      <c r="E2557" s="376">
        <v>2030</v>
      </c>
      <c r="F2557" s="376">
        <v>0.40444272241720852</v>
      </c>
      <c r="G2557" s="376">
        <v>8848.5269568257354</v>
      </c>
      <c r="H2557" s="376">
        <v>0.26531649349605579</v>
      </c>
      <c r="I2557" s="376">
        <v>0.85</v>
      </c>
    </row>
    <row r="2558" spans="1:9" x14ac:dyDescent="0.35">
      <c r="A2558" s="376" t="s">
        <v>1613</v>
      </c>
      <c r="B2558" s="376" t="s">
        <v>1609</v>
      </c>
      <c r="C2558" s="376" t="s">
        <v>1046</v>
      </c>
      <c r="D2558" s="376">
        <v>2025</v>
      </c>
      <c r="E2558" s="376">
        <v>2031</v>
      </c>
      <c r="F2558" s="376">
        <v>0.40444272241720852</v>
      </c>
      <c r="G2558" s="376">
        <v>8848.5269568257354</v>
      </c>
      <c r="H2558" s="376">
        <v>0.26531649349605579</v>
      </c>
      <c r="I2558" s="376">
        <v>0.85</v>
      </c>
    </row>
    <row r="2559" spans="1:9" x14ac:dyDescent="0.35">
      <c r="A2559" s="376" t="s">
        <v>1613</v>
      </c>
      <c r="B2559" s="376" t="s">
        <v>1609</v>
      </c>
      <c r="C2559" s="376" t="s">
        <v>644</v>
      </c>
      <c r="D2559" s="376">
        <v>2025</v>
      </c>
      <c r="E2559" s="376">
        <v>2031</v>
      </c>
      <c r="F2559" s="376">
        <v>0.40444272241720852</v>
      </c>
      <c r="G2559" s="376">
        <v>8848.5269568257354</v>
      </c>
      <c r="H2559" s="376">
        <v>0.26531649349605579</v>
      </c>
      <c r="I2559" s="376">
        <v>0.85</v>
      </c>
    </row>
    <row r="2560" spans="1:9" x14ac:dyDescent="0.35">
      <c r="A2560" s="376" t="s">
        <v>1613</v>
      </c>
      <c r="B2560" s="376" t="s">
        <v>1609</v>
      </c>
      <c r="C2560" s="376" t="s">
        <v>628</v>
      </c>
      <c r="D2560" s="376">
        <v>2025</v>
      </c>
      <c r="E2560" s="376">
        <v>2031</v>
      </c>
      <c r="F2560" s="376">
        <v>0.40444272241720852</v>
      </c>
      <c r="G2560" s="376">
        <v>8848.5269568257354</v>
      </c>
      <c r="H2560" s="376">
        <v>0.26531649349605579</v>
      </c>
      <c r="I2560" s="376">
        <v>0.85</v>
      </c>
    </row>
    <row r="2561" spans="1:9" x14ac:dyDescent="0.35">
      <c r="A2561" s="376" t="s">
        <v>1613</v>
      </c>
      <c r="B2561" s="376" t="s">
        <v>1609</v>
      </c>
      <c r="C2561" s="376" t="s">
        <v>1051</v>
      </c>
      <c r="D2561" s="376">
        <v>2025</v>
      </c>
      <c r="E2561" s="376">
        <v>2031</v>
      </c>
      <c r="F2561" s="376">
        <v>0.40444272241720852</v>
      </c>
      <c r="G2561" s="376">
        <v>8848.5269568257354</v>
      </c>
      <c r="H2561" s="376">
        <v>0.26531649349605579</v>
      </c>
      <c r="I2561" s="376">
        <v>0.85</v>
      </c>
    </row>
    <row r="2562" spans="1:9" x14ac:dyDescent="0.35">
      <c r="A2562" s="376" t="s">
        <v>1613</v>
      </c>
      <c r="B2562" s="376" t="s">
        <v>1609</v>
      </c>
      <c r="C2562" s="376" t="s">
        <v>1054</v>
      </c>
      <c r="D2562" s="376">
        <v>2025</v>
      </c>
      <c r="E2562" s="376">
        <v>2031</v>
      </c>
      <c r="F2562" s="376">
        <v>0.40444272241720852</v>
      </c>
      <c r="G2562" s="376">
        <v>8848.5269568257354</v>
      </c>
      <c r="H2562" s="376">
        <v>0.26531649349605579</v>
      </c>
      <c r="I2562" s="376">
        <v>0.85</v>
      </c>
    </row>
    <row r="2563" spans="1:9" x14ac:dyDescent="0.35">
      <c r="A2563" s="376" t="s">
        <v>1614</v>
      </c>
      <c r="B2563" s="376" t="s">
        <v>1609</v>
      </c>
      <c r="C2563" s="376" t="s">
        <v>1046</v>
      </c>
      <c r="D2563" s="376">
        <v>2025</v>
      </c>
      <c r="E2563" s="376">
        <v>2025</v>
      </c>
      <c r="F2563" s="376">
        <v>0.28070162831646173</v>
      </c>
      <c r="G2563" s="376">
        <v>6454.3984013550207</v>
      </c>
      <c r="H2563" s="376">
        <v>0.26531649349605579</v>
      </c>
      <c r="I2563" s="376">
        <v>0.85</v>
      </c>
    </row>
    <row r="2564" spans="1:9" x14ac:dyDescent="0.35">
      <c r="A2564" s="376" t="s">
        <v>1614</v>
      </c>
      <c r="B2564" s="376" t="s">
        <v>1609</v>
      </c>
      <c r="C2564" s="376" t="s">
        <v>644</v>
      </c>
      <c r="D2564" s="376">
        <v>2025</v>
      </c>
      <c r="E2564" s="376">
        <v>2025</v>
      </c>
      <c r="F2564" s="376">
        <v>0.28070162831646173</v>
      </c>
      <c r="G2564" s="376">
        <v>6454.3984013550207</v>
      </c>
      <c r="H2564" s="376">
        <v>0.26531649349605579</v>
      </c>
      <c r="I2564" s="376">
        <v>0.85</v>
      </c>
    </row>
    <row r="2565" spans="1:9" x14ac:dyDescent="0.35">
      <c r="A2565" s="376" t="s">
        <v>1614</v>
      </c>
      <c r="B2565" s="376" t="s">
        <v>1609</v>
      </c>
      <c r="C2565" s="376" t="s">
        <v>628</v>
      </c>
      <c r="D2565" s="376">
        <v>2025</v>
      </c>
      <c r="E2565" s="376">
        <v>2025</v>
      </c>
      <c r="F2565" s="376">
        <v>0.28070162831646173</v>
      </c>
      <c r="G2565" s="376">
        <v>6454.3984013550207</v>
      </c>
      <c r="H2565" s="376">
        <v>0.26531649349605579</v>
      </c>
      <c r="I2565" s="376">
        <v>0.85</v>
      </c>
    </row>
    <row r="2566" spans="1:9" x14ac:dyDescent="0.35">
      <c r="A2566" s="376" t="s">
        <v>1614</v>
      </c>
      <c r="B2566" s="376" t="s">
        <v>1609</v>
      </c>
      <c r="C2566" s="376" t="s">
        <v>1051</v>
      </c>
      <c r="D2566" s="376">
        <v>2025</v>
      </c>
      <c r="E2566" s="376">
        <v>2025</v>
      </c>
      <c r="F2566" s="376">
        <v>0.28070162831646173</v>
      </c>
      <c r="G2566" s="376">
        <v>6454.3984013550207</v>
      </c>
      <c r="H2566" s="376">
        <v>0.26531649349605579</v>
      </c>
      <c r="I2566" s="376">
        <v>0.85</v>
      </c>
    </row>
    <row r="2567" spans="1:9" x14ac:dyDescent="0.35">
      <c r="A2567" s="376" t="s">
        <v>1614</v>
      </c>
      <c r="B2567" s="376" t="s">
        <v>1609</v>
      </c>
      <c r="C2567" s="376" t="s">
        <v>1054</v>
      </c>
      <c r="D2567" s="376">
        <v>2025</v>
      </c>
      <c r="E2567" s="376">
        <v>2025</v>
      </c>
      <c r="F2567" s="376">
        <v>0.28070162831646173</v>
      </c>
      <c r="G2567" s="376">
        <v>6454.3984013550207</v>
      </c>
      <c r="H2567" s="376">
        <v>0.26531649349605579</v>
      </c>
      <c r="I2567" s="376">
        <v>0.85</v>
      </c>
    </row>
    <row r="2568" spans="1:9" x14ac:dyDescent="0.35">
      <c r="A2568" s="376" t="s">
        <v>1614</v>
      </c>
      <c r="B2568" s="376" t="s">
        <v>1609</v>
      </c>
      <c r="C2568" s="376" t="s">
        <v>1046</v>
      </c>
      <c r="D2568" s="376">
        <v>2025</v>
      </c>
      <c r="E2568" s="376">
        <v>2026</v>
      </c>
      <c r="F2568" s="376">
        <v>0.28070162831646173</v>
      </c>
      <c r="G2568" s="376">
        <v>6454.3984013550207</v>
      </c>
      <c r="H2568" s="376">
        <v>0.26531649349605579</v>
      </c>
      <c r="I2568" s="376">
        <v>0.85</v>
      </c>
    </row>
    <row r="2569" spans="1:9" x14ac:dyDescent="0.35">
      <c r="A2569" s="376" t="s">
        <v>1614</v>
      </c>
      <c r="B2569" s="376" t="s">
        <v>1609</v>
      </c>
      <c r="C2569" s="376" t="s">
        <v>644</v>
      </c>
      <c r="D2569" s="376">
        <v>2025</v>
      </c>
      <c r="E2569" s="376">
        <v>2026</v>
      </c>
      <c r="F2569" s="376">
        <v>0.28070162831646173</v>
      </c>
      <c r="G2569" s="376">
        <v>6454.3984013550207</v>
      </c>
      <c r="H2569" s="376">
        <v>0.26531649349605579</v>
      </c>
      <c r="I2569" s="376">
        <v>0.85</v>
      </c>
    </row>
    <row r="2570" spans="1:9" x14ac:dyDescent="0.35">
      <c r="A2570" s="376" t="s">
        <v>1614</v>
      </c>
      <c r="B2570" s="376" t="s">
        <v>1609</v>
      </c>
      <c r="C2570" s="376" t="s">
        <v>628</v>
      </c>
      <c r="D2570" s="376">
        <v>2025</v>
      </c>
      <c r="E2570" s="376">
        <v>2026</v>
      </c>
      <c r="F2570" s="376">
        <v>0.28070162831646173</v>
      </c>
      <c r="G2570" s="376">
        <v>6454.3984013550207</v>
      </c>
      <c r="H2570" s="376">
        <v>0.26531649349605579</v>
      </c>
      <c r="I2570" s="376">
        <v>0.85</v>
      </c>
    </row>
    <row r="2571" spans="1:9" x14ac:dyDescent="0.35">
      <c r="A2571" s="376" t="s">
        <v>1614</v>
      </c>
      <c r="B2571" s="376" t="s">
        <v>1609</v>
      </c>
      <c r="C2571" s="376" t="s">
        <v>1051</v>
      </c>
      <c r="D2571" s="376">
        <v>2025</v>
      </c>
      <c r="E2571" s="376">
        <v>2026</v>
      </c>
      <c r="F2571" s="376">
        <v>0.28070162831646173</v>
      </c>
      <c r="G2571" s="376">
        <v>6454.3984013550207</v>
      </c>
      <c r="H2571" s="376">
        <v>0.26531649349605579</v>
      </c>
      <c r="I2571" s="376">
        <v>0.85</v>
      </c>
    </row>
    <row r="2572" spans="1:9" x14ac:dyDescent="0.35">
      <c r="A2572" s="376" t="s">
        <v>1614</v>
      </c>
      <c r="B2572" s="376" t="s">
        <v>1609</v>
      </c>
      <c r="C2572" s="376" t="s">
        <v>1054</v>
      </c>
      <c r="D2572" s="376">
        <v>2025</v>
      </c>
      <c r="E2572" s="376">
        <v>2026</v>
      </c>
      <c r="F2572" s="376">
        <v>0.28070162831646173</v>
      </c>
      <c r="G2572" s="376">
        <v>6454.3984013550207</v>
      </c>
      <c r="H2572" s="376">
        <v>0.26531649349605579</v>
      </c>
      <c r="I2572" s="376">
        <v>0.85</v>
      </c>
    </row>
    <row r="2573" spans="1:9" x14ac:dyDescent="0.35">
      <c r="A2573" s="376" t="s">
        <v>1614</v>
      </c>
      <c r="B2573" s="376" t="s">
        <v>1609</v>
      </c>
      <c r="C2573" s="376" t="s">
        <v>1046</v>
      </c>
      <c r="D2573" s="376">
        <v>2025</v>
      </c>
      <c r="E2573" s="376">
        <v>2027</v>
      </c>
      <c r="F2573" s="376">
        <v>0.28070162831646173</v>
      </c>
      <c r="G2573" s="376">
        <v>6454.3984013550207</v>
      </c>
      <c r="H2573" s="376">
        <v>0.26531649349605579</v>
      </c>
      <c r="I2573" s="376">
        <v>0.85</v>
      </c>
    </row>
    <row r="2574" spans="1:9" x14ac:dyDescent="0.35">
      <c r="A2574" s="376" t="s">
        <v>1614</v>
      </c>
      <c r="B2574" s="376" t="s">
        <v>1609</v>
      </c>
      <c r="C2574" s="376" t="s">
        <v>644</v>
      </c>
      <c r="D2574" s="376">
        <v>2025</v>
      </c>
      <c r="E2574" s="376">
        <v>2027</v>
      </c>
      <c r="F2574" s="376">
        <v>0.28070162831646173</v>
      </c>
      <c r="G2574" s="376">
        <v>6454.3984013550207</v>
      </c>
      <c r="H2574" s="376">
        <v>0.26531649349605579</v>
      </c>
      <c r="I2574" s="376">
        <v>0.85</v>
      </c>
    </row>
    <row r="2575" spans="1:9" x14ac:dyDescent="0.35">
      <c r="A2575" s="376" t="s">
        <v>1614</v>
      </c>
      <c r="B2575" s="376" t="s">
        <v>1609</v>
      </c>
      <c r="C2575" s="376" t="s">
        <v>628</v>
      </c>
      <c r="D2575" s="376">
        <v>2025</v>
      </c>
      <c r="E2575" s="376">
        <v>2027</v>
      </c>
      <c r="F2575" s="376">
        <v>0.28070162831646173</v>
      </c>
      <c r="G2575" s="376">
        <v>6454.3984013550207</v>
      </c>
      <c r="H2575" s="376">
        <v>0.26531649349605579</v>
      </c>
      <c r="I2575" s="376">
        <v>0.85</v>
      </c>
    </row>
    <row r="2576" spans="1:9" x14ac:dyDescent="0.35">
      <c r="A2576" s="376" t="s">
        <v>1614</v>
      </c>
      <c r="B2576" s="376" t="s">
        <v>1609</v>
      </c>
      <c r="C2576" s="376" t="s">
        <v>1051</v>
      </c>
      <c r="D2576" s="376">
        <v>2025</v>
      </c>
      <c r="E2576" s="376">
        <v>2027</v>
      </c>
      <c r="F2576" s="376">
        <v>0.28070162831646173</v>
      </c>
      <c r="G2576" s="376">
        <v>6454.3984013550207</v>
      </c>
      <c r="H2576" s="376">
        <v>0.26531649349605579</v>
      </c>
      <c r="I2576" s="376">
        <v>0.85</v>
      </c>
    </row>
    <row r="2577" spans="1:9" x14ac:dyDescent="0.35">
      <c r="A2577" s="376" t="s">
        <v>1614</v>
      </c>
      <c r="B2577" s="376" t="s">
        <v>1609</v>
      </c>
      <c r="C2577" s="376" t="s">
        <v>1054</v>
      </c>
      <c r="D2577" s="376">
        <v>2025</v>
      </c>
      <c r="E2577" s="376">
        <v>2027</v>
      </c>
      <c r="F2577" s="376">
        <v>0.28070162831646173</v>
      </c>
      <c r="G2577" s="376">
        <v>6454.3984013550207</v>
      </c>
      <c r="H2577" s="376">
        <v>0.26531649349605579</v>
      </c>
      <c r="I2577" s="376">
        <v>0.85</v>
      </c>
    </row>
    <row r="2578" spans="1:9" x14ac:dyDescent="0.35">
      <c r="A2578" s="376" t="s">
        <v>1614</v>
      </c>
      <c r="B2578" s="376" t="s">
        <v>1609</v>
      </c>
      <c r="C2578" s="376" t="s">
        <v>1046</v>
      </c>
      <c r="D2578" s="376">
        <v>2025</v>
      </c>
      <c r="E2578" s="376">
        <v>2028</v>
      </c>
      <c r="F2578" s="376">
        <v>0.28070162831646173</v>
      </c>
      <c r="G2578" s="376">
        <v>6454.3984013550207</v>
      </c>
      <c r="H2578" s="376">
        <v>0.26531649349605579</v>
      </c>
      <c r="I2578" s="376">
        <v>0.85</v>
      </c>
    </row>
    <row r="2579" spans="1:9" x14ac:dyDescent="0.35">
      <c r="A2579" s="376" t="s">
        <v>1614</v>
      </c>
      <c r="B2579" s="376" t="s">
        <v>1609</v>
      </c>
      <c r="C2579" s="376" t="s">
        <v>644</v>
      </c>
      <c r="D2579" s="376">
        <v>2025</v>
      </c>
      <c r="E2579" s="376">
        <v>2028</v>
      </c>
      <c r="F2579" s="376">
        <v>0.28070162831646173</v>
      </c>
      <c r="G2579" s="376">
        <v>6454.3984013550207</v>
      </c>
      <c r="H2579" s="376">
        <v>0.26531649349605579</v>
      </c>
      <c r="I2579" s="376">
        <v>0.85</v>
      </c>
    </row>
    <row r="2580" spans="1:9" x14ac:dyDescent="0.35">
      <c r="A2580" s="376" t="s">
        <v>1614</v>
      </c>
      <c r="B2580" s="376" t="s">
        <v>1609</v>
      </c>
      <c r="C2580" s="376" t="s">
        <v>628</v>
      </c>
      <c r="D2580" s="376">
        <v>2025</v>
      </c>
      <c r="E2580" s="376">
        <v>2028</v>
      </c>
      <c r="F2580" s="376">
        <v>0.28070162831646173</v>
      </c>
      <c r="G2580" s="376">
        <v>6454.3984013550207</v>
      </c>
      <c r="H2580" s="376">
        <v>0.26531649349605579</v>
      </c>
      <c r="I2580" s="376">
        <v>0.85</v>
      </c>
    </row>
    <row r="2581" spans="1:9" x14ac:dyDescent="0.35">
      <c r="A2581" s="376" t="s">
        <v>1614</v>
      </c>
      <c r="B2581" s="376" t="s">
        <v>1609</v>
      </c>
      <c r="C2581" s="376" t="s">
        <v>1051</v>
      </c>
      <c r="D2581" s="376">
        <v>2025</v>
      </c>
      <c r="E2581" s="376">
        <v>2028</v>
      </c>
      <c r="F2581" s="376">
        <v>0.28070162831646173</v>
      </c>
      <c r="G2581" s="376">
        <v>6454.3984013550207</v>
      </c>
      <c r="H2581" s="376">
        <v>0.26531649349605579</v>
      </c>
      <c r="I2581" s="376">
        <v>0.85</v>
      </c>
    </row>
    <row r="2582" spans="1:9" x14ac:dyDescent="0.35">
      <c r="A2582" s="376" t="s">
        <v>1614</v>
      </c>
      <c r="B2582" s="376" t="s">
        <v>1609</v>
      </c>
      <c r="C2582" s="376" t="s">
        <v>1054</v>
      </c>
      <c r="D2582" s="376">
        <v>2025</v>
      </c>
      <c r="E2582" s="376">
        <v>2028</v>
      </c>
      <c r="F2582" s="376">
        <v>0.28070162831646173</v>
      </c>
      <c r="G2582" s="376">
        <v>6454.3984013550207</v>
      </c>
      <c r="H2582" s="376">
        <v>0.26531649349605579</v>
      </c>
      <c r="I2582" s="376">
        <v>0.85</v>
      </c>
    </row>
    <row r="2583" spans="1:9" x14ac:dyDescent="0.35">
      <c r="A2583" s="376" t="s">
        <v>1614</v>
      </c>
      <c r="B2583" s="376" t="s">
        <v>1609</v>
      </c>
      <c r="C2583" s="376" t="s">
        <v>1046</v>
      </c>
      <c r="D2583" s="376">
        <v>2025</v>
      </c>
      <c r="E2583" s="376">
        <v>2029</v>
      </c>
      <c r="F2583" s="376">
        <v>0.28070162831646173</v>
      </c>
      <c r="G2583" s="376">
        <v>6454.3984013550207</v>
      </c>
      <c r="H2583" s="376">
        <v>0.26531649349605579</v>
      </c>
      <c r="I2583" s="376">
        <v>0.85</v>
      </c>
    </row>
    <row r="2584" spans="1:9" x14ac:dyDescent="0.35">
      <c r="A2584" s="376" t="s">
        <v>1614</v>
      </c>
      <c r="B2584" s="376" t="s">
        <v>1609</v>
      </c>
      <c r="C2584" s="376" t="s">
        <v>644</v>
      </c>
      <c r="D2584" s="376">
        <v>2025</v>
      </c>
      <c r="E2584" s="376">
        <v>2029</v>
      </c>
      <c r="F2584" s="376">
        <v>0.28070162831646173</v>
      </c>
      <c r="G2584" s="376">
        <v>6454.3984013550207</v>
      </c>
      <c r="H2584" s="376">
        <v>0.26531649349605579</v>
      </c>
      <c r="I2584" s="376">
        <v>0.85</v>
      </c>
    </row>
    <row r="2585" spans="1:9" x14ac:dyDescent="0.35">
      <c r="A2585" s="376" t="s">
        <v>1614</v>
      </c>
      <c r="B2585" s="376" t="s">
        <v>1609</v>
      </c>
      <c r="C2585" s="376" t="s">
        <v>628</v>
      </c>
      <c r="D2585" s="376">
        <v>2025</v>
      </c>
      <c r="E2585" s="376">
        <v>2029</v>
      </c>
      <c r="F2585" s="376">
        <v>0.28070162831646173</v>
      </c>
      <c r="G2585" s="376">
        <v>6454.3984013550207</v>
      </c>
      <c r="H2585" s="376">
        <v>0.26531649349605579</v>
      </c>
      <c r="I2585" s="376">
        <v>0.85</v>
      </c>
    </row>
    <row r="2586" spans="1:9" x14ac:dyDescent="0.35">
      <c r="A2586" s="376" t="s">
        <v>1614</v>
      </c>
      <c r="B2586" s="376" t="s">
        <v>1609</v>
      </c>
      <c r="C2586" s="376" t="s">
        <v>1051</v>
      </c>
      <c r="D2586" s="376">
        <v>2025</v>
      </c>
      <c r="E2586" s="376">
        <v>2029</v>
      </c>
      <c r="F2586" s="376">
        <v>0.28070162831646173</v>
      </c>
      <c r="G2586" s="376">
        <v>6454.3984013550207</v>
      </c>
      <c r="H2586" s="376">
        <v>0.26531649349605579</v>
      </c>
      <c r="I2586" s="376">
        <v>0.85</v>
      </c>
    </row>
    <row r="2587" spans="1:9" x14ac:dyDescent="0.35">
      <c r="A2587" s="376" t="s">
        <v>1614</v>
      </c>
      <c r="B2587" s="376" t="s">
        <v>1609</v>
      </c>
      <c r="C2587" s="376" t="s">
        <v>1054</v>
      </c>
      <c r="D2587" s="376">
        <v>2025</v>
      </c>
      <c r="E2587" s="376">
        <v>2029</v>
      </c>
      <c r="F2587" s="376">
        <v>0.28070162831646173</v>
      </c>
      <c r="G2587" s="376">
        <v>6454.3984013550207</v>
      </c>
      <c r="H2587" s="376">
        <v>0.26531649349605579</v>
      </c>
      <c r="I2587" s="376">
        <v>0.85</v>
      </c>
    </row>
    <row r="2588" spans="1:9" x14ac:dyDescent="0.35">
      <c r="A2588" s="376" t="s">
        <v>1614</v>
      </c>
      <c r="B2588" s="376" t="s">
        <v>1609</v>
      </c>
      <c r="C2588" s="376" t="s">
        <v>1046</v>
      </c>
      <c r="D2588" s="376">
        <v>2025</v>
      </c>
      <c r="E2588" s="376">
        <v>2030</v>
      </c>
      <c r="F2588" s="376">
        <v>0.28070162831646173</v>
      </c>
      <c r="G2588" s="376">
        <v>6454.3984013550207</v>
      </c>
      <c r="H2588" s="376">
        <v>0.26531649349605579</v>
      </c>
      <c r="I2588" s="376">
        <v>0.85</v>
      </c>
    </row>
    <row r="2589" spans="1:9" x14ac:dyDescent="0.35">
      <c r="A2589" s="376" t="s">
        <v>1614</v>
      </c>
      <c r="B2589" s="376" t="s">
        <v>1609</v>
      </c>
      <c r="C2589" s="376" t="s">
        <v>644</v>
      </c>
      <c r="D2589" s="376">
        <v>2025</v>
      </c>
      <c r="E2589" s="376">
        <v>2030</v>
      </c>
      <c r="F2589" s="376">
        <v>0.28070162831646173</v>
      </c>
      <c r="G2589" s="376">
        <v>6454.3984013550207</v>
      </c>
      <c r="H2589" s="376">
        <v>0.26531649349605579</v>
      </c>
      <c r="I2589" s="376">
        <v>0.85</v>
      </c>
    </row>
    <row r="2590" spans="1:9" x14ac:dyDescent="0.35">
      <c r="A2590" s="376" t="s">
        <v>1614</v>
      </c>
      <c r="B2590" s="376" t="s">
        <v>1609</v>
      </c>
      <c r="C2590" s="376" t="s">
        <v>628</v>
      </c>
      <c r="D2590" s="376">
        <v>2025</v>
      </c>
      <c r="E2590" s="376">
        <v>2030</v>
      </c>
      <c r="F2590" s="376">
        <v>0.28070162831646173</v>
      </c>
      <c r="G2590" s="376">
        <v>6454.3984013550207</v>
      </c>
      <c r="H2590" s="376">
        <v>0.26531649349605579</v>
      </c>
      <c r="I2590" s="376">
        <v>0.85</v>
      </c>
    </row>
    <row r="2591" spans="1:9" x14ac:dyDescent="0.35">
      <c r="A2591" s="376" t="s">
        <v>1614</v>
      </c>
      <c r="B2591" s="376" t="s">
        <v>1609</v>
      </c>
      <c r="C2591" s="376" t="s">
        <v>1051</v>
      </c>
      <c r="D2591" s="376">
        <v>2025</v>
      </c>
      <c r="E2591" s="376">
        <v>2030</v>
      </c>
      <c r="F2591" s="376">
        <v>0.28070162831646173</v>
      </c>
      <c r="G2591" s="376">
        <v>6454.3984013550207</v>
      </c>
      <c r="H2591" s="376">
        <v>0.26531649349605579</v>
      </c>
      <c r="I2591" s="376">
        <v>0.85</v>
      </c>
    </row>
    <row r="2592" spans="1:9" x14ac:dyDescent="0.35">
      <c r="A2592" s="376" t="s">
        <v>1614</v>
      </c>
      <c r="B2592" s="376" t="s">
        <v>1609</v>
      </c>
      <c r="C2592" s="376" t="s">
        <v>1054</v>
      </c>
      <c r="D2592" s="376">
        <v>2025</v>
      </c>
      <c r="E2592" s="376">
        <v>2030</v>
      </c>
      <c r="F2592" s="376">
        <v>0.28070162831646173</v>
      </c>
      <c r="G2592" s="376">
        <v>6454.3984013550207</v>
      </c>
      <c r="H2592" s="376">
        <v>0.26531649349605579</v>
      </c>
      <c r="I2592" s="376">
        <v>0.85</v>
      </c>
    </row>
    <row r="2593" spans="1:9" x14ac:dyDescent="0.35">
      <c r="A2593" s="376" t="s">
        <v>1614</v>
      </c>
      <c r="B2593" s="376" t="s">
        <v>1609</v>
      </c>
      <c r="C2593" s="376" t="s">
        <v>1046</v>
      </c>
      <c r="D2593" s="376">
        <v>2025</v>
      </c>
      <c r="E2593" s="376">
        <v>2031</v>
      </c>
      <c r="F2593" s="376">
        <v>0.28070162831646173</v>
      </c>
      <c r="G2593" s="376">
        <v>6454.3984013550207</v>
      </c>
      <c r="H2593" s="376">
        <v>0.26531649349605579</v>
      </c>
      <c r="I2593" s="376">
        <v>0.85</v>
      </c>
    </row>
    <row r="2594" spans="1:9" x14ac:dyDescent="0.35">
      <c r="A2594" s="376" t="s">
        <v>1614</v>
      </c>
      <c r="B2594" s="376" t="s">
        <v>1609</v>
      </c>
      <c r="C2594" s="376" t="s">
        <v>644</v>
      </c>
      <c r="D2594" s="376">
        <v>2025</v>
      </c>
      <c r="E2594" s="376">
        <v>2031</v>
      </c>
      <c r="F2594" s="376">
        <v>0.28070162831646173</v>
      </c>
      <c r="G2594" s="376">
        <v>6454.3984013550207</v>
      </c>
      <c r="H2594" s="376">
        <v>0.26531649349605579</v>
      </c>
      <c r="I2594" s="376">
        <v>0.85</v>
      </c>
    </row>
    <row r="2595" spans="1:9" x14ac:dyDescent="0.35">
      <c r="A2595" s="376" t="s">
        <v>1614</v>
      </c>
      <c r="B2595" s="376" t="s">
        <v>1609</v>
      </c>
      <c r="C2595" s="376" t="s">
        <v>628</v>
      </c>
      <c r="D2595" s="376">
        <v>2025</v>
      </c>
      <c r="E2595" s="376">
        <v>2031</v>
      </c>
      <c r="F2595" s="376">
        <v>0.28070162831646173</v>
      </c>
      <c r="G2595" s="376">
        <v>6454.3984013550207</v>
      </c>
      <c r="H2595" s="376">
        <v>0.26531649349605579</v>
      </c>
      <c r="I2595" s="376">
        <v>0.85</v>
      </c>
    </row>
    <row r="2596" spans="1:9" x14ac:dyDescent="0.35">
      <c r="A2596" s="376" t="s">
        <v>1614</v>
      </c>
      <c r="B2596" s="376" t="s">
        <v>1609</v>
      </c>
      <c r="C2596" s="376" t="s">
        <v>1051</v>
      </c>
      <c r="D2596" s="376">
        <v>2025</v>
      </c>
      <c r="E2596" s="376">
        <v>2031</v>
      </c>
      <c r="F2596" s="376">
        <v>0.28070162831646173</v>
      </c>
      <c r="G2596" s="376">
        <v>6454.3984013550207</v>
      </c>
      <c r="H2596" s="376">
        <v>0.26531649349605579</v>
      </c>
      <c r="I2596" s="376">
        <v>0.85</v>
      </c>
    </row>
    <row r="2597" spans="1:9" x14ac:dyDescent="0.35">
      <c r="A2597" s="376" t="s">
        <v>1614</v>
      </c>
      <c r="B2597" s="376" t="s">
        <v>1609</v>
      </c>
      <c r="C2597" s="376" t="s">
        <v>1054</v>
      </c>
      <c r="D2597" s="376">
        <v>2025</v>
      </c>
      <c r="E2597" s="376">
        <v>2031</v>
      </c>
      <c r="F2597" s="376">
        <v>0.28070162831646173</v>
      </c>
      <c r="G2597" s="376">
        <v>6454.3984013550207</v>
      </c>
      <c r="H2597" s="376">
        <v>0.26531649349605579</v>
      </c>
      <c r="I2597" s="376">
        <v>0.85</v>
      </c>
    </row>
    <row r="2598" spans="1:9" x14ac:dyDescent="0.35">
      <c r="A2598" s="376" t="s">
        <v>1604</v>
      </c>
      <c r="B2598" s="376" t="s">
        <v>1609</v>
      </c>
      <c r="C2598" s="376" t="s">
        <v>1046</v>
      </c>
      <c r="D2598" s="376">
        <v>2025</v>
      </c>
      <c r="E2598" s="376">
        <v>2025</v>
      </c>
      <c r="F2598" s="376">
        <v>1</v>
      </c>
      <c r="G2598" s="376">
        <v>10872.741503138899</v>
      </c>
      <c r="H2598" s="376">
        <v>0</v>
      </c>
      <c r="I2598" s="376">
        <v>1</v>
      </c>
    </row>
    <row r="2599" spans="1:9" x14ac:dyDescent="0.35">
      <c r="A2599" s="376" t="s">
        <v>1604</v>
      </c>
      <c r="B2599" s="376" t="s">
        <v>1609</v>
      </c>
      <c r="C2599" s="376" t="s">
        <v>644</v>
      </c>
      <c r="D2599" s="376">
        <v>2025</v>
      </c>
      <c r="E2599" s="376">
        <v>2025</v>
      </c>
      <c r="F2599" s="376">
        <v>1</v>
      </c>
      <c r="G2599" s="376">
        <v>10872.741503138899</v>
      </c>
      <c r="H2599" s="376">
        <v>0</v>
      </c>
      <c r="I2599" s="376">
        <v>1</v>
      </c>
    </row>
    <row r="2600" spans="1:9" x14ac:dyDescent="0.35">
      <c r="A2600" s="376" t="s">
        <v>1604</v>
      </c>
      <c r="B2600" s="376" t="s">
        <v>1609</v>
      </c>
      <c r="C2600" s="376" t="s">
        <v>628</v>
      </c>
      <c r="D2600" s="376">
        <v>2025</v>
      </c>
      <c r="E2600" s="376">
        <v>2025</v>
      </c>
      <c r="F2600" s="376">
        <v>1</v>
      </c>
      <c r="G2600" s="376">
        <v>10872.741503138899</v>
      </c>
      <c r="H2600" s="376">
        <v>0</v>
      </c>
      <c r="I2600" s="376">
        <v>1</v>
      </c>
    </row>
    <row r="2601" spans="1:9" x14ac:dyDescent="0.35">
      <c r="A2601" s="376" t="s">
        <v>1604</v>
      </c>
      <c r="B2601" s="376" t="s">
        <v>1609</v>
      </c>
      <c r="C2601" s="376" t="s">
        <v>1051</v>
      </c>
      <c r="D2601" s="376">
        <v>2025</v>
      </c>
      <c r="E2601" s="376">
        <v>2025</v>
      </c>
      <c r="F2601" s="376">
        <v>1</v>
      </c>
      <c r="G2601" s="376">
        <v>10872.741503138899</v>
      </c>
      <c r="H2601" s="376">
        <v>0</v>
      </c>
      <c r="I2601" s="376">
        <v>1</v>
      </c>
    </row>
    <row r="2602" spans="1:9" x14ac:dyDescent="0.35">
      <c r="A2602" s="376" t="s">
        <v>1604</v>
      </c>
      <c r="B2602" s="376" t="s">
        <v>1609</v>
      </c>
      <c r="C2602" s="376" t="s">
        <v>1054</v>
      </c>
      <c r="D2602" s="376">
        <v>2025</v>
      </c>
      <c r="E2602" s="376">
        <v>2025</v>
      </c>
      <c r="F2602" s="376">
        <v>1</v>
      </c>
      <c r="G2602" s="376">
        <v>10872.741503138899</v>
      </c>
      <c r="H2602" s="376">
        <v>0</v>
      </c>
      <c r="I2602" s="376">
        <v>1</v>
      </c>
    </row>
    <row r="2603" spans="1:9" x14ac:dyDescent="0.35">
      <c r="A2603" s="376" t="s">
        <v>1604</v>
      </c>
      <c r="B2603" s="376" t="s">
        <v>1609</v>
      </c>
      <c r="C2603" s="376" t="s">
        <v>1046</v>
      </c>
      <c r="D2603" s="376">
        <v>2025</v>
      </c>
      <c r="E2603" s="376">
        <v>2026</v>
      </c>
      <c r="F2603" s="376">
        <v>1</v>
      </c>
      <c r="G2603" s="376">
        <v>10872.741503138899</v>
      </c>
      <c r="H2603" s="376">
        <v>0</v>
      </c>
      <c r="I2603" s="376">
        <v>1</v>
      </c>
    </row>
    <row r="2604" spans="1:9" x14ac:dyDescent="0.35">
      <c r="A2604" s="376" t="s">
        <v>1604</v>
      </c>
      <c r="B2604" s="376" t="s">
        <v>1609</v>
      </c>
      <c r="C2604" s="376" t="s">
        <v>644</v>
      </c>
      <c r="D2604" s="376">
        <v>2025</v>
      </c>
      <c r="E2604" s="376">
        <v>2026</v>
      </c>
      <c r="F2604" s="376">
        <v>1</v>
      </c>
      <c r="G2604" s="376">
        <v>10872.741503138899</v>
      </c>
      <c r="H2604" s="376">
        <v>0</v>
      </c>
      <c r="I2604" s="376">
        <v>1</v>
      </c>
    </row>
    <row r="2605" spans="1:9" x14ac:dyDescent="0.35">
      <c r="A2605" s="376" t="s">
        <v>1604</v>
      </c>
      <c r="B2605" s="376" t="s">
        <v>1609</v>
      </c>
      <c r="C2605" s="376" t="s">
        <v>628</v>
      </c>
      <c r="D2605" s="376">
        <v>2025</v>
      </c>
      <c r="E2605" s="376">
        <v>2026</v>
      </c>
      <c r="F2605" s="376">
        <v>1</v>
      </c>
      <c r="G2605" s="376">
        <v>10872.741503138899</v>
      </c>
      <c r="H2605" s="376">
        <v>0</v>
      </c>
      <c r="I2605" s="376">
        <v>1</v>
      </c>
    </row>
    <row r="2606" spans="1:9" x14ac:dyDescent="0.35">
      <c r="A2606" s="376" t="s">
        <v>1604</v>
      </c>
      <c r="B2606" s="376" t="s">
        <v>1609</v>
      </c>
      <c r="C2606" s="376" t="s">
        <v>1051</v>
      </c>
      <c r="D2606" s="376">
        <v>2025</v>
      </c>
      <c r="E2606" s="376">
        <v>2026</v>
      </c>
      <c r="F2606" s="376">
        <v>1</v>
      </c>
      <c r="G2606" s="376">
        <v>10872.741503138899</v>
      </c>
      <c r="H2606" s="376">
        <v>0</v>
      </c>
      <c r="I2606" s="376">
        <v>1</v>
      </c>
    </row>
    <row r="2607" spans="1:9" x14ac:dyDescent="0.35">
      <c r="A2607" s="376" t="s">
        <v>1604</v>
      </c>
      <c r="B2607" s="376" t="s">
        <v>1609</v>
      </c>
      <c r="C2607" s="376" t="s">
        <v>1054</v>
      </c>
      <c r="D2607" s="376">
        <v>2025</v>
      </c>
      <c r="E2607" s="376">
        <v>2026</v>
      </c>
      <c r="F2607" s="376">
        <v>1</v>
      </c>
      <c r="G2607" s="376">
        <v>10872.741503138899</v>
      </c>
      <c r="H2607" s="376">
        <v>0</v>
      </c>
      <c r="I2607" s="376">
        <v>1</v>
      </c>
    </row>
    <row r="2608" spans="1:9" x14ac:dyDescent="0.35">
      <c r="A2608" s="376" t="s">
        <v>1604</v>
      </c>
      <c r="B2608" s="376" t="s">
        <v>1609</v>
      </c>
      <c r="C2608" s="376" t="s">
        <v>1046</v>
      </c>
      <c r="D2608" s="376">
        <v>2025</v>
      </c>
      <c r="E2608" s="376">
        <v>2027</v>
      </c>
      <c r="F2608" s="376">
        <v>1</v>
      </c>
      <c r="G2608" s="376">
        <v>10872.741503138899</v>
      </c>
      <c r="H2608" s="376">
        <v>0</v>
      </c>
      <c r="I2608" s="376">
        <v>1</v>
      </c>
    </row>
    <row r="2609" spans="1:9" x14ac:dyDescent="0.35">
      <c r="A2609" s="376" t="s">
        <v>1604</v>
      </c>
      <c r="B2609" s="376" t="s">
        <v>1609</v>
      </c>
      <c r="C2609" s="376" t="s">
        <v>644</v>
      </c>
      <c r="D2609" s="376">
        <v>2025</v>
      </c>
      <c r="E2609" s="376">
        <v>2027</v>
      </c>
      <c r="F2609" s="376">
        <v>1</v>
      </c>
      <c r="G2609" s="376">
        <v>10872.741503138899</v>
      </c>
      <c r="H2609" s="376">
        <v>0</v>
      </c>
      <c r="I2609" s="376">
        <v>1</v>
      </c>
    </row>
    <row r="2610" spans="1:9" x14ac:dyDescent="0.35">
      <c r="A2610" s="376" t="s">
        <v>1604</v>
      </c>
      <c r="B2610" s="376" t="s">
        <v>1609</v>
      </c>
      <c r="C2610" s="376" t="s">
        <v>628</v>
      </c>
      <c r="D2610" s="376">
        <v>2025</v>
      </c>
      <c r="E2610" s="376">
        <v>2027</v>
      </c>
      <c r="F2610" s="376">
        <v>1</v>
      </c>
      <c r="G2610" s="376">
        <v>10872.741503138899</v>
      </c>
      <c r="H2610" s="376">
        <v>0</v>
      </c>
      <c r="I2610" s="376">
        <v>1</v>
      </c>
    </row>
    <row r="2611" spans="1:9" x14ac:dyDescent="0.35">
      <c r="A2611" s="376" t="s">
        <v>1604</v>
      </c>
      <c r="B2611" s="376" t="s">
        <v>1609</v>
      </c>
      <c r="C2611" s="376" t="s">
        <v>1051</v>
      </c>
      <c r="D2611" s="376">
        <v>2025</v>
      </c>
      <c r="E2611" s="376">
        <v>2027</v>
      </c>
      <c r="F2611" s="376">
        <v>1</v>
      </c>
      <c r="G2611" s="376">
        <v>10872.741503138899</v>
      </c>
      <c r="H2611" s="376">
        <v>0</v>
      </c>
      <c r="I2611" s="376">
        <v>1</v>
      </c>
    </row>
    <row r="2612" spans="1:9" x14ac:dyDescent="0.35">
      <c r="A2612" s="376" t="s">
        <v>1604</v>
      </c>
      <c r="B2612" s="376" t="s">
        <v>1609</v>
      </c>
      <c r="C2612" s="376" t="s">
        <v>1054</v>
      </c>
      <c r="D2612" s="376">
        <v>2025</v>
      </c>
      <c r="E2612" s="376">
        <v>2027</v>
      </c>
      <c r="F2612" s="376">
        <v>1</v>
      </c>
      <c r="G2612" s="376">
        <v>10872.741503138899</v>
      </c>
      <c r="H2612" s="376">
        <v>0</v>
      </c>
      <c r="I2612" s="376">
        <v>1</v>
      </c>
    </row>
    <row r="2613" spans="1:9" x14ac:dyDescent="0.35">
      <c r="A2613" s="376" t="s">
        <v>1604</v>
      </c>
      <c r="B2613" s="376" t="s">
        <v>1609</v>
      </c>
      <c r="C2613" s="376" t="s">
        <v>1046</v>
      </c>
      <c r="D2613" s="376">
        <v>2025</v>
      </c>
      <c r="E2613" s="376">
        <v>2028</v>
      </c>
      <c r="F2613" s="376">
        <v>1</v>
      </c>
      <c r="G2613" s="376">
        <v>10872.741503138899</v>
      </c>
      <c r="H2613" s="376">
        <v>0</v>
      </c>
      <c r="I2613" s="376">
        <v>1</v>
      </c>
    </row>
    <row r="2614" spans="1:9" x14ac:dyDescent="0.35">
      <c r="A2614" s="376" t="s">
        <v>1604</v>
      </c>
      <c r="B2614" s="376" t="s">
        <v>1609</v>
      </c>
      <c r="C2614" s="376" t="s">
        <v>644</v>
      </c>
      <c r="D2614" s="376">
        <v>2025</v>
      </c>
      <c r="E2614" s="376">
        <v>2028</v>
      </c>
      <c r="F2614" s="376">
        <v>1</v>
      </c>
      <c r="G2614" s="376">
        <v>10872.741503138899</v>
      </c>
      <c r="H2614" s="376">
        <v>0</v>
      </c>
      <c r="I2614" s="376">
        <v>1</v>
      </c>
    </row>
    <row r="2615" spans="1:9" x14ac:dyDescent="0.35">
      <c r="A2615" s="376" t="s">
        <v>1604</v>
      </c>
      <c r="B2615" s="376" t="s">
        <v>1609</v>
      </c>
      <c r="C2615" s="376" t="s">
        <v>628</v>
      </c>
      <c r="D2615" s="376">
        <v>2025</v>
      </c>
      <c r="E2615" s="376">
        <v>2028</v>
      </c>
      <c r="F2615" s="376">
        <v>1</v>
      </c>
      <c r="G2615" s="376">
        <v>10872.741503138899</v>
      </c>
      <c r="H2615" s="376">
        <v>0</v>
      </c>
      <c r="I2615" s="376">
        <v>1</v>
      </c>
    </row>
    <row r="2616" spans="1:9" x14ac:dyDescent="0.35">
      <c r="A2616" s="376" t="s">
        <v>1604</v>
      </c>
      <c r="B2616" s="376" t="s">
        <v>1609</v>
      </c>
      <c r="C2616" s="376" t="s">
        <v>1051</v>
      </c>
      <c r="D2616" s="376">
        <v>2025</v>
      </c>
      <c r="E2616" s="376">
        <v>2028</v>
      </c>
      <c r="F2616" s="376">
        <v>1</v>
      </c>
      <c r="G2616" s="376">
        <v>10872.741503138899</v>
      </c>
      <c r="H2616" s="376">
        <v>0</v>
      </c>
      <c r="I2616" s="376">
        <v>1</v>
      </c>
    </row>
    <row r="2617" spans="1:9" x14ac:dyDescent="0.35">
      <c r="A2617" s="376" t="s">
        <v>1604</v>
      </c>
      <c r="B2617" s="376" t="s">
        <v>1609</v>
      </c>
      <c r="C2617" s="376" t="s">
        <v>1054</v>
      </c>
      <c r="D2617" s="376">
        <v>2025</v>
      </c>
      <c r="E2617" s="376">
        <v>2028</v>
      </c>
      <c r="F2617" s="376">
        <v>1</v>
      </c>
      <c r="G2617" s="376">
        <v>10872.741503138899</v>
      </c>
      <c r="H2617" s="376">
        <v>0</v>
      </c>
      <c r="I2617" s="376">
        <v>1</v>
      </c>
    </row>
    <row r="2618" spans="1:9" x14ac:dyDescent="0.35">
      <c r="A2618" s="376" t="s">
        <v>1604</v>
      </c>
      <c r="B2618" s="376" t="s">
        <v>1609</v>
      </c>
      <c r="C2618" s="376" t="s">
        <v>1046</v>
      </c>
      <c r="D2618" s="376">
        <v>2025</v>
      </c>
      <c r="E2618" s="376">
        <v>2029</v>
      </c>
      <c r="F2618" s="376">
        <v>1</v>
      </c>
      <c r="G2618" s="376">
        <v>10872.741503138899</v>
      </c>
      <c r="H2618" s="376">
        <v>0</v>
      </c>
      <c r="I2618" s="376">
        <v>1</v>
      </c>
    </row>
    <row r="2619" spans="1:9" x14ac:dyDescent="0.35">
      <c r="A2619" s="376" t="s">
        <v>1604</v>
      </c>
      <c r="B2619" s="376" t="s">
        <v>1609</v>
      </c>
      <c r="C2619" s="376" t="s">
        <v>644</v>
      </c>
      <c r="D2619" s="376">
        <v>2025</v>
      </c>
      <c r="E2619" s="376">
        <v>2029</v>
      </c>
      <c r="F2619" s="376">
        <v>1</v>
      </c>
      <c r="G2619" s="376">
        <v>10872.741503138899</v>
      </c>
      <c r="H2619" s="376">
        <v>0</v>
      </c>
      <c r="I2619" s="376">
        <v>1</v>
      </c>
    </row>
    <row r="2620" spans="1:9" x14ac:dyDescent="0.35">
      <c r="A2620" s="376" t="s">
        <v>1604</v>
      </c>
      <c r="B2620" s="376" t="s">
        <v>1609</v>
      </c>
      <c r="C2620" s="376" t="s">
        <v>628</v>
      </c>
      <c r="D2620" s="376">
        <v>2025</v>
      </c>
      <c r="E2620" s="376">
        <v>2029</v>
      </c>
      <c r="F2620" s="376">
        <v>1</v>
      </c>
      <c r="G2620" s="376">
        <v>10872.741503138899</v>
      </c>
      <c r="H2620" s="376">
        <v>0</v>
      </c>
      <c r="I2620" s="376">
        <v>1</v>
      </c>
    </row>
    <row r="2621" spans="1:9" x14ac:dyDescent="0.35">
      <c r="A2621" s="376" t="s">
        <v>1604</v>
      </c>
      <c r="B2621" s="376" t="s">
        <v>1609</v>
      </c>
      <c r="C2621" s="376" t="s">
        <v>1051</v>
      </c>
      <c r="D2621" s="376">
        <v>2025</v>
      </c>
      <c r="E2621" s="376">
        <v>2029</v>
      </c>
      <c r="F2621" s="376">
        <v>1</v>
      </c>
      <c r="G2621" s="376">
        <v>10872.741503138899</v>
      </c>
      <c r="H2621" s="376">
        <v>0</v>
      </c>
      <c r="I2621" s="376">
        <v>1</v>
      </c>
    </row>
    <row r="2622" spans="1:9" x14ac:dyDescent="0.35">
      <c r="A2622" s="376" t="s">
        <v>1604</v>
      </c>
      <c r="B2622" s="376" t="s">
        <v>1609</v>
      </c>
      <c r="C2622" s="376" t="s">
        <v>1054</v>
      </c>
      <c r="D2622" s="376">
        <v>2025</v>
      </c>
      <c r="E2622" s="376">
        <v>2029</v>
      </c>
      <c r="F2622" s="376">
        <v>1</v>
      </c>
      <c r="G2622" s="376">
        <v>10872.741503138899</v>
      </c>
      <c r="H2622" s="376">
        <v>0</v>
      </c>
      <c r="I2622" s="376">
        <v>1</v>
      </c>
    </row>
    <row r="2623" spans="1:9" x14ac:dyDescent="0.35">
      <c r="A2623" s="376" t="s">
        <v>1604</v>
      </c>
      <c r="B2623" s="376" t="s">
        <v>1609</v>
      </c>
      <c r="C2623" s="376" t="s">
        <v>1046</v>
      </c>
      <c r="D2623" s="376">
        <v>2025</v>
      </c>
      <c r="E2623" s="376">
        <v>2030</v>
      </c>
      <c r="F2623" s="376">
        <v>1</v>
      </c>
      <c r="G2623" s="376">
        <v>10872.741503138899</v>
      </c>
      <c r="H2623" s="376">
        <v>0</v>
      </c>
      <c r="I2623" s="376">
        <v>1</v>
      </c>
    </row>
    <row r="2624" spans="1:9" x14ac:dyDescent="0.35">
      <c r="A2624" s="376" t="s">
        <v>1604</v>
      </c>
      <c r="B2624" s="376" t="s">
        <v>1609</v>
      </c>
      <c r="C2624" s="376" t="s">
        <v>644</v>
      </c>
      <c r="D2624" s="376">
        <v>2025</v>
      </c>
      <c r="E2624" s="376">
        <v>2030</v>
      </c>
      <c r="F2624" s="376">
        <v>1</v>
      </c>
      <c r="G2624" s="376">
        <v>10872.741503138899</v>
      </c>
      <c r="H2624" s="376">
        <v>0</v>
      </c>
      <c r="I2624" s="376">
        <v>1</v>
      </c>
    </row>
    <row r="2625" spans="1:9" x14ac:dyDescent="0.35">
      <c r="A2625" s="376" t="s">
        <v>1604</v>
      </c>
      <c r="B2625" s="376" t="s">
        <v>1609</v>
      </c>
      <c r="C2625" s="376" t="s">
        <v>628</v>
      </c>
      <c r="D2625" s="376">
        <v>2025</v>
      </c>
      <c r="E2625" s="376">
        <v>2030</v>
      </c>
      <c r="F2625" s="376">
        <v>1</v>
      </c>
      <c r="G2625" s="376">
        <v>10872.741503138899</v>
      </c>
      <c r="H2625" s="376">
        <v>0</v>
      </c>
      <c r="I2625" s="376">
        <v>1</v>
      </c>
    </row>
    <row r="2626" spans="1:9" x14ac:dyDescent="0.35">
      <c r="A2626" s="376" t="s">
        <v>1604</v>
      </c>
      <c r="B2626" s="376" t="s">
        <v>1609</v>
      </c>
      <c r="C2626" s="376" t="s">
        <v>1051</v>
      </c>
      <c r="D2626" s="376">
        <v>2025</v>
      </c>
      <c r="E2626" s="376">
        <v>2030</v>
      </c>
      <c r="F2626" s="376">
        <v>1</v>
      </c>
      <c r="G2626" s="376">
        <v>10872.741503138899</v>
      </c>
      <c r="H2626" s="376">
        <v>0</v>
      </c>
      <c r="I2626" s="376">
        <v>1</v>
      </c>
    </row>
    <row r="2627" spans="1:9" x14ac:dyDescent="0.35">
      <c r="A2627" s="376" t="s">
        <v>1604</v>
      </c>
      <c r="B2627" s="376" t="s">
        <v>1609</v>
      </c>
      <c r="C2627" s="376" t="s">
        <v>1054</v>
      </c>
      <c r="D2627" s="376">
        <v>2025</v>
      </c>
      <c r="E2627" s="376">
        <v>2030</v>
      </c>
      <c r="F2627" s="376">
        <v>1</v>
      </c>
      <c r="G2627" s="376">
        <v>10872.741503138899</v>
      </c>
      <c r="H2627" s="376">
        <v>0</v>
      </c>
      <c r="I2627" s="376">
        <v>1</v>
      </c>
    </row>
    <row r="2628" spans="1:9" x14ac:dyDescent="0.35">
      <c r="A2628" s="376" t="s">
        <v>1604</v>
      </c>
      <c r="B2628" s="376" t="s">
        <v>1609</v>
      </c>
      <c r="C2628" s="376" t="s">
        <v>1046</v>
      </c>
      <c r="D2628" s="376">
        <v>2025</v>
      </c>
      <c r="E2628" s="376">
        <v>2031</v>
      </c>
      <c r="F2628" s="376">
        <v>1</v>
      </c>
      <c r="G2628" s="376">
        <v>10872.741503138899</v>
      </c>
      <c r="H2628" s="376">
        <v>0</v>
      </c>
      <c r="I2628" s="376">
        <v>1</v>
      </c>
    </row>
    <row r="2629" spans="1:9" x14ac:dyDescent="0.35">
      <c r="A2629" s="376" t="s">
        <v>1604</v>
      </c>
      <c r="B2629" s="376" t="s">
        <v>1609</v>
      </c>
      <c r="C2629" s="376" t="s">
        <v>644</v>
      </c>
      <c r="D2629" s="376">
        <v>2025</v>
      </c>
      <c r="E2629" s="376">
        <v>2031</v>
      </c>
      <c r="F2629" s="376">
        <v>1</v>
      </c>
      <c r="G2629" s="376">
        <v>10872.741503138899</v>
      </c>
      <c r="H2629" s="376">
        <v>0</v>
      </c>
      <c r="I2629" s="376">
        <v>1</v>
      </c>
    </row>
    <row r="2630" spans="1:9" x14ac:dyDescent="0.35">
      <c r="A2630" s="376" t="s">
        <v>1604</v>
      </c>
      <c r="B2630" s="376" t="s">
        <v>1609</v>
      </c>
      <c r="C2630" s="376" t="s">
        <v>628</v>
      </c>
      <c r="D2630" s="376">
        <v>2025</v>
      </c>
      <c r="E2630" s="376">
        <v>2031</v>
      </c>
      <c r="F2630" s="376">
        <v>1</v>
      </c>
      <c r="G2630" s="376">
        <v>10872.741503138899</v>
      </c>
      <c r="H2630" s="376">
        <v>0</v>
      </c>
      <c r="I2630" s="376">
        <v>1</v>
      </c>
    </row>
    <row r="2631" spans="1:9" x14ac:dyDescent="0.35">
      <c r="A2631" s="376" t="s">
        <v>1604</v>
      </c>
      <c r="B2631" s="376" t="s">
        <v>1609</v>
      </c>
      <c r="C2631" s="376" t="s">
        <v>1051</v>
      </c>
      <c r="D2631" s="376">
        <v>2025</v>
      </c>
      <c r="E2631" s="376">
        <v>2031</v>
      </c>
      <c r="F2631" s="376">
        <v>1</v>
      </c>
      <c r="G2631" s="376">
        <v>10872.741503138899</v>
      </c>
      <c r="H2631" s="376">
        <v>0</v>
      </c>
      <c r="I2631" s="376">
        <v>1</v>
      </c>
    </row>
    <row r="2632" spans="1:9" x14ac:dyDescent="0.35">
      <c r="A2632" s="376" t="s">
        <v>1604</v>
      </c>
      <c r="B2632" s="376" t="s">
        <v>1609</v>
      </c>
      <c r="C2632" s="376" t="s">
        <v>1054</v>
      </c>
      <c r="D2632" s="376">
        <v>2025</v>
      </c>
      <c r="E2632" s="376">
        <v>2031</v>
      </c>
      <c r="F2632" s="376">
        <v>1</v>
      </c>
      <c r="G2632" s="376">
        <v>10872.741503138899</v>
      </c>
      <c r="H2632" s="376">
        <v>0</v>
      </c>
      <c r="I2632" s="376">
        <v>1</v>
      </c>
    </row>
    <row r="2633" spans="1:9" x14ac:dyDescent="0.35">
      <c r="A2633" s="376" t="s">
        <v>1615</v>
      </c>
      <c r="B2633" s="376" t="s">
        <v>1609</v>
      </c>
      <c r="C2633" s="376" t="s">
        <v>1046</v>
      </c>
      <c r="D2633" s="376">
        <v>2025</v>
      </c>
      <c r="E2633" s="376">
        <v>2025</v>
      </c>
      <c r="F2633" s="376">
        <v>1</v>
      </c>
      <c r="G2633" s="376">
        <v>20148.813739673951</v>
      </c>
      <c r="H2633" s="376">
        <v>0</v>
      </c>
      <c r="I2633" s="376">
        <v>0.65716939790195539</v>
      </c>
    </row>
    <row r="2634" spans="1:9" x14ac:dyDescent="0.35">
      <c r="A2634" s="376" t="s">
        <v>1615</v>
      </c>
      <c r="B2634" s="376" t="s">
        <v>1609</v>
      </c>
      <c r="C2634" s="376" t="s">
        <v>644</v>
      </c>
      <c r="D2634" s="376">
        <v>2025</v>
      </c>
      <c r="E2634" s="376">
        <v>2025</v>
      </c>
      <c r="F2634" s="376">
        <v>1</v>
      </c>
      <c r="G2634" s="376">
        <v>20148.813739673951</v>
      </c>
      <c r="H2634" s="376">
        <v>0</v>
      </c>
      <c r="I2634" s="376">
        <v>0.65716939790195539</v>
      </c>
    </row>
    <row r="2635" spans="1:9" x14ac:dyDescent="0.35">
      <c r="A2635" s="376" t="s">
        <v>1615</v>
      </c>
      <c r="B2635" s="376" t="s">
        <v>1609</v>
      </c>
      <c r="C2635" s="376" t="s">
        <v>628</v>
      </c>
      <c r="D2635" s="376">
        <v>2025</v>
      </c>
      <c r="E2635" s="376">
        <v>2025</v>
      </c>
      <c r="F2635" s="376">
        <v>1</v>
      </c>
      <c r="G2635" s="376">
        <v>20148.813739673951</v>
      </c>
      <c r="H2635" s="376">
        <v>0</v>
      </c>
      <c r="I2635" s="376">
        <v>0.65716939790195539</v>
      </c>
    </row>
    <row r="2636" spans="1:9" x14ac:dyDescent="0.35">
      <c r="A2636" s="376" t="s">
        <v>1615</v>
      </c>
      <c r="B2636" s="376" t="s">
        <v>1609</v>
      </c>
      <c r="C2636" s="376" t="s">
        <v>1051</v>
      </c>
      <c r="D2636" s="376">
        <v>2025</v>
      </c>
      <c r="E2636" s="376">
        <v>2025</v>
      </c>
      <c r="F2636" s="376">
        <v>1</v>
      </c>
      <c r="G2636" s="376">
        <v>20148.813739673951</v>
      </c>
      <c r="H2636" s="376">
        <v>0</v>
      </c>
      <c r="I2636" s="376">
        <v>0.65716939790195539</v>
      </c>
    </row>
    <row r="2637" spans="1:9" x14ac:dyDescent="0.35">
      <c r="A2637" s="376" t="s">
        <v>1615</v>
      </c>
      <c r="B2637" s="376" t="s">
        <v>1609</v>
      </c>
      <c r="C2637" s="376" t="s">
        <v>1054</v>
      </c>
      <c r="D2637" s="376">
        <v>2025</v>
      </c>
      <c r="E2637" s="376">
        <v>2025</v>
      </c>
      <c r="F2637" s="376">
        <v>1</v>
      </c>
      <c r="G2637" s="376">
        <v>20148.813739673951</v>
      </c>
      <c r="H2637" s="376">
        <v>0</v>
      </c>
      <c r="I2637" s="376">
        <v>0.65716939790195539</v>
      </c>
    </row>
    <row r="2638" spans="1:9" x14ac:dyDescent="0.35">
      <c r="A2638" s="376" t="s">
        <v>1615</v>
      </c>
      <c r="B2638" s="376" t="s">
        <v>1609</v>
      </c>
      <c r="C2638" s="376" t="s">
        <v>1046</v>
      </c>
      <c r="D2638" s="376">
        <v>2025</v>
      </c>
      <c r="E2638" s="376">
        <v>2026</v>
      </c>
      <c r="F2638" s="376">
        <v>1</v>
      </c>
      <c r="G2638" s="376">
        <v>20148.813739673951</v>
      </c>
      <c r="H2638" s="376">
        <v>0</v>
      </c>
      <c r="I2638" s="376">
        <v>0.65716939790195539</v>
      </c>
    </row>
    <row r="2639" spans="1:9" x14ac:dyDescent="0.35">
      <c r="A2639" s="376" t="s">
        <v>1615</v>
      </c>
      <c r="B2639" s="376" t="s">
        <v>1609</v>
      </c>
      <c r="C2639" s="376" t="s">
        <v>644</v>
      </c>
      <c r="D2639" s="376">
        <v>2025</v>
      </c>
      <c r="E2639" s="376">
        <v>2026</v>
      </c>
      <c r="F2639" s="376">
        <v>1</v>
      </c>
      <c r="G2639" s="376">
        <v>20148.813739673951</v>
      </c>
      <c r="H2639" s="376">
        <v>0</v>
      </c>
      <c r="I2639" s="376">
        <v>0.65716939790195539</v>
      </c>
    </row>
    <row r="2640" spans="1:9" x14ac:dyDescent="0.35">
      <c r="A2640" s="376" t="s">
        <v>1615</v>
      </c>
      <c r="B2640" s="376" t="s">
        <v>1609</v>
      </c>
      <c r="C2640" s="376" t="s">
        <v>628</v>
      </c>
      <c r="D2640" s="376">
        <v>2025</v>
      </c>
      <c r="E2640" s="376">
        <v>2026</v>
      </c>
      <c r="F2640" s="376">
        <v>1</v>
      </c>
      <c r="G2640" s="376">
        <v>20148.813739673951</v>
      </c>
      <c r="H2640" s="376">
        <v>0</v>
      </c>
      <c r="I2640" s="376">
        <v>0.65716939790195539</v>
      </c>
    </row>
    <row r="2641" spans="1:9" x14ac:dyDescent="0.35">
      <c r="A2641" s="376" t="s">
        <v>1615</v>
      </c>
      <c r="B2641" s="376" t="s">
        <v>1609</v>
      </c>
      <c r="C2641" s="376" t="s">
        <v>1051</v>
      </c>
      <c r="D2641" s="376">
        <v>2025</v>
      </c>
      <c r="E2641" s="376">
        <v>2026</v>
      </c>
      <c r="F2641" s="376">
        <v>1</v>
      </c>
      <c r="G2641" s="376">
        <v>20148.813739673951</v>
      </c>
      <c r="H2641" s="376">
        <v>0</v>
      </c>
      <c r="I2641" s="376">
        <v>0.65716939790195539</v>
      </c>
    </row>
    <row r="2642" spans="1:9" x14ac:dyDescent="0.35">
      <c r="A2642" s="376" t="s">
        <v>1615</v>
      </c>
      <c r="B2642" s="376" t="s">
        <v>1609</v>
      </c>
      <c r="C2642" s="376" t="s">
        <v>1054</v>
      </c>
      <c r="D2642" s="376">
        <v>2025</v>
      </c>
      <c r="E2642" s="376">
        <v>2026</v>
      </c>
      <c r="F2642" s="376">
        <v>1</v>
      </c>
      <c r="G2642" s="376">
        <v>20148.813739673951</v>
      </c>
      <c r="H2642" s="376">
        <v>0</v>
      </c>
      <c r="I2642" s="376">
        <v>0.65716939790195539</v>
      </c>
    </row>
    <row r="2643" spans="1:9" x14ac:dyDescent="0.35">
      <c r="A2643" s="376" t="s">
        <v>1615</v>
      </c>
      <c r="B2643" s="376" t="s">
        <v>1609</v>
      </c>
      <c r="C2643" s="376" t="s">
        <v>1046</v>
      </c>
      <c r="D2643" s="376">
        <v>2025</v>
      </c>
      <c r="E2643" s="376">
        <v>2027</v>
      </c>
      <c r="F2643" s="376">
        <v>1</v>
      </c>
      <c r="G2643" s="376">
        <v>20148.813739673951</v>
      </c>
      <c r="H2643" s="376">
        <v>0</v>
      </c>
      <c r="I2643" s="376">
        <v>0.65716939790195539</v>
      </c>
    </row>
    <row r="2644" spans="1:9" x14ac:dyDescent="0.35">
      <c r="A2644" s="376" t="s">
        <v>1615</v>
      </c>
      <c r="B2644" s="376" t="s">
        <v>1609</v>
      </c>
      <c r="C2644" s="376" t="s">
        <v>644</v>
      </c>
      <c r="D2644" s="376">
        <v>2025</v>
      </c>
      <c r="E2644" s="376">
        <v>2027</v>
      </c>
      <c r="F2644" s="376">
        <v>1</v>
      </c>
      <c r="G2644" s="376">
        <v>20148.813739673951</v>
      </c>
      <c r="H2644" s="376">
        <v>0</v>
      </c>
      <c r="I2644" s="376">
        <v>0.65716939790195539</v>
      </c>
    </row>
    <row r="2645" spans="1:9" x14ac:dyDescent="0.35">
      <c r="A2645" s="376" t="s">
        <v>1615</v>
      </c>
      <c r="B2645" s="376" t="s">
        <v>1609</v>
      </c>
      <c r="C2645" s="376" t="s">
        <v>628</v>
      </c>
      <c r="D2645" s="376">
        <v>2025</v>
      </c>
      <c r="E2645" s="376">
        <v>2027</v>
      </c>
      <c r="F2645" s="376">
        <v>1</v>
      </c>
      <c r="G2645" s="376">
        <v>20148.813739673951</v>
      </c>
      <c r="H2645" s="376">
        <v>0</v>
      </c>
      <c r="I2645" s="376">
        <v>0.65716939790195539</v>
      </c>
    </row>
    <row r="2646" spans="1:9" x14ac:dyDescent="0.35">
      <c r="A2646" s="376" t="s">
        <v>1615</v>
      </c>
      <c r="B2646" s="376" t="s">
        <v>1609</v>
      </c>
      <c r="C2646" s="376" t="s">
        <v>1051</v>
      </c>
      <c r="D2646" s="376">
        <v>2025</v>
      </c>
      <c r="E2646" s="376">
        <v>2027</v>
      </c>
      <c r="F2646" s="376">
        <v>1</v>
      </c>
      <c r="G2646" s="376">
        <v>20148.813739673951</v>
      </c>
      <c r="H2646" s="376">
        <v>0</v>
      </c>
      <c r="I2646" s="376">
        <v>0.65716939790195539</v>
      </c>
    </row>
    <row r="2647" spans="1:9" x14ac:dyDescent="0.35">
      <c r="A2647" s="376" t="s">
        <v>1615</v>
      </c>
      <c r="B2647" s="376" t="s">
        <v>1609</v>
      </c>
      <c r="C2647" s="376" t="s">
        <v>1054</v>
      </c>
      <c r="D2647" s="376">
        <v>2025</v>
      </c>
      <c r="E2647" s="376">
        <v>2027</v>
      </c>
      <c r="F2647" s="376">
        <v>1</v>
      </c>
      <c r="G2647" s="376">
        <v>20148.813739673951</v>
      </c>
      <c r="H2647" s="376">
        <v>0</v>
      </c>
      <c r="I2647" s="376">
        <v>0.65716939790195539</v>
      </c>
    </row>
    <row r="2648" spans="1:9" x14ac:dyDescent="0.35">
      <c r="A2648" s="376" t="s">
        <v>1615</v>
      </c>
      <c r="B2648" s="376" t="s">
        <v>1609</v>
      </c>
      <c r="C2648" s="376" t="s">
        <v>1046</v>
      </c>
      <c r="D2648" s="376">
        <v>2025</v>
      </c>
      <c r="E2648" s="376">
        <v>2028</v>
      </c>
      <c r="F2648" s="376">
        <v>1</v>
      </c>
      <c r="G2648" s="376">
        <v>20148.813739673951</v>
      </c>
      <c r="H2648" s="376">
        <v>0</v>
      </c>
      <c r="I2648" s="376">
        <v>0.65716939790195539</v>
      </c>
    </row>
    <row r="2649" spans="1:9" x14ac:dyDescent="0.35">
      <c r="A2649" s="376" t="s">
        <v>1615</v>
      </c>
      <c r="B2649" s="376" t="s">
        <v>1609</v>
      </c>
      <c r="C2649" s="376" t="s">
        <v>644</v>
      </c>
      <c r="D2649" s="376">
        <v>2025</v>
      </c>
      <c r="E2649" s="376">
        <v>2028</v>
      </c>
      <c r="F2649" s="376">
        <v>1</v>
      </c>
      <c r="G2649" s="376">
        <v>20148.813739673951</v>
      </c>
      <c r="H2649" s="376">
        <v>0</v>
      </c>
      <c r="I2649" s="376">
        <v>0.65716939790195539</v>
      </c>
    </row>
    <row r="2650" spans="1:9" x14ac:dyDescent="0.35">
      <c r="A2650" s="376" t="s">
        <v>1615</v>
      </c>
      <c r="B2650" s="376" t="s">
        <v>1609</v>
      </c>
      <c r="C2650" s="376" t="s">
        <v>628</v>
      </c>
      <c r="D2650" s="376">
        <v>2025</v>
      </c>
      <c r="E2650" s="376">
        <v>2028</v>
      </c>
      <c r="F2650" s="376">
        <v>1</v>
      </c>
      <c r="G2650" s="376">
        <v>20148.813739673951</v>
      </c>
      <c r="H2650" s="376">
        <v>0</v>
      </c>
      <c r="I2650" s="376">
        <v>0.65716939790195539</v>
      </c>
    </row>
    <row r="2651" spans="1:9" x14ac:dyDescent="0.35">
      <c r="A2651" s="376" t="s">
        <v>1615</v>
      </c>
      <c r="B2651" s="376" t="s">
        <v>1609</v>
      </c>
      <c r="C2651" s="376" t="s">
        <v>1051</v>
      </c>
      <c r="D2651" s="376">
        <v>2025</v>
      </c>
      <c r="E2651" s="376">
        <v>2028</v>
      </c>
      <c r="F2651" s="376">
        <v>1</v>
      </c>
      <c r="G2651" s="376">
        <v>20148.813739673951</v>
      </c>
      <c r="H2651" s="376">
        <v>0</v>
      </c>
      <c r="I2651" s="376">
        <v>0.65716939790195539</v>
      </c>
    </row>
    <row r="2652" spans="1:9" x14ac:dyDescent="0.35">
      <c r="A2652" s="376" t="s">
        <v>1615</v>
      </c>
      <c r="B2652" s="376" t="s">
        <v>1609</v>
      </c>
      <c r="C2652" s="376" t="s">
        <v>1054</v>
      </c>
      <c r="D2652" s="376">
        <v>2025</v>
      </c>
      <c r="E2652" s="376">
        <v>2028</v>
      </c>
      <c r="F2652" s="376">
        <v>1</v>
      </c>
      <c r="G2652" s="376">
        <v>20148.813739673951</v>
      </c>
      <c r="H2652" s="376">
        <v>0</v>
      </c>
      <c r="I2652" s="376">
        <v>0.65716939790195539</v>
      </c>
    </row>
    <row r="2653" spans="1:9" x14ac:dyDescent="0.35">
      <c r="A2653" s="376" t="s">
        <v>1615</v>
      </c>
      <c r="B2653" s="376" t="s">
        <v>1609</v>
      </c>
      <c r="C2653" s="376" t="s">
        <v>1046</v>
      </c>
      <c r="D2653" s="376">
        <v>2025</v>
      </c>
      <c r="E2653" s="376">
        <v>2029</v>
      </c>
      <c r="F2653" s="376">
        <v>1</v>
      </c>
      <c r="G2653" s="376">
        <v>20148.813739673951</v>
      </c>
      <c r="H2653" s="376">
        <v>0</v>
      </c>
      <c r="I2653" s="376">
        <v>0.65716939790195539</v>
      </c>
    </row>
    <row r="2654" spans="1:9" x14ac:dyDescent="0.35">
      <c r="A2654" s="376" t="s">
        <v>1615</v>
      </c>
      <c r="B2654" s="376" t="s">
        <v>1609</v>
      </c>
      <c r="C2654" s="376" t="s">
        <v>644</v>
      </c>
      <c r="D2654" s="376">
        <v>2025</v>
      </c>
      <c r="E2654" s="376">
        <v>2029</v>
      </c>
      <c r="F2654" s="376">
        <v>1</v>
      </c>
      <c r="G2654" s="376">
        <v>20148.813739673951</v>
      </c>
      <c r="H2654" s="376">
        <v>0</v>
      </c>
      <c r="I2654" s="376">
        <v>0.65716939790195539</v>
      </c>
    </row>
    <row r="2655" spans="1:9" x14ac:dyDescent="0.35">
      <c r="A2655" s="376" t="s">
        <v>1615</v>
      </c>
      <c r="B2655" s="376" t="s">
        <v>1609</v>
      </c>
      <c r="C2655" s="376" t="s">
        <v>628</v>
      </c>
      <c r="D2655" s="376">
        <v>2025</v>
      </c>
      <c r="E2655" s="376">
        <v>2029</v>
      </c>
      <c r="F2655" s="376">
        <v>1</v>
      </c>
      <c r="G2655" s="376">
        <v>20148.813739673951</v>
      </c>
      <c r="H2655" s="376">
        <v>0</v>
      </c>
      <c r="I2655" s="376">
        <v>0.65716939790195539</v>
      </c>
    </row>
    <row r="2656" spans="1:9" x14ac:dyDescent="0.35">
      <c r="A2656" s="376" t="s">
        <v>1615</v>
      </c>
      <c r="B2656" s="376" t="s">
        <v>1609</v>
      </c>
      <c r="C2656" s="376" t="s">
        <v>1051</v>
      </c>
      <c r="D2656" s="376">
        <v>2025</v>
      </c>
      <c r="E2656" s="376">
        <v>2029</v>
      </c>
      <c r="F2656" s="376">
        <v>1</v>
      </c>
      <c r="G2656" s="376">
        <v>20148.813739673951</v>
      </c>
      <c r="H2656" s="376">
        <v>0</v>
      </c>
      <c r="I2656" s="376">
        <v>0.65716939790195539</v>
      </c>
    </row>
    <row r="2657" spans="1:9" x14ac:dyDescent="0.35">
      <c r="A2657" s="376" t="s">
        <v>1615</v>
      </c>
      <c r="B2657" s="376" t="s">
        <v>1609</v>
      </c>
      <c r="C2657" s="376" t="s">
        <v>1054</v>
      </c>
      <c r="D2657" s="376">
        <v>2025</v>
      </c>
      <c r="E2657" s="376">
        <v>2029</v>
      </c>
      <c r="F2657" s="376">
        <v>1</v>
      </c>
      <c r="G2657" s="376">
        <v>20148.813739673951</v>
      </c>
      <c r="H2657" s="376">
        <v>0</v>
      </c>
      <c r="I2657" s="376">
        <v>0.65716939790195539</v>
      </c>
    </row>
    <row r="2658" spans="1:9" x14ac:dyDescent="0.35">
      <c r="A2658" s="376" t="s">
        <v>1615</v>
      </c>
      <c r="B2658" s="376" t="s">
        <v>1609</v>
      </c>
      <c r="C2658" s="376" t="s">
        <v>1046</v>
      </c>
      <c r="D2658" s="376">
        <v>2025</v>
      </c>
      <c r="E2658" s="376">
        <v>2030</v>
      </c>
      <c r="F2658" s="376">
        <v>1</v>
      </c>
      <c r="G2658" s="376">
        <v>20148.813739673951</v>
      </c>
      <c r="H2658" s="376">
        <v>0</v>
      </c>
      <c r="I2658" s="376">
        <v>0.65716939790195539</v>
      </c>
    </row>
    <row r="2659" spans="1:9" x14ac:dyDescent="0.35">
      <c r="A2659" s="376" t="s">
        <v>1615</v>
      </c>
      <c r="B2659" s="376" t="s">
        <v>1609</v>
      </c>
      <c r="C2659" s="376" t="s">
        <v>644</v>
      </c>
      <c r="D2659" s="376">
        <v>2025</v>
      </c>
      <c r="E2659" s="376">
        <v>2030</v>
      </c>
      <c r="F2659" s="376">
        <v>1</v>
      </c>
      <c r="G2659" s="376">
        <v>20148.813739673951</v>
      </c>
      <c r="H2659" s="376">
        <v>0</v>
      </c>
      <c r="I2659" s="376">
        <v>0.65716939790195539</v>
      </c>
    </row>
    <row r="2660" spans="1:9" x14ac:dyDescent="0.35">
      <c r="A2660" s="376" t="s">
        <v>1615</v>
      </c>
      <c r="B2660" s="376" t="s">
        <v>1609</v>
      </c>
      <c r="C2660" s="376" t="s">
        <v>628</v>
      </c>
      <c r="D2660" s="376">
        <v>2025</v>
      </c>
      <c r="E2660" s="376">
        <v>2030</v>
      </c>
      <c r="F2660" s="376">
        <v>1</v>
      </c>
      <c r="G2660" s="376">
        <v>20148.813739673951</v>
      </c>
      <c r="H2660" s="376">
        <v>0</v>
      </c>
      <c r="I2660" s="376">
        <v>0.65716939790195539</v>
      </c>
    </row>
    <row r="2661" spans="1:9" x14ac:dyDescent="0.35">
      <c r="A2661" s="376" t="s">
        <v>1615</v>
      </c>
      <c r="B2661" s="376" t="s">
        <v>1609</v>
      </c>
      <c r="C2661" s="376" t="s">
        <v>1051</v>
      </c>
      <c r="D2661" s="376">
        <v>2025</v>
      </c>
      <c r="E2661" s="376">
        <v>2030</v>
      </c>
      <c r="F2661" s="376">
        <v>1</v>
      </c>
      <c r="G2661" s="376">
        <v>20148.813739673951</v>
      </c>
      <c r="H2661" s="376">
        <v>0</v>
      </c>
      <c r="I2661" s="376">
        <v>0.65716939790195539</v>
      </c>
    </row>
    <row r="2662" spans="1:9" x14ac:dyDescent="0.35">
      <c r="A2662" s="376" t="s">
        <v>1615</v>
      </c>
      <c r="B2662" s="376" t="s">
        <v>1609</v>
      </c>
      <c r="C2662" s="376" t="s">
        <v>1054</v>
      </c>
      <c r="D2662" s="376">
        <v>2025</v>
      </c>
      <c r="E2662" s="376">
        <v>2030</v>
      </c>
      <c r="F2662" s="376">
        <v>1</v>
      </c>
      <c r="G2662" s="376">
        <v>20148.813739673951</v>
      </c>
      <c r="H2662" s="376">
        <v>0</v>
      </c>
      <c r="I2662" s="376">
        <v>0.65716939790195539</v>
      </c>
    </row>
    <row r="2663" spans="1:9" x14ac:dyDescent="0.35">
      <c r="A2663" s="376" t="s">
        <v>1615</v>
      </c>
      <c r="B2663" s="376" t="s">
        <v>1609</v>
      </c>
      <c r="C2663" s="376" t="s">
        <v>1046</v>
      </c>
      <c r="D2663" s="376">
        <v>2025</v>
      </c>
      <c r="E2663" s="376">
        <v>2031</v>
      </c>
      <c r="F2663" s="376">
        <v>1</v>
      </c>
      <c r="G2663" s="376">
        <v>20148.813739673951</v>
      </c>
      <c r="H2663" s="376">
        <v>0</v>
      </c>
      <c r="I2663" s="376">
        <v>0.65716939790195539</v>
      </c>
    </row>
    <row r="2664" spans="1:9" x14ac:dyDescent="0.35">
      <c r="A2664" s="376" t="s">
        <v>1615</v>
      </c>
      <c r="B2664" s="376" t="s">
        <v>1609</v>
      </c>
      <c r="C2664" s="376" t="s">
        <v>644</v>
      </c>
      <c r="D2664" s="376">
        <v>2025</v>
      </c>
      <c r="E2664" s="376">
        <v>2031</v>
      </c>
      <c r="F2664" s="376">
        <v>1</v>
      </c>
      <c r="G2664" s="376">
        <v>20148.813739673951</v>
      </c>
      <c r="H2664" s="376">
        <v>0</v>
      </c>
      <c r="I2664" s="376">
        <v>0.65716939790195539</v>
      </c>
    </row>
    <row r="2665" spans="1:9" x14ac:dyDescent="0.35">
      <c r="A2665" s="376" t="s">
        <v>1615</v>
      </c>
      <c r="B2665" s="376" t="s">
        <v>1609</v>
      </c>
      <c r="C2665" s="376" t="s">
        <v>628</v>
      </c>
      <c r="D2665" s="376">
        <v>2025</v>
      </c>
      <c r="E2665" s="376">
        <v>2031</v>
      </c>
      <c r="F2665" s="376">
        <v>1</v>
      </c>
      <c r="G2665" s="376">
        <v>20148.813739673951</v>
      </c>
      <c r="H2665" s="376">
        <v>0</v>
      </c>
      <c r="I2665" s="376">
        <v>0.65716939790195539</v>
      </c>
    </row>
    <row r="2666" spans="1:9" x14ac:dyDescent="0.35">
      <c r="A2666" s="376" t="s">
        <v>1615</v>
      </c>
      <c r="B2666" s="376" t="s">
        <v>1609</v>
      </c>
      <c r="C2666" s="376" t="s">
        <v>1051</v>
      </c>
      <c r="D2666" s="376">
        <v>2025</v>
      </c>
      <c r="E2666" s="376">
        <v>2031</v>
      </c>
      <c r="F2666" s="376">
        <v>1</v>
      </c>
      <c r="G2666" s="376">
        <v>20148.813739673951</v>
      </c>
      <c r="H2666" s="376">
        <v>0</v>
      </c>
      <c r="I2666" s="376">
        <v>0.65716939790195539</v>
      </c>
    </row>
    <row r="2667" spans="1:9" x14ac:dyDescent="0.35">
      <c r="A2667" s="376" t="s">
        <v>1615</v>
      </c>
      <c r="B2667" s="376" t="s">
        <v>1609</v>
      </c>
      <c r="C2667" s="376" t="s">
        <v>1054</v>
      </c>
      <c r="D2667" s="376">
        <v>2025</v>
      </c>
      <c r="E2667" s="376">
        <v>2031</v>
      </c>
      <c r="F2667" s="376">
        <v>1</v>
      </c>
      <c r="G2667" s="376">
        <v>20148.813739673951</v>
      </c>
      <c r="H2667" s="376">
        <v>0</v>
      </c>
      <c r="I2667" s="376">
        <v>0.65716939790195539</v>
      </c>
    </row>
    <row r="2668" spans="1:9" x14ac:dyDescent="0.35">
      <c r="A2668" s="376" t="s">
        <v>1603</v>
      </c>
      <c r="B2668" s="376" t="s">
        <v>1609</v>
      </c>
      <c r="C2668" s="376" t="s">
        <v>1046</v>
      </c>
      <c r="D2668" s="376">
        <v>2025</v>
      </c>
      <c r="E2668" s="376">
        <v>2025</v>
      </c>
      <c r="F2668" s="376">
        <v>1</v>
      </c>
      <c r="G2668" s="376">
        <v>6101.463203368502</v>
      </c>
      <c r="H2668" s="376">
        <v>0</v>
      </c>
      <c r="I2668" s="376">
        <v>1</v>
      </c>
    </row>
    <row r="2669" spans="1:9" x14ac:dyDescent="0.35">
      <c r="A2669" s="376" t="s">
        <v>1603</v>
      </c>
      <c r="B2669" s="376" t="s">
        <v>1609</v>
      </c>
      <c r="C2669" s="376" t="s">
        <v>644</v>
      </c>
      <c r="D2669" s="376">
        <v>2025</v>
      </c>
      <c r="E2669" s="376">
        <v>2025</v>
      </c>
      <c r="F2669" s="376">
        <v>1</v>
      </c>
      <c r="G2669" s="376">
        <v>6101.463203368502</v>
      </c>
      <c r="H2669" s="376">
        <v>0</v>
      </c>
      <c r="I2669" s="376">
        <v>1</v>
      </c>
    </row>
    <row r="2670" spans="1:9" x14ac:dyDescent="0.35">
      <c r="A2670" s="376" t="s">
        <v>1603</v>
      </c>
      <c r="B2670" s="376" t="s">
        <v>1609</v>
      </c>
      <c r="C2670" s="376" t="s">
        <v>628</v>
      </c>
      <c r="D2670" s="376">
        <v>2025</v>
      </c>
      <c r="E2670" s="376">
        <v>2025</v>
      </c>
      <c r="F2670" s="376">
        <v>1</v>
      </c>
      <c r="G2670" s="376">
        <v>6101.463203368502</v>
      </c>
      <c r="H2670" s="376">
        <v>0</v>
      </c>
      <c r="I2670" s="376">
        <v>1</v>
      </c>
    </row>
    <row r="2671" spans="1:9" x14ac:dyDescent="0.35">
      <c r="A2671" s="376" t="s">
        <v>1603</v>
      </c>
      <c r="B2671" s="376" t="s">
        <v>1609</v>
      </c>
      <c r="C2671" s="376" t="s">
        <v>1051</v>
      </c>
      <c r="D2671" s="376">
        <v>2025</v>
      </c>
      <c r="E2671" s="376">
        <v>2025</v>
      </c>
      <c r="F2671" s="376">
        <v>1</v>
      </c>
      <c r="G2671" s="376">
        <v>6101.463203368502</v>
      </c>
      <c r="H2671" s="376">
        <v>0</v>
      </c>
      <c r="I2671" s="376">
        <v>1</v>
      </c>
    </row>
    <row r="2672" spans="1:9" x14ac:dyDescent="0.35">
      <c r="A2672" s="376" t="s">
        <v>1603</v>
      </c>
      <c r="B2672" s="376" t="s">
        <v>1609</v>
      </c>
      <c r="C2672" s="376" t="s">
        <v>1054</v>
      </c>
      <c r="D2672" s="376">
        <v>2025</v>
      </c>
      <c r="E2672" s="376">
        <v>2025</v>
      </c>
      <c r="F2672" s="376">
        <v>1</v>
      </c>
      <c r="G2672" s="376">
        <v>6101.463203368502</v>
      </c>
      <c r="H2672" s="376">
        <v>0</v>
      </c>
      <c r="I2672" s="376">
        <v>1</v>
      </c>
    </row>
    <row r="2673" spans="1:9" x14ac:dyDescent="0.35">
      <c r="A2673" s="376" t="s">
        <v>1603</v>
      </c>
      <c r="B2673" s="376" t="s">
        <v>1609</v>
      </c>
      <c r="C2673" s="376" t="s">
        <v>1046</v>
      </c>
      <c r="D2673" s="376">
        <v>2025</v>
      </c>
      <c r="E2673" s="376">
        <v>2026</v>
      </c>
      <c r="F2673" s="376">
        <v>1</v>
      </c>
      <c r="G2673" s="376">
        <v>6101.463203368502</v>
      </c>
      <c r="H2673" s="376">
        <v>0</v>
      </c>
      <c r="I2673" s="376">
        <v>1</v>
      </c>
    </row>
    <row r="2674" spans="1:9" x14ac:dyDescent="0.35">
      <c r="A2674" s="376" t="s">
        <v>1603</v>
      </c>
      <c r="B2674" s="376" t="s">
        <v>1609</v>
      </c>
      <c r="C2674" s="376" t="s">
        <v>644</v>
      </c>
      <c r="D2674" s="376">
        <v>2025</v>
      </c>
      <c r="E2674" s="376">
        <v>2026</v>
      </c>
      <c r="F2674" s="376">
        <v>1</v>
      </c>
      <c r="G2674" s="376">
        <v>6101.463203368502</v>
      </c>
      <c r="H2674" s="376">
        <v>0</v>
      </c>
      <c r="I2674" s="376">
        <v>1</v>
      </c>
    </row>
    <row r="2675" spans="1:9" x14ac:dyDescent="0.35">
      <c r="A2675" s="376" t="s">
        <v>1603</v>
      </c>
      <c r="B2675" s="376" t="s">
        <v>1609</v>
      </c>
      <c r="C2675" s="376" t="s">
        <v>628</v>
      </c>
      <c r="D2675" s="376">
        <v>2025</v>
      </c>
      <c r="E2675" s="376">
        <v>2026</v>
      </c>
      <c r="F2675" s="376">
        <v>1</v>
      </c>
      <c r="G2675" s="376">
        <v>6101.463203368502</v>
      </c>
      <c r="H2675" s="376">
        <v>0</v>
      </c>
      <c r="I2675" s="376">
        <v>1</v>
      </c>
    </row>
    <row r="2676" spans="1:9" x14ac:dyDescent="0.35">
      <c r="A2676" s="376" t="s">
        <v>1603</v>
      </c>
      <c r="B2676" s="376" t="s">
        <v>1609</v>
      </c>
      <c r="C2676" s="376" t="s">
        <v>1051</v>
      </c>
      <c r="D2676" s="376">
        <v>2025</v>
      </c>
      <c r="E2676" s="376">
        <v>2026</v>
      </c>
      <c r="F2676" s="376">
        <v>1</v>
      </c>
      <c r="G2676" s="376">
        <v>6101.463203368502</v>
      </c>
      <c r="H2676" s="376">
        <v>0</v>
      </c>
      <c r="I2676" s="376">
        <v>1</v>
      </c>
    </row>
    <row r="2677" spans="1:9" x14ac:dyDescent="0.35">
      <c r="A2677" s="376" t="s">
        <v>1603</v>
      </c>
      <c r="B2677" s="376" t="s">
        <v>1609</v>
      </c>
      <c r="C2677" s="376" t="s">
        <v>1054</v>
      </c>
      <c r="D2677" s="376">
        <v>2025</v>
      </c>
      <c r="E2677" s="376">
        <v>2026</v>
      </c>
      <c r="F2677" s="376">
        <v>1</v>
      </c>
      <c r="G2677" s="376">
        <v>6101.463203368502</v>
      </c>
      <c r="H2677" s="376">
        <v>0</v>
      </c>
      <c r="I2677" s="376">
        <v>1</v>
      </c>
    </row>
    <row r="2678" spans="1:9" x14ac:dyDescent="0.35">
      <c r="A2678" s="376" t="s">
        <v>1603</v>
      </c>
      <c r="B2678" s="376" t="s">
        <v>1609</v>
      </c>
      <c r="C2678" s="376" t="s">
        <v>1046</v>
      </c>
      <c r="D2678" s="376">
        <v>2025</v>
      </c>
      <c r="E2678" s="376">
        <v>2027</v>
      </c>
      <c r="F2678" s="376">
        <v>1</v>
      </c>
      <c r="G2678" s="376">
        <v>6101.463203368502</v>
      </c>
      <c r="H2678" s="376">
        <v>0</v>
      </c>
      <c r="I2678" s="376">
        <v>1</v>
      </c>
    </row>
    <row r="2679" spans="1:9" x14ac:dyDescent="0.35">
      <c r="A2679" s="376" t="s">
        <v>1603</v>
      </c>
      <c r="B2679" s="376" t="s">
        <v>1609</v>
      </c>
      <c r="C2679" s="376" t="s">
        <v>644</v>
      </c>
      <c r="D2679" s="376">
        <v>2025</v>
      </c>
      <c r="E2679" s="376">
        <v>2027</v>
      </c>
      <c r="F2679" s="376">
        <v>1</v>
      </c>
      <c r="G2679" s="376">
        <v>6101.463203368502</v>
      </c>
      <c r="H2679" s="376">
        <v>0</v>
      </c>
      <c r="I2679" s="376">
        <v>1</v>
      </c>
    </row>
    <row r="2680" spans="1:9" x14ac:dyDescent="0.35">
      <c r="A2680" s="376" t="s">
        <v>1603</v>
      </c>
      <c r="B2680" s="376" t="s">
        <v>1609</v>
      </c>
      <c r="C2680" s="376" t="s">
        <v>628</v>
      </c>
      <c r="D2680" s="376">
        <v>2025</v>
      </c>
      <c r="E2680" s="376">
        <v>2027</v>
      </c>
      <c r="F2680" s="376">
        <v>1</v>
      </c>
      <c r="G2680" s="376">
        <v>6101.463203368502</v>
      </c>
      <c r="H2680" s="376">
        <v>0</v>
      </c>
      <c r="I2680" s="376">
        <v>1</v>
      </c>
    </row>
    <row r="2681" spans="1:9" x14ac:dyDescent="0.35">
      <c r="A2681" s="376" t="s">
        <v>1603</v>
      </c>
      <c r="B2681" s="376" t="s">
        <v>1609</v>
      </c>
      <c r="C2681" s="376" t="s">
        <v>1051</v>
      </c>
      <c r="D2681" s="376">
        <v>2025</v>
      </c>
      <c r="E2681" s="376">
        <v>2027</v>
      </c>
      <c r="F2681" s="376">
        <v>1</v>
      </c>
      <c r="G2681" s="376">
        <v>6101.463203368502</v>
      </c>
      <c r="H2681" s="376">
        <v>0</v>
      </c>
      <c r="I2681" s="376">
        <v>1</v>
      </c>
    </row>
    <row r="2682" spans="1:9" x14ac:dyDescent="0.35">
      <c r="A2682" s="376" t="s">
        <v>1603</v>
      </c>
      <c r="B2682" s="376" t="s">
        <v>1609</v>
      </c>
      <c r="C2682" s="376" t="s">
        <v>1054</v>
      </c>
      <c r="D2682" s="376">
        <v>2025</v>
      </c>
      <c r="E2682" s="376">
        <v>2027</v>
      </c>
      <c r="F2682" s="376">
        <v>1</v>
      </c>
      <c r="G2682" s="376">
        <v>6101.463203368502</v>
      </c>
      <c r="H2682" s="376">
        <v>0</v>
      </c>
      <c r="I2682" s="376">
        <v>1</v>
      </c>
    </row>
    <row r="2683" spans="1:9" x14ac:dyDescent="0.35">
      <c r="A2683" s="376" t="s">
        <v>1603</v>
      </c>
      <c r="B2683" s="376" t="s">
        <v>1609</v>
      </c>
      <c r="C2683" s="376" t="s">
        <v>1046</v>
      </c>
      <c r="D2683" s="376">
        <v>2025</v>
      </c>
      <c r="E2683" s="376">
        <v>2028</v>
      </c>
      <c r="F2683" s="376">
        <v>1</v>
      </c>
      <c r="G2683" s="376">
        <v>6101.463203368502</v>
      </c>
      <c r="H2683" s="376">
        <v>0</v>
      </c>
      <c r="I2683" s="376">
        <v>1</v>
      </c>
    </row>
    <row r="2684" spans="1:9" x14ac:dyDescent="0.35">
      <c r="A2684" s="376" t="s">
        <v>1603</v>
      </c>
      <c r="B2684" s="376" t="s">
        <v>1609</v>
      </c>
      <c r="C2684" s="376" t="s">
        <v>644</v>
      </c>
      <c r="D2684" s="376">
        <v>2025</v>
      </c>
      <c r="E2684" s="376">
        <v>2028</v>
      </c>
      <c r="F2684" s="376">
        <v>1</v>
      </c>
      <c r="G2684" s="376">
        <v>6101.463203368502</v>
      </c>
      <c r="H2684" s="376">
        <v>0</v>
      </c>
      <c r="I2684" s="376">
        <v>1</v>
      </c>
    </row>
    <row r="2685" spans="1:9" x14ac:dyDescent="0.35">
      <c r="A2685" s="376" t="s">
        <v>1603</v>
      </c>
      <c r="B2685" s="376" t="s">
        <v>1609</v>
      </c>
      <c r="C2685" s="376" t="s">
        <v>628</v>
      </c>
      <c r="D2685" s="376">
        <v>2025</v>
      </c>
      <c r="E2685" s="376">
        <v>2028</v>
      </c>
      <c r="F2685" s="376">
        <v>1</v>
      </c>
      <c r="G2685" s="376">
        <v>6101.463203368502</v>
      </c>
      <c r="H2685" s="376">
        <v>0</v>
      </c>
      <c r="I2685" s="376">
        <v>1</v>
      </c>
    </row>
    <row r="2686" spans="1:9" x14ac:dyDescent="0.35">
      <c r="A2686" s="376" t="s">
        <v>1603</v>
      </c>
      <c r="B2686" s="376" t="s">
        <v>1609</v>
      </c>
      <c r="C2686" s="376" t="s">
        <v>1051</v>
      </c>
      <c r="D2686" s="376">
        <v>2025</v>
      </c>
      <c r="E2686" s="376">
        <v>2028</v>
      </c>
      <c r="F2686" s="376">
        <v>1</v>
      </c>
      <c r="G2686" s="376">
        <v>6101.463203368502</v>
      </c>
      <c r="H2686" s="376">
        <v>0</v>
      </c>
      <c r="I2686" s="376">
        <v>1</v>
      </c>
    </row>
    <row r="2687" spans="1:9" x14ac:dyDescent="0.35">
      <c r="A2687" s="376" t="s">
        <v>1603</v>
      </c>
      <c r="B2687" s="376" t="s">
        <v>1609</v>
      </c>
      <c r="C2687" s="376" t="s">
        <v>1054</v>
      </c>
      <c r="D2687" s="376">
        <v>2025</v>
      </c>
      <c r="E2687" s="376">
        <v>2028</v>
      </c>
      <c r="F2687" s="376">
        <v>1</v>
      </c>
      <c r="G2687" s="376">
        <v>6101.463203368502</v>
      </c>
      <c r="H2687" s="376">
        <v>0</v>
      </c>
      <c r="I2687" s="376">
        <v>1</v>
      </c>
    </row>
    <row r="2688" spans="1:9" x14ac:dyDescent="0.35">
      <c r="A2688" s="376" t="s">
        <v>1603</v>
      </c>
      <c r="B2688" s="376" t="s">
        <v>1609</v>
      </c>
      <c r="C2688" s="376" t="s">
        <v>1046</v>
      </c>
      <c r="D2688" s="376">
        <v>2025</v>
      </c>
      <c r="E2688" s="376">
        <v>2029</v>
      </c>
      <c r="F2688" s="376">
        <v>1</v>
      </c>
      <c r="G2688" s="376">
        <v>6101.463203368502</v>
      </c>
      <c r="H2688" s="376">
        <v>0</v>
      </c>
      <c r="I2688" s="376">
        <v>1</v>
      </c>
    </row>
    <row r="2689" spans="1:9" x14ac:dyDescent="0.35">
      <c r="A2689" s="376" t="s">
        <v>1603</v>
      </c>
      <c r="B2689" s="376" t="s">
        <v>1609</v>
      </c>
      <c r="C2689" s="376" t="s">
        <v>644</v>
      </c>
      <c r="D2689" s="376">
        <v>2025</v>
      </c>
      <c r="E2689" s="376">
        <v>2029</v>
      </c>
      <c r="F2689" s="376">
        <v>1</v>
      </c>
      <c r="G2689" s="376">
        <v>6101.463203368502</v>
      </c>
      <c r="H2689" s="376">
        <v>0</v>
      </c>
      <c r="I2689" s="376">
        <v>1</v>
      </c>
    </row>
    <row r="2690" spans="1:9" x14ac:dyDescent="0.35">
      <c r="A2690" s="376" t="s">
        <v>1603</v>
      </c>
      <c r="B2690" s="376" t="s">
        <v>1609</v>
      </c>
      <c r="C2690" s="376" t="s">
        <v>628</v>
      </c>
      <c r="D2690" s="376">
        <v>2025</v>
      </c>
      <c r="E2690" s="376">
        <v>2029</v>
      </c>
      <c r="F2690" s="376">
        <v>1</v>
      </c>
      <c r="G2690" s="376">
        <v>6101.463203368502</v>
      </c>
      <c r="H2690" s="376">
        <v>0</v>
      </c>
      <c r="I2690" s="376">
        <v>1</v>
      </c>
    </row>
    <row r="2691" spans="1:9" x14ac:dyDescent="0.35">
      <c r="A2691" s="376" t="s">
        <v>1603</v>
      </c>
      <c r="B2691" s="376" t="s">
        <v>1609</v>
      </c>
      <c r="C2691" s="376" t="s">
        <v>1051</v>
      </c>
      <c r="D2691" s="376">
        <v>2025</v>
      </c>
      <c r="E2691" s="376">
        <v>2029</v>
      </c>
      <c r="F2691" s="376">
        <v>1</v>
      </c>
      <c r="G2691" s="376">
        <v>6101.463203368502</v>
      </c>
      <c r="H2691" s="376">
        <v>0</v>
      </c>
      <c r="I2691" s="376">
        <v>1</v>
      </c>
    </row>
    <row r="2692" spans="1:9" x14ac:dyDescent="0.35">
      <c r="A2692" s="376" t="s">
        <v>1603</v>
      </c>
      <c r="B2692" s="376" t="s">
        <v>1609</v>
      </c>
      <c r="C2692" s="376" t="s">
        <v>1054</v>
      </c>
      <c r="D2692" s="376">
        <v>2025</v>
      </c>
      <c r="E2692" s="376">
        <v>2029</v>
      </c>
      <c r="F2692" s="376">
        <v>1</v>
      </c>
      <c r="G2692" s="376">
        <v>6101.463203368502</v>
      </c>
      <c r="H2692" s="376">
        <v>0</v>
      </c>
      <c r="I2692" s="376">
        <v>1</v>
      </c>
    </row>
    <row r="2693" spans="1:9" x14ac:dyDescent="0.35">
      <c r="A2693" s="376" t="s">
        <v>1603</v>
      </c>
      <c r="B2693" s="376" t="s">
        <v>1609</v>
      </c>
      <c r="C2693" s="376" t="s">
        <v>1046</v>
      </c>
      <c r="D2693" s="376">
        <v>2025</v>
      </c>
      <c r="E2693" s="376">
        <v>2030</v>
      </c>
      <c r="F2693" s="376">
        <v>1</v>
      </c>
      <c r="G2693" s="376">
        <v>6101.463203368502</v>
      </c>
      <c r="H2693" s="376">
        <v>0</v>
      </c>
      <c r="I2693" s="376">
        <v>1</v>
      </c>
    </row>
    <row r="2694" spans="1:9" x14ac:dyDescent="0.35">
      <c r="A2694" s="376" t="s">
        <v>1603</v>
      </c>
      <c r="B2694" s="376" t="s">
        <v>1609</v>
      </c>
      <c r="C2694" s="376" t="s">
        <v>644</v>
      </c>
      <c r="D2694" s="376">
        <v>2025</v>
      </c>
      <c r="E2694" s="376">
        <v>2030</v>
      </c>
      <c r="F2694" s="376">
        <v>1</v>
      </c>
      <c r="G2694" s="376">
        <v>6101.463203368502</v>
      </c>
      <c r="H2694" s="376">
        <v>0</v>
      </c>
      <c r="I2694" s="376">
        <v>1</v>
      </c>
    </row>
    <row r="2695" spans="1:9" x14ac:dyDescent="0.35">
      <c r="A2695" s="376" t="s">
        <v>1603</v>
      </c>
      <c r="B2695" s="376" t="s">
        <v>1609</v>
      </c>
      <c r="C2695" s="376" t="s">
        <v>628</v>
      </c>
      <c r="D2695" s="376">
        <v>2025</v>
      </c>
      <c r="E2695" s="376">
        <v>2030</v>
      </c>
      <c r="F2695" s="376">
        <v>1</v>
      </c>
      <c r="G2695" s="376">
        <v>6101.463203368502</v>
      </c>
      <c r="H2695" s="376">
        <v>0</v>
      </c>
      <c r="I2695" s="376">
        <v>1</v>
      </c>
    </row>
    <row r="2696" spans="1:9" x14ac:dyDescent="0.35">
      <c r="A2696" s="376" t="s">
        <v>1603</v>
      </c>
      <c r="B2696" s="376" t="s">
        <v>1609</v>
      </c>
      <c r="C2696" s="376" t="s">
        <v>1051</v>
      </c>
      <c r="D2696" s="376">
        <v>2025</v>
      </c>
      <c r="E2696" s="376">
        <v>2030</v>
      </c>
      <c r="F2696" s="376">
        <v>1</v>
      </c>
      <c r="G2696" s="376">
        <v>6101.463203368502</v>
      </c>
      <c r="H2696" s="376">
        <v>0</v>
      </c>
      <c r="I2696" s="376">
        <v>1</v>
      </c>
    </row>
    <row r="2697" spans="1:9" x14ac:dyDescent="0.35">
      <c r="A2697" s="376" t="s">
        <v>1603</v>
      </c>
      <c r="B2697" s="376" t="s">
        <v>1609</v>
      </c>
      <c r="C2697" s="376" t="s">
        <v>1054</v>
      </c>
      <c r="D2697" s="376">
        <v>2025</v>
      </c>
      <c r="E2697" s="376">
        <v>2030</v>
      </c>
      <c r="F2697" s="376">
        <v>1</v>
      </c>
      <c r="G2697" s="376">
        <v>6101.463203368502</v>
      </c>
      <c r="H2697" s="376">
        <v>0</v>
      </c>
      <c r="I2697" s="376">
        <v>1</v>
      </c>
    </row>
    <row r="2698" spans="1:9" x14ac:dyDescent="0.35">
      <c r="A2698" s="376" t="s">
        <v>1603</v>
      </c>
      <c r="B2698" s="376" t="s">
        <v>1609</v>
      </c>
      <c r="C2698" s="376" t="s">
        <v>1046</v>
      </c>
      <c r="D2698" s="376">
        <v>2025</v>
      </c>
      <c r="E2698" s="376">
        <v>2031</v>
      </c>
      <c r="F2698" s="376">
        <v>1</v>
      </c>
      <c r="G2698" s="376">
        <v>6101.463203368502</v>
      </c>
      <c r="H2698" s="376">
        <v>0</v>
      </c>
      <c r="I2698" s="376">
        <v>1</v>
      </c>
    </row>
    <row r="2699" spans="1:9" x14ac:dyDescent="0.35">
      <c r="A2699" s="376" t="s">
        <v>1603</v>
      </c>
      <c r="B2699" s="376" t="s">
        <v>1609</v>
      </c>
      <c r="C2699" s="376" t="s">
        <v>644</v>
      </c>
      <c r="D2699" s="376">
        <v>2025</v>
      </c>
      <c r="E2699" s="376">
        <v>2031</v>
      </c>
      <c r="F2699" s="376">
        <v>1</v>
      </c>
      <c r="G2699" s="376">
        <v>6101.463203368502</v>
      </c>
      <c r="H2699" s="376">
        <v>0</v>
      </c>
      <c r="I2699" s="376">
        <v>1</v>
      </c>
    </row>
    <row r="2700" spans="1:9" x14ac:dyDescent="0.35">
      <c r="A2700" s="376" t="s">
        <v>1603</v>
      </c>
      <c r="B2700" s="376" t="s">
        <v>1609</v>
      </c>
      <c r="C2700" s="376" t="s">
        <v>628</v>
      </c>
      <c r="D2700" s="376">
        <v>2025</v>
      </c>
      <c r="E2700" s="376">
        <v>2031</v>
      </c>
      <c r="F2700" s="376">
        <v>1</v>
      </c>
      <c r="G2700" s="376">
        <v>6101.463203368502</v>
      </c>
      <c r="H2700" s="376">
        <v>0</v>
      </c>
      <c r="I2700" s="376">
        <v>1</v>
      </c>
    </row>
    <row r="2701" spans="1:9" x14ac:dyDescent="0.35">
      <c r="A2701" s="376" t="s">
        <v>1603</v>
      </c>
      <c r="B2701" s="376" t="s">
        <v>1609</v>
      </c>
      <c r="C2701" s="376" t="s">
        <v>1051</v>
      </c>
      <c r="D2701" s="376">
        <v>2025</v>
      </c>
      <c r="E2701" s="376">
        <v>2031</v>
      </c>
      <c r="F2701" s="376">
        <v>1</v>
      </c>
      <c r="G2701" s="376">
        <v>6101.463203368502</v>
      </c>
      <c r="H2701" s="376">
        <v>0</v>
      </c>
      <c r="I2701" s="376">
        <v>1</v>
      </c>
    </row>
    <row r="2702" spans="1:9" x14ac:dyDescent="0.35">
      <c r="A2702" s="376" t="s">
        <v>1603</v>
      </c>
      <c r="B2702" s="376" t="s">
        <v>1609</v>
      </c>
      <c r="C2702" s="376" t="s">
        <v>1054</v>
      </c>
      <c r="D2702" s="376">
        <v>2025</v>
      </c>
      <c r="E2702" s="376">
        <v>2031</v>
      </c>
      <c r="F2702" s="376">
        <v>1</v>
      </c>
      <c r="G2702" s="376">
        <v>6101.463203368502</v>
      </c>
      <c r="H2702" s="376">
        <v>0</v>
      </c>
      <c r="I2702" s="376">
        <v>1</v>
      </c>
    </row>
    <row r="2703" spans="1:9" x14ac:dyDescent="0.35">
      <c r="A2703" s="376" t="s">
        <v>1605</v>
      </c>
      <c r="B2703" s="376" t="s">
        <v>1609</v>
      </c>
      <c r="C2703" s="376" t="s">
        <v>1046</v>
      </c>
      <c r="D2703" s="376">
        <v>2025</v>
      </c>
      <c r="E2703" s="376">
        <v>2025</v>
      </c>
      <c r="F2703" s="376">
        <v>0.23884589662749595</v>
      </c>
      <c r="G2703" s="376">
        <v>10426.102375692073</v>
      </c>
      <c r="H2703" s="376">
        <v>0</v>
      </c>
      <c r="I2703" s="376">
        <v>1</v>
      </c>
    </row>
    <row r="2704" spans="1:9" x14ac:dyDescent="0.35">
      <c r="A2704" s="376" t="s">
        <v>1605</v>
      </c>
      <c r="B2704" s="376" t="s">
        <v>1609</v>
      </c>
      <c r="C2704" s="376" t="s">
        <v>644</v>
      </c>
      <c r="D2704" s="376">
        <v>2025</v>
      </c>
      <c r="E2704" s="376">
        <v>2025</v>
      </c>
      <c r="F2704" s="376">
        <v>0.23884589662749595</v>
      </c>
      <c r="G2704" s="376">
        <v>10426.102375692073</v>
      </c>
      <c r="H2704" s="376">
        <v>0</v>
      </c>
      <c r="I2704" s="376">
        <v>1</v>
      </c>
    </row>
    <row r="2705" spans="1:9" x14ac:dyDescent="0.35">
      <c r="A2705" s="376" t="s">
        <v>1605</v>
      </c>
      <c r="B2705" s="376" t="s">
        <v>1609</v>
      </c>
      <c r="C2705" s="376" t="s">
        <v>628</v>
      </c>
      <c r="D2705" s="376">
        <v>2025</v>
      </c>
      <c r="E2705" s="376">
        <v>2025</v>
      </c>
      <c r="F2705" s="376">
        <v>0.23884589662749595</v>
      </c>
      <c r="G2705" s="376">
        <v>10426.102375692073</v>
      </c>
      <c r="H2705" s="376">
        <v>0</v>
      </c>
      <c r="I2705" s="376">
        <v>1</v>
      </c>
    </row>
    <row r="2706" spans="1:9" x14ac:dyDescent="0.35">
      <c r="A2706" s="376" t="s">
        <v>1605</v>
      </c>
      <c r="B2706" s="376" t="s">
        <v>1609</v>
      </c>
      <c r="C2706" s="376" t="s">
        <v>1051</v>
      </c>
      <c r="D2706" s="376">
        <v>2025</v>
      </c>
      <c r="E2706" s="376">
        <v>2025</v>
      </c>
      <c r="F2706" s="376">
        <v>0.23884589662749595</v>
      </c>
      <c r="G2706" s="376">
        <v>10426.102375692073</v>
      </c>
      <c r="H2706" s="376">
        <v>0</v>
      </c>
      <c r="I2706" s="376">
        <v>1</v>
      </c>
    </row>
    <row r="2707" spans="1:9" x14ac:dyDescent="0.35">
      <c r="A2707" s="376" t="s">
        <v>1605</v>
      </c>
      <c r="B2707" s="376" t="s">
        <v>1609</v>
      </c>
      <c r="C2707" s="376" t="s">
        <v>1054</v>
      </c>
      <c r="D2707" s="376">
        <v>2025</v>
      </c>
      <c r="E2707" s="376">
        <v>2025</v>
      </c>
      <c r="F2707" s="376">
        <v>0.23884589662749595</v>
      </c>
      <c r="G2707" s="376">
        <v>10426.102375692073</v>
      </c>
      <c r="H2707" s="376">
        <v>0</v>
      </c>
      <c r="I2707" s="376">
        <v>1</v>
      </c>
    </row>
    <row r="2708" spans="1:9" x14ac:dyDescent="0.35">
      <c r="A2708" s="376" t="s">
        <v>1605</v>
      </c>
      <c r="B2708" s="376" t="s">
        <v>1609</v>
      </c>
      <c r="C2708" s="376" t="s">
        <v>1046</v>
      </c>
      <c r="D2708" s="376">
        <v>2025</v>
      </c>
      <c r="E2708" s="376">
        <v>2026</v>
      </c>
      <c r="F2708" s="376">
        <v>0.23884589662749595</v>
      </c>
      <c r="G2708" s="376">
        <v>10426.102375692073</v>
      </c>
      <c r="H2708" s="376">
        <v>0</v>
      </c>
      <c r="I2708" s="376">
        <v>1</v>
      </c>
    </row>
    <row r="2709" spans="1:9" x14ac:dyDescent="0.35">
      <c r="A2709" s="376" t="s">
        <v>1605</v>
      </c>
      <c r="B2709" s="376" t="s">
        <v>1609</v>
      </c>
      <c r="C2709" s="376" t="s">
        <v>644</v>
      </c>
      <c r="D2709" s="376">
        <v>2025</v>
      </c>
      <c r="E2709" s="376">
        <v>2026</v>
      </c>
      <c r="F2709" s="376">
        <v>0.23884589662749595</v>
      </c>
      <c r="G2709" s="376">
        <v>10426.102375692073</v>
      </c>
      <c r="H2709" s="376">
        <v>0</v>
      </c>
      <c r="I2709" s="376">
        <v>1</v>
      </c>
    </row>
    <row r="2710" spans="1:9" x14ac:dyDescent="0.35">
      <c r="A2710" s="376" t="s">
        <v>1605</v>
      </c>
      <c r="B2710" s="376" t="s">
        <v>1609</v>
      </c>
      <c r="C2710" s="376" t="s">
        <v>628</v>
      </c>
      <c r="D2710" s="376">
        <v>2025</v>
      </c>
      <c r="E2710" s="376">
        <v>2026</v>
      </c>
      <c r="F2710" s="376">
        <v>0.23884589662749595</v>
      </c>
      <c r="G2710" s="376">
        <v>10426.102375692073</v>
      </c>
      <c r="H2710" s="376">
        <v>0</v>
      </c>
      <c r="I2710" s="376">
        <v>1</v>
      </c>
    </row>
    <row r="2711" spans="1:9" x14ac:dyDescent="0.35">
      <c r="A2711" s="376" t="s">
        <v>1605</v>
      </c>
      <c r="B2711" s="376" t="s">
        <v>1609</v>
      </c>
      <c r="C2711" s="376" t="s">
        <v>1051</v>
      </c>
      <c r="D2711" s="376">
        <v>2025</v>
      </c>
      <c r="E2711" s="376">
        <v>2026</v>
      </c>
      <c r="F2711" s="376">
        <v>0.23884589662749595</v>
      </c>
      <c r="G2711" s="376">
        <v>10426.102375692073</v>
      </c>
      <c r="H2711" s="376">
        <v>0</v>
      </c>
      <c r="I2711" s="376">
        <v>1</v>
      </c>
    </row>
    <row r="2712" spans="1:9" x14ac:dyDescent="0.35">
      <c r="A2712" s="376" t="s">
        <v>1605</v>
      </c>
      <c r="B2712" s="376" t="s">
        <v>1609</v>
      </c>
      <c r="C2712" s="376" t="s">
        <v>1054</v>
      </c>
      <c r="D2712" s="376">
        <v>2025</v>
      </c>
      <c r="E2712" s="376">
        <v>2026</v>
      </c>
      <c r="F2712" s="376">
        <v>0.23884589662749595</v>
      </c>
      <c r="G2712" s="376">
        <v>10426.102375692073</v>
      </c>
      <c r="H2712" s="376">
        <v>0</v>
      </c>
      <c r="I2712" s="376">
        <v>1</v>
      </c>
    </row>
    <row r="2713" spans="1:9" x14ac:dyDescent="0.35">
      <c r="A2713" s="376" t="s">
        <v>1605</v>
      </c>
      <c r="B2713" s="376" t="s">
        <v>1609</v>
      </c>
      <c r="C2713" s="376" t="s">
        <v>1046</v>
      </c>
      <c r="D2713" s="376">
        <v>2025</v>
      </c>
      <c r="E2713" s="376">
        <v>2027</v>
      </c>
      <c r="F2713" s="376">
        <v>0.23884589662749595</v>
      </c>
      <c r="G2713" s="376">
        <v>10426.102375692073</v>
      </c>
      <c r="H2713" s="376">
        <v>0</v>
      </c>
      <c r="I2713" s="376">
        <v>1</v>
      </c>
    </row>
    <row r="2714" spans="1:9" x14ac:dyDescent="0.35">
      <c r="A2714" s="376" t="s">
        <v>1605</v>
      </c>
      <c r="B2714" s="376" t="s">
        <v>1609</v>
      </c>
      <c r="C2714" s="376" t="s">
        <v>644</v>
      </c>
      <c r="D2714" s="376">
        <v>2025</v>
      </c>
      <c r="E2714" s="376">
        <v>2027</v>
      </c>
      <c r="F2714" s="376">
        <v>0.23884589662749595</v>
      </c>
      <c r="G2714" s="376">
        <v>10426.102375692073</v>
      </c>
      <c r="H2714" s="376">
        <v>0</v>
      </c>
      <c r="I2714" s="376">
        <v>1</v>
      </c>
    </row>
    <row r="2715" spans="1:9" x14ac:dyDescent="0.35">
      <c r="A2715" s="376" t="s">
        <v>1605</v>
      </c>
      <c r="B2715" s="376" t="s">
        <v>1609</v>
      </c>
      <c r="C2715" s="376" t="s">
        <v>628</v>
      </c>
      <c r="D2715" s="376">
        <v>2025</v>
      </c>
      <c r="E2715" s="376">
        <v>2027</v>
      </c>
      <c r="F2715" s="376">
        <v>0.23884589662749595</v>
      </c>
      <c r="G2715" s="376">
        <v>10426.102375692073</v>
      </c>
      <c r="H2715" s="376">
        <v>0</v>
      </c>
      <c r="I2715" s="376">
        <v>1</v>
      </c>
    </row>
    <row r="2716" spans="1:9" x14ac:dyDescent="0.35">
      <c r="A2716" s="376" t="s">
        <v>1605</v>
      </c>
      <c r="B2716" s="376" t="s">
        <v>1609</v>
      </c>
      <c r="C2716" s="376" t="s">
        <v>1051</v>
      </c>
      <c r="D2716" s="376">
        <v>2025</v>
      </c>
      <c r="E2716" s="376">
        <v>2027</v>
      </c>
      <c r="F2716" s="376">
        <v>0.23884589662749595</v>
      </c>
      <c r="G2716" s="376">
        <v>10426.102375692073</v>
      </c>
      <c r="H2716" s="376">
        <v>0</v>
      </c>
      <c r="I2716" s="376">
        <v>1</v>
      </c>
    </row>
    <row r="2717" spans="1:9" x14ac:dyDescent="0.35">
      <c r="A2717" s="376" t="s">
        <v>1605</v>
      </c>
      <c r="B2717" s="376" t="s">
        <v>1609</v>
      </c>
      <c r="C2717" s="376" t="s">
        <v>1054</v>
      </c>
      <c r="D2717" s="376">
        <v>2025</v>
      </c>
      <c r="E2717" s="376">
        <v>2027</v>
      </c>
      <c r="F2717" s="376">
        <v>0.23884589662749595</v>
      </c>
      <c r="G2717" s="376">
        <v>10426.102375692073</v>
      </c>
      <c r="H2717" s="376">
        <v>0</v>
      </c>
      <c r="I2717" s="376">
        <v>1</v>
      </c>
    </row>
    <row r="2718" spans="1:9" x14ac:dyDescent="0.35">
      <c r="A2718" s="376" t="s">
        <v>1605</v>
      </c>
      <c r="B2718" s="376" t="s">
        <v>1609</v>
      </c>
      <c r="C2718" s="376" t="s">
        <v>1046</v>
      </c>
      <c r="D2718" s="376">
        <v>2025</v>
      </c>
      <c r="E2718" s="376">
        <v>2028</v>
      </c>
      <c r="F2718" s="376">
        <v>0.23884589662749595</v>
      </c>
      <c r="G2718" s="376">
        <v>10426.102375692073</v>
      </c>
      <c r="H2718" s="376">
        <v>0</v>
      </c>
      <c r="I2718" s="376">
        <v>1</v>
      </c>
    </row>
    <row r="2719" spans="1:9" x14ac:dyDescent="0.35">
      <c r="A2719" s="376" t="s">
        <v>1605</v>
      </c>
      <c r="B2719" s="376" t="s">
        <v>1609</v>
      </c>
      <c r="C2719" s="376" t="s">
        <v>644</v>
      </c>
      <c r="D2719" s="376">
        <v>2025</v>
      </c>
      <c r="E2719" s="376">
        <v>2028</v>
      </c>
      <c r="F2719" s="376">
        <v>0.23884589662749595</v>
      </c>
      <c r="G2719" s="376">
        <v>10426.102375692073</v>
      </c>
      <c r="H2719" s="376">
        <v>0</v>
      </c>
      <c r="I2719" s="376">
        <v>1</v>
      </c>
    </row>
    <row r="2720" spans="1:9" x14ac:dyDescent="0.35">
      <c r="A2720" s="376" t="s">
        <v>1605</v>
      </c>
      <c r="B2720" s="376" t="s">
        <v>1609</v>
      </c>
      <c r="C2720" s="376" t="s">
        <v>628</v>
      </c>
      <c r="D2720" s="376">
        <v>2025</v>
      </c>
      <c r="E2720" s="376">
        <v>2028</v>
      </c>
      <c r="F2720" s="376">
        <v>0.23884589662749595</v>
      </c>
      <c r="G2720" s="376">
        <v>10426.102375692073</v>
      </c>
      <c r="H2720" s="376">
        <v>0</v>
      </c>
      <c r="I2720" s="376">
        <v>1</v>
      </c>
    </row>
    <row r="2721" spans="1:9" x14ac:dyDescent="0.35">
      <c r="A2721" s="376" t="s">
        <v>1605</v>
      </c>
      <c r="B2721" s="376" t="s">
        <v>1609</v>
      </c>
      <c r="C2721" s="376" t="s">
        <v>1051</v>
      </c>
      <c r="D2721" s="376">
        <v>2025</v>
      </c>
      <c r="E2721" s="376">
        <v>2028</v>
      </c>
      <c r="F2721" s="376">
        <v>0.23884589662749595</v>
      </c>
      <c r="G2721" s="376">
        <v>10426.102375692073</v>
      </c>
      <c r="H2721" s="376">
        <v>0</v>
      </c>
      <c r="I2721" s="376">
        <v>1</v>
      </c>
    </row>
    <row r="2722" spans="1:9" x14ac:dyDescent="0.35">
      <c r="A2722" s="376" t="s">
        <v>1605</v>
      </c>
      <c r="B2722" s="376" t="s">
        <v>1609</v>
      </c>
      <c r="C2722" s="376" t="s">
        <v>1054</v>
      </c>
      <c r="D2722" s="376">
        <v>2025</v>
      </c>
      <c r="E2722" s="376">
        <v>2028</v>
      </c>
      <c r="F2722" s="376">
        <v>0.23884589662749595</v>
      </c>
      <c r="G2722" s="376">
        <v>10426.102375692073</v>
      </c>
      <c r="H2722" s="376">
        <v>0</v>
      </c>
      <c r="I2722" s="376">
        <v>1</v>
      </c>
    </row>
    <row r="2723" spans="1:9" x14ac:dyDescent="0.35">
      <c r="A2723" s="376" t="s">
        <v>1605</v>
      </c>
      <c r="B2723" s="376" t="s">
        <v>1609</v>
      </c>
      <c r="C2723" s="376" t="s">
        <v>1046</v>
      </c>
      <c r="D2723" s="376">
        <v>2025</v>
      </c>
      <c r="E2723" s="376">
        <v>2029</v>
      </c>
      <c r="F2723" s="376">
        <v>0.23884589662749595</v>
      </c>
      <c r="G2723" s="376">
        <v>10426.102375692073</v>
      </c>
      <c r="H2723" s="376">
        <v>0</v>
      </c>
      <c r="I2723" s="376">
        <v>1</v>
      </c>
    </row>
    <row r="2724" spans="1:9" x14ac:dyDescent="0.35">
      <c r="A2724" s="376" t="s">
        <v>1605</v>
      </c>
      <c r="B2724" s="376" t="s">
        <v>1609</v>
      </c>
      <c r="C2724" s="376" t="s">
        <v>644</v>
      </c>
      <c r="D2724" s="376">
        <v>2025</v>
      </c>
      <c r="E2724" s="376">
        <v>2029</v>
      </c>
      <c r="F2724" s="376">
        <v>0.23884589662749595</v>
      </c>
      <c r="G2724" s="376">
        <v>10426.102375692073</v>
      </c>
      <c r="H2724" s="376">
        <v>0</v>
      </c>
      <c r="I2724" s="376">
        <v>1</v>
      </c>
    </row>
    <row r="2725" spans="1:9" x14ac:dyDescent="0.35">
      <c r="A2725" s="376" t="s">
        <v>1605</v>
      </c>
      <c r="B2725" s="376" t="s">
        <v>1609</v>
      </c>
      <c r="C2725" s="376" t="s">
        <v>628</v>
      </c>
      <c r="D2725" s="376">
        <v>2025</v>
      </c>
      <c r="E2725" s="376">
        <v>2029</v>
      </c>
      <c r="F2725" s="376">
        <v>0.23884589662749595</v>
      </c>
      <c r="G2725" s="376">
        <v>10426.102375692073</v>
      </c>
      <c r="H2725" s="376">
        <v>0</v>
      </c>
      <c r="I2725" s="376">
        <v>1</v>
      </c>
    </row>
    <row r="2726" spans="1:9" x14ac:dyDescent="0.35">
      <c r="A2726" s="376" t="s">
        <v>1605</v>
      </c>
      <c r="B2726" s="376" t="s">
        <v>1609</v>
      </c>
      <c r="C2726" s="376" t="s">
        <v>1051</v>
      </c>
      <c r="D2726" s="376">
        <v>2025</v>
      </c>
      <c r="E2726" s="376">
        <v>2029</v>
      </c>
      <c r="F2726" s="376">
        <v>0.23884589662749595</v>
      </c>
      <c r="G2726" s="376">
        <v>10426.102375692073</v>
      </c>
      <c r="H2726" s="376">
        <v>0</v>
      </c>
      <c r="I2726" s="376">
        <v>1</v>
      </c>
    </row>
    <row r="2727" spans="1:9" x14ac:dyDescent="0.35">
      <c r="A2727" s="376" t="s">
        <v>1605</v>
      </c>
      <c r="B2727" s="376" t="s">
        <v>1609</v>
      </c>
      <c r="C2727" s="376" t="s">
        <v>1054</v>
      </c>
      <c r="D2727" s="376">
        <v>2025</v>
      </c>
      <c r="E2727" s="376">
        <v>2029</v>
      </c>
      <c r="F2727" s="376">
        <v>0.23884589662749595</v>
      </c>
      <c r="G2727" s="376">
        <v>10426.102375692073</v>
      </c>
      <c r="H2727" s="376">
        <v>0</v>
      </c>
      <c r="I2727" s="376">
        <v>1</v>
      </c>
    </row>
    <row r="2728" spans="1:9" x14ac:dyDescent="0.35">
      <c r="A2728" s="376" t="s">
        <v>1605</v>
      </c>
      <c r="B2728" s="376" t="s">
        <v>1609</v>
      </c>
      <c r="C2728" s="376" t="s">
        <v>1046</v>
      </c>
      <c r="D2728" s="376">
        <v>2025</v>
      </c>
      <c r="E2728" s="376">
        <v>2030</v>
      </c>
      <c r="F2728" s="376">
        <v>0.23884589662749595</v>
      </c>
      <c r="G2728" s="376">
        <v>10426.102375692073</v>
      </c>
      <c r="H2728" s="376">
        <v>0</v>
      </c>
      <c r="I2728" s="376">
        <v>1</v>
      </c>
    </row>
    <row r="2729" spans="1:9" x14ac:dyDescent="0.35">
      <c r="A2729" s="376" t="s">
        <v>1605</v>
      </c>
      <c r="B2729" s="376" t="s">
        <v>1609</v>
      </c>
      <c r="C2729" s="376" t="s">
        <v>644</v>
      </c>
      <c r="D2729" s="376">
        <v>2025</v>
      </c>
      <c r="E2729" s="376">
        <v>2030</v>
      </c>
      <c r="F2729" s="376">
        <v>0.23884589662749595</v>
      </c>
      <c r="G2729" s="376">
        <v>10426.102375692073</v>
      </c>
      <c r="H2729" s="376">
        <v>0</v>
      </c>
      <c r="I2729" s="376">
        <v>1</v>
      </c>
    </row>
    <row r="2730" spans="1:9" x14ac:dyDescent="0.35">
      <c r="A2730" s="376" t="s">
        <v>1605</v>
      </c>
      <c r="B2730" s="376" t="s">
        <v>1609</v>
      </c>
      <c r="C2730" s="376" t="s">
        <v>628</v>
      </c>
      <c r="D2730" s="376">
        <v>2025</v>
      </c>
      <c r="E2730" s="376">
        <v>2030</v>
      </c>
      <c r="F2730" s="376">
        <v>0.23884589662749595</v>
      </c>
      <c r="G2730" s="376">
        <v>10426.102375692073</v>
      </c>
      <c r="H2730" s="376">
        <v>0</v>
      </c>
      <c r="I2730" s="376">
        <v>1</v>
      </c>
    </row>
    <row r="2731" spans="1:9" x14ac:dyDescent="0.35">
      <c r="A2731" s="376" t="s">
        <v>1605</v>
      </c>
      <c r="B2731" s="376" t="s">
        <v>1609</v>
      </c>
      <c r="C2731" s="376" t="s">
        <v>1051</v>
      </c>
      <c r="D2731" s="376">
        <v>2025</v>
      </c>
      <c r="E2731" s="376">
        <v>2030</v>
      </c>
      <c r="F2731" s="376">
        <v>0.23884589662749595</v>
      </c>
      <c r="G2731" s="376">
        <v>10426.102375692073</v>
      </c>
      <c r="H2731" s="376">
        <v>0</v>
      </c>
      <c r="I2731" s="376">
        <v>1</v>
      </c>
    </row>
    <row r="2732" spans="1:9" x14ac:dyDescent="0.35">
      <c r="A2732" s="376" t="s">
        <v>1605</v>
      </c>
      <c r="B2732" s="376" t="s">
        <v>1609</v>
      </c>
      <c r="C2732" s="376" t="s">
        <v>1054</v>
      </c>
      <c r="D2732" s="376">
        <v>2025</v>
      </c>
      <c r="E2732" s="376">
        <v>2030</v>
      </c>
      <c r="F2732" s="376">
        <v>0.23884589662749595</v>
      </c>
      <c r="G2732" s="376">
        <v>10426.102375692073</v>
      </c>
      <c r="H2732" s="376">
        <v>0</v>
      </c>
      <c r="I2732" s="376">
        <v>1</v>
      </c>
    </row>
    <row r="2733" spans="1:9" x14ac:dyDescent="0.35">
      <c r="A2733" s="376" t="s">
        <v>1605</v>
      </c>
      <c r="B2733" s="376" t="s">
        <v>1609</v>
      </c>
      <c r="C2733" s="376" t="s">
        <v>1046</v>
      </c>
      <c r="D2733" s="376">
        <v>2025</v>
      </c>
      <c r="E2733" s="376">
        <v>2031</v>
      </c>
      <c r="F2733" s="376">
        <v>0.23884589662749595</v>
      </c>
      <c r="G2733" s="376">
        <v>10426.102375692073</v>
      </c>
      <c r="H2733" s="376">
        <v>0</v>
      </c>
      <c r="I2733" s="376">
        <v>1</v>
      </c>
    </row>
    <row r="2734" spans="1:9" x14ac:dyDescent="0.35">
      <c r="A2734" s="376" t="s">
        <v>1605</v>
      </c>
      <c r="B2734" s="376" t="s">
        <v>1609</v>
      </c>
      <c r="C2734" s="376" t="s">
        <v>644</v>
      </c>
      <c r="D2734" s="376">
        <v>2025</v>
      </c>
      <c r="E2734" s="376">
        <v>2031</v>
      </c>
      <c r="F2734" s="376">
        <v>0.23884589662749595</v>
      </c>
      <c r="G2734" s="376">
        <v>10426.102375692073</v>
      </c>
      <c r="H2734" s="376">
        <v>0</v>
      </c>
      <c r="I2734" s="376">
        <v>1</v>
      </c>
    </row>
    <row r="2735" spans="1:9" x14ac:dyDescent="0.35">
      <c r="A2735" s="376" t="s">
        <v>1605</v>
      </c>
      <c r="B2735" s="376" t="s">
        <v>1609</v>
      </c>
      <c r="C2735" s="376" t="s">
        <v>628</v>
      </c>
      <c r="D2735" s="376">
        <v>2025</v>
      </c>
      <c r="E2735" s="376">
        <v>2031</v>
      </c>
      <c r="F2735" s="376">
        <v>0.23884589662749595</v>
      </c>
      <c r="G2735" s="376">
        <v>10426.102375692073</v>
      </c>
      <c r="H2735" s="376">
        <v>0</v>
      </c>
      <c r="I2735" s="376">
        <v>1</v>
      </c>
    </row>
    <row r="2736" spans="1:9" x14ac:dyDescent="0.35">
      <c r="A2736" s="376" t="s">
        <v>1605</v>
      </c>
      <c r="B2736" s="376" t="s">
        <v>1609</v>
      </c>
      <c r="C2736" s="376" t="s">
        <v>1051</v>
      </c>
      <c r="D2736" s="376">
        <v>2025</v>
      </c>
      <c r="E2736" s="376">
        <v>2031</v>
      </c>
      <c r="F2736" s="376">
        <v>0.23884589662749595</v>
      </c>
      <c r="G2736" s="376">
        <v>10426.102375692073</v>
      </c>
      <c r="H2736" s="376">
        <v>0</v>
      </c>
      <c r="I2736" s="376">
        <v>1</v>
      </c>
    </row>
    <row r="2737" spans="1:9" x14ac:dyDescent="0.35">
      <c r="A2737" s="376" t="s">
        <v>1605</v>
      </c>
      <c r="B2737" s="376" t="s">
        <v>1609</v>
      </c>
      <c r="C2737" s="376" t="s">
        <v>1054</v>
      </c>
      <c r="D2737" s="376">
        <v>2025</v>
      </c>
      <c r="E2737" s="376">
        <v>2031</v>
      </c>
      <c r="F2737" s="376">
        <v>0.23884589662749595</v>
      </c>
      <c r="G2737" s="376">
        <v>10426.102375692073</v>
      </c>
      <c r="H2737" s="376">
        <v>0</v>
      </c>
      <c r="I2737" s="376">
        <v>1</v>
      </c>
    </row>
    <row r="2738" spans="1:9" x14ac:dyDescent="0.35">
      <c r="A2738" s="376" t="s">
        <v>1636</v>
      </c>
      <c r="B2738" s="376" t="s">
        <v>1609</v>
      </c>
      <c r="C2738" s="376" t="s">
        <v>1046</v>
      </c>
      <c r="D2738" s="376">
        <v>2025</v>
      </c>
      <c r="E2738" s="376">
        <v>2025</v>
      </c>
      <c r="F2738" s="376">
        <v>1</v>
      </c>
      <c r="G2738" s="376">
        <v>3520.7232155929828</v>
      </c>
      <c r="H2738" s="376">
        <v>0</v>
      </c>
      <c r="I2738" s="376">
        <v>1</v>
      </c>
    </row>
    <row r="2739" spans="1:9" x14ac:dyDescent="0.35">
      <c r="A2739" s="376" t="s">
        <v>1636</v>
      </c>
      <c r="B2739" s="376" t="s">
        <v>1609</v>
      </c>
      <c r="C2739" s="376" t="s">
        <v>644</v>
      </c>
      <c r="D2739" s="376">
        <v>2025</v>
      </c>
      <c r="E2739" s="376">
        <v>2025</v>
      </c>
      <c r="F2739" s="376">
        <v>1</v>
      </c>
      <c r="G2739" s="376">
        <v>3520.7232155929828</v>
      </c>
      <c r="H2739" s="376">
        <v>0</v>
      </c>
      <c r="I2739" s="376">
        <v>1</v>
      </c>
    </row>
    <row r="2740" spans="1:9" x14ac:dyDescent="0.35">
      <c r="A2740" s="376" t="s">
        <v>1636</v>
      </c>
      <c r="B2740" s="376" t="s">
        <v>1609</v>
      </c>
      <c r="C2740" s="376" t="s">
        <v>628</v>
      </c>
      <c r="D2740" s="376">
        <v>2025</v>
      </c>
      <c r="E2740" s="376">
        <v>2025</v>
      </c>
      <c r="F2740" s="376">
        <v>1</v>
      </c>
      <c r="G2740" s="376">
        <v>3520.7232155929828</v>
      </c>
      <c r="H2740" s="376">
        <v>0</v>
      </c>
      <c r="I2740" s="376">
        <v>1</v>
      </c>
    </row>
    <row r="2741" spans="1:9" x14ac:dyDescent="0.35">
      <c r="A2741" s="376" t="s">
        <v>1636</v>
      </c>
      <c r="B2741" s="376" t="s">
        <v>1609</v>
      </c>
      <c r="C2741" s="376" t="s">
        <v>1051</v>
      </c>
      <c r="D2741" s="376">
        <v>2025</v>
      </c>
      <c r="E2741" s="376">
        <v>2025</v>
      </c>
      <c r="F2741" s="376">
        <v>1</v>
      </c>
      <c r="G2741" s="376">
        <v>3520.7232155929828</v>
      </c>
      <c r="H2741" s="376">
        <v>0</v>
      </c>
      <c r="I2741" s="376">
        <v>1</v>
      </c>
    </row>
    <row r="2742" spans="1:9" x14ac:dyDescent="0.35">
      <c r="A2742" s="376" t="s">
        <v>1636</v>
      </c>
      <c r="B2742" s="376" t="s">
        <v>1609</v>
      </c>
      <c r="C2742" s="376" t="s">
        <v>1054</v>
      </c>
      <c r="D2742" s="376">
        <v>2025</v>
      </c>
      <c r="E2742" s="376">
        <v>2025</v>
      </c>
      <c r="F2742" s="376">
        <v>1</v>
      </c>
      <c r="G2742" s="376">
        <v>3520.7232155929828</v>
      </c>
      <c r="H2742" s="376">
        <v>0</v>
      </c>
      <c r="I2742" s="376">
        <v>1</v>
      </c>
    </row>
    <row r="2743" spans="1:9" x14ac:dyDescent="0.35">
      <c r="A2743" s="376" t="s">
        <v>1636</v>
      </c>
      <c r="B2743" s="376" t="s">
        <v>1609</v>
      </c>
      <c r="C2743" s="376" t="s">
        <v>1046</v>
      </c>
      <c r="D2743" s="376">
        <v>2025</v>
      </c>
      <c r="E2743" s="376">
        <v>2026</v>
      </c>
      <c r="F2743" s="376">
        <v>1</v>
      </c>
      <c r="G2743" s="376">
        <v>3520.7232155929828</v>
      </c>
      <c r="H2743" s="376">
        <v>0</v>
      </c>
      <c r="I2743" s="376">
        <v>1</v>
      </c>
    </row>
    <row r="2744" spans="1:9" x14ac:dyDescent="0.35">
      <c r="A2744" s="376" t="s">
        <v>1636</v>
      </c>
      <c r="B2744" s="376" t="s">
        <v>1609</v>
      </c>
      <c r="C2744" s="376" t="s">
        <v>644</v>
      </c>
      <c r="D2744" s="376">
        <v>2025</v>
      </c>
      <c r="E2744" s="376">
        <v>2026</v>
      </c>
      <c r="F2744" s="376">
        <v>1</v>
      </c>
      <c r="G2744" s="376">
        <v>3520.7232155929828</v>
      </c>
      <c r="H2744" s="376">
        <v>0</v>
      </c>
      <c r="I2744" s="376">
        <v>1</v>
      </c>
    </row>
    <row r="2745" spans="1:9" x14ac:dyDescent="0.35">
      <c r="A2745" s="376" t="s">
        <v>1636</v>
      </c>
      <c r="B2745" s="376" t="s">
        <v>1609</v>
      </c>
      <c r="C2745" s="376" t="s">
        <v>628</v>
      </c>
      <c r="D2745" s="376">
        <v>2025</v>
      </c>
      <c r="E2745" s="376">
        <v>2026</v>
      </c>
      <c r="F2745" s="376">
        <v>1</v>
      </c>
      <c r="G2745" s="376">
        <v>3520.7232155929828</v>
      </c>
      <c r="H2745" s="376">
        <v>0</v>
      </c>
      <c r="I2745" s="376">
        <v>1</v>
      </c>
    </row>
    <row r="2746" spans="1:9" x14ac:dyDescent="0.35">
      <c r="A2746" s="376" t="s">
        <v>1636</v>
      </c>
      <c r="B2746" s="376" t="s">
        <v>1609</v>
      </c>
      <c r="C2746" s="376" t="s">
        <v>1051</v>
      </c>
      <c r="D2746" s="376">
        <v>2025</v>
      </c>
      <c r="E2746" s="376">
        <v>2026</v>
      </c>
      <c r="F2746" s="376">
        <v>1</v>
      </c>
      <c r="G2746" s="376">
        <v>3520.7232155929828</v>
      </c>
      <c r="H2746" s="376">
        <v>0</v>
      </c>
      <c r="I2746" s="376">
        <v>1</v>
      </c>
    </row>
    <row r="2747" spans="1:9" x14ac:dyDescent="0.35">
      <c r="A2747" s="376" t="s">
        <v>1636</v>
      </c>
      <c r="B2747" s="376" t="s">
        <v>1609</v>
      </c>
      <c r="C2747" s="376" t="s">
        <v>1054</v>
      </c>
      <c r="D2747" s="376">
        <v>2025</v>
      </c>
      <c r="E2747" s="376">
        <v>2026</v>
      </c>
      <c r="F2747" s="376">
        <v>1</v>
      </c>
      <c r="G2747" s="376">
        <v>3520.7232155929828</v>
      </c>
      <c r="H2747" s="376">
        <v>0</v>
      </c>
      <c r="I2747" s="376">
        <v>1</v>
      </c>
    </row>
    <row r="2748" spans="1:9" x14ac:dyDescent="0.35">
      <c r="A2748" s="376" t="s">
        <v>1636</v>
      </c>
      <c r="B2748" s="376" t="s">
        <v>1609</v>
      </c>
      <c r="C2748" s="376" t="s">
        <v>1046</v>
      </c>
      <c r="D2748" s="376">
        <v>2025</v>
      </c>
      <c r="E2748" s="376">
        <v>2027</v>
      </c>
      <c r="F2748" s="376">
        <v>1</v>
      </c>
      <c r="G2748" s="376">
        <v>3520.7232155929828</v>
      </c>
      <c r="H2748" s="376">
        <v>0</v>
      </c>
      <c r="I2748" s="376">
        <v>1</v>
      </c>
    </row>
    <row r="2749" spans="1:9" x14ac:dyDescent="0.35">
      <c r="A2749" s="376" t="s">
        <v>1636</v>
      </c>
      <c r="B2749" s="376" t="s">
        <v>1609</v>
      </c>
      <c r="C2749" s="376" t="s">
        <v>644</v>
      </c>
      <c r="D2749" s="376">
        <v>2025</v>
      </c>
      <c r="E2749" s="376">
        <v>2027</v>
      </c>
      <c r="F2749" s="376">
        <v>1</v>
      </c>
      <c r="G2749" s="376">
        <v>3520.7232155929828</v>
      </c>
      <c r="H2749" s="376">
        <v>0</v>
      </c>
      <c r="I2749" s="376">
        <v>1</v>
      </c>
    </row>
    <row r="2750" spans="1:9" x14ac:dyDescent="0.35">
      <c r="A2750" s="376" t="s">
        <v>1636</v>
      </c>
      <c r="B2750" s="376" t="s">
        <v>1609</v>
      </c>
      <c r="C2750" s="376" t="s">
        <v>628</v>
      </c>
      <c r="D2750" s="376">
        <v>2025</v>
      </c>
      <c r="E2750" s="376">
        <v>2027</v>
      </c>
      <c r="F2750" s="376">
        <v>1</v>
      </c>
      <c r="G2750" s="376">
        <v>3520.7232155929828</v>
      </c>
      <c r="H2750" s="376">
        <v>0</v>
      </c>
      <c r="I2750" s="376">
        <v>1</v>
      </c>
    </row>
    <row r="2751" spans="1:9" x14ac:dyDescent="0.35">
      <c r="A2751" s="376" t="s">
        <v>1636</v>
      </c>
      <c r="B2751" s="376" t="s">
        <v>1609</v>
      </c>
      <c r="C2751" s="376" t="s">
        <v>1051</v>
      </c>
      <c r="D2751" s="376">
        <v>2025</v>
      </c>
      <c r="E2751" s="376">
        <v>2027</v>
      </c>
      <c r="F2751" s="376">
        <v>1</v>
      </c>
      <c r="G2751" s="376">
        <v>3520.7232155929828</v>
      </c>
      <c r="H2751" s="376">
        <v>0</v>
      </c>
      <c r="I2751" s="376">
        <v>1</v>
      </c>
    </row>
    <row r="2752" spans="1:9" x14ac:dyDescent="0.35">
      <c r="A2752" s="376" t="s">
        <v>1636</v>
      </c>
      <c r="B2752" s="376" t="s">
        <v>1609</v>
      </c>
      <c r="C2752" s="376" t="s">
        <v>1054</v>
      </c>
      <c r="D2752" s="376">
        <v>2025</v>
      </c>
      <c r="E2752" s="376">
        <v>2027</v>
      </c>
      <c r="F2752" s="376">
        <v>1</v>
      </c>
      <c r="G2752" s="376">
        <v>3520.7232155929828</v>
      </c>
      <c r="H2752" s="376">
        <v>0</v>
      </c>
      <c r="I2752" s="376">
        <v>1</v>
      </c>
    </row>
    <row r="2753" spans="1:9" x14ac:dyDescent="0.35">
      <c r="A2753" s="376" t="s">
        <v>1636</v>
      </c>
      <c r="B2753" s="376" t="s">
        <v>1609</v>
      </c>
      <c r="C2753" s="376" t="s">
        <v>1046</v>
      </c>
      <c r="D2753" s="376">
        <v>2025</v>
      </c>
      <c r="E2753" s="376">
        <v>2028</v>
      </c>
      <c r="F2753" s="376">
        <v>1</v>
      </c>
      <c r="G2753" s="376">
        <v>3520.7232155929828</v>
      </c>
      <c r="H2753" s="376">
        <v>0</v>
      </c>
      <c r="I2753" s="376">
        <v>1</v>
      </c>
    </row>
    <row r="2754" spans="1:9" x14ac:dyDescent="0.35">
      <c r="A2754" s="376" t="s">
        <v>1636</v>
      </c>
      <c r="B2754" s="376" t="s">
        <v>1609</v>
      </c>
      <c r="C2754" s="376" t="s">
        <v>644</v>
      </c>
      <c r="D2754" s="376">
        <v>2025</v>
      </c>
      <c r="E2754" s="376">
        <v>2028</v>
      </c>
      <c r="F2754" s="376">
        <v>1</v>
      </c>
      <c r="G2754" s="376">
        <v>3520.7232155929828</v>
      </c>
      <c r="H2754" s="376">
        <v>0</v>
      </c>
      <c r="I2754" s="376">
        <v>1</v>
      </c>
    </row>
    <row r="2755" spans="1:9" x14ac:dyDescent="0.35">
      <c r="A2755" s="376" t="s">
        <v>1636</v>
      </c>
      <c r="B2755" s="376" t="s">
        <v>1609</v>
      </c>
      <c r="C2755" s="376" t="s">
        <v>628</v>
      </c>
      <c r="D2755" s="376">
        <v>2025</v>
      </c>
      <c r="E2755" s="376">
        <v>2028</v>
      </c>
      <c r="F2755" s="376">
        <v>1</v>
      </c>
      <c r="G2755" s="376">
        <v>3520.7232155929828</v>
      </c>
      <c r="H2755" s="376">
        <v>0</v>
      </c>
      <c r="I2755" s="376">
        <v>1</v>
      </c>
    </row>
    <row r="2756" spans="1:9" x14ac:dyDescent="0.35">
      <c r="A2756" s="376" t="s">
        <v>1636</v>
      </c>
      <c r="B2756" s="376" t="s">
        <v>1609</v>
      </c>
      <c r="C2756" s="376" t="s">
        <v>1051</v>
      </c>
      <c r="D2756" s="376">
        <v>2025</v>
      </c>
      <c r="E2756" s="376">
        <v>2028</v>
      </c>
      <c r="F2756" s="376">
        <v>1</v>
      </c>
      <c r="G2756" s="376">
        <v>3520.7232155929828</v>
      </c>
      <c r="H2756" s="376">
        <v>0</v>
      </c>
      <c r="I2756" s="376">
        <v>1</v>
      </c>
    </row>
    <row r="2757" spans="1:9" x14ac:dyDescent="0.35">
      <c r="A2757" s="376" t="s">
        <v>1636</v>
      </c>
      <c r="B2757" s="376" t="s">
        <v>1609</v>
      </c>
      <c r="C2757" s="376" t="s">
        <v>1054</v>
      </c>
      <c r="D2757" s="376">
        <v>2025</v>
      </c>
      <c r="E2757" s="376">
        <v>2028</v>
      </c>
      <c r="F2757" s="376">
        <v>1</v>
      </c>
      <c r="G2757" s="376">
        <v>3520.7232155929828</v>
      </c>
      <c r="H2757" s="376">
        <v>0</v>
      </c>
      <c r="I2757" s="376">
        <v>1</v>
      </c>
    </row>
    <row r="2758" spans="1:9" x14ac:dyDescent="0.35">
      <c r="A2758" s="376" t="s">
        <v>1636</v>
      </c>
      <c r="B2758" s="376" t="s">
        <v>1609</v>
      </c>
      <c r="C2758" s="376" t="s">
        <v>1046</v>
      </c>
      <c r="D2758" s="376">
        <v>2025</v>
      </c>
      <c r="E2758" s="376">
        <v>2029</v>
      </c>
      <c r="F2758" s="376">
        <v>1</v>
      </c>
      <c r="G2758" s="376">
        <v>3520.7232155929828</v>
      </c>
      <c r="H2758" s="376">
        <v>0</v>
      </c>
      <c r="I2758" s="376">
        <v>1</v>
      </c>
    </row>
    <row r="2759" spans="1:9" x14ac:dyDescent="0.35">
      <c r="A2759" s="376" t="s">
        <v>1636</v>
      </c>
      <c r="B2759" s="376" t="s">
        <v>1609</v>
      </c>
      <c r="C2759" s="376" t="s">
        <v>644</v>
      </c>
      <c r="D2759" s="376">
        <v>2025</v>
      </c>
      <c r="E2759" s="376">
        <v>2029</v>
      </c>
      <c r="F2759" s="376">
        <v>1</v>
      </c>
      <c r="G2759" s="376">
        <v>3520.7232155929828</v>
      </c>
      <c r="H2759" s="376">
        <v>0</v>
      </c>
      <c r="I2759" s="376">
        <v>1</v>
      </c>
    </row>
    <row r="2760" spans="1:9" x14ac:dyDescent="0.35">
      <c r="A2760" s="376" t="s">
        <v>1636</v>
      </c>
      <c r="B2760" s="376" t="s">
        <v>1609</v>
      </c>
      <c r="C2760" s="376" t="s">
        <v>628</v>
      </c>
      <c r="D2760" s="376">
        <v>2025</v>
      </c>
      <c r="E2760" s="376">
        <v>2029</v>
      </c>
      <c r="F2760" s="376">
        <v>1</v>
      </c>
      <c r="G2760" s="376">
        <v>3520.7232155929828</v>
      </c>
      <c r="H2760" s="376">
        <v>0</v>
      </c>
      <c r="I2760" s="376">
        <v>1</v>
      </c>
    </row>
    <row r="2761" spans="1:9" x14ac:dyDescent="0.35">
      <c r="A2761" s="376" t="s">
        <v>1636</v>
      </c>
      <c r="B2761" s="376" t="s">
        <v>1609</v>
      </c>
      <c r="C2761" s="376" t="s">
        <v>1051</v>
      </c>
      <c r="D2761" s="376">
        <v>2025</v>
      </c>
      <c r="E2761" s="376">
        <v>2029</v>
      </c>
      <c r="F2761" s="376">
        <v>1</v>
      </c>
      <c r="G2761" s="376">
        <v>3520.7232155929828</v>
      </c>
      <c r="H2761" s="376">
        <v>0</v>
      </c>
      <c r="I2761" s="376">
        <v>1</v>
      </c>
    </row>
    <row r="2762" spans="1:9" x14ac:dyDescent="0.35">
      <c r="A2762" s="376" t="s">
        <v>1636</v>
      </c>
      <c r="B2762" s="376" t="s">
        <v>1609</v>
      </c>
      <c r="C2762" s="376" t="s">
        <v>1054</v>
      </c>
      <c r="D2762" s="376">
        <v>2025</v>
      </c>
      <c r="E2762" s="376">
        <v>2029</v>
      </c>
      <c r="F2762" s="376">
        <v>1</v>
      </c>
      <c r="G2762" s="376">
        <v>3520.7232155929828</v>
      </c>
      <c r="H2762" s="376">
        <v>0</v>
      </c>
      <c r="I2762" s="376">
        <v>1</v>
      </c>
    </row>
    <row r="2763" spans="1:9" x14ac:dyDescent="0.35">
      <c r="A2763" s="376" t="s">
        <v>1636</v>
      </c>
      <c r="B2763" s="376" t="s">
        <v>1609</v>
      </c>
      <c r="C2763" s="376" t="s">
        <v>1046</v>
      </c>
      <c r="D2763" s="376">
        <v>2025</v>
      </c>
      <c r="E2763" s="376">
        <v>2030</v>
      </c>
      <c r="F2763" s="376">
        <v>1</v>
      </c>
      <c r="G2763" s="376">
        <v>3520.7232155929828</v>
      </c>
      <c r="H2763" s="376">
        <v>0</v>
      </c>
      <c r="I2763" s="376">
        <v>1</v>
      </c>
    </row>
    <row r="2764" spans="1:9" x14ac:dyDescent="0.35">
      <c r="A2764" s="376" t="s">
        <v>1636</v>
      </c>
      <c r="B2764" s="376" t="s">
        <v>1609</v>
      </c>
      <c r="C2764" s="376" t="s">
        <v>644</v>
      </c>
      <c r="D2764" s="376">
        <v>2025</v>
      </c>
      <c r="E2764" s="376">
        <v>2030</v>
      </c>
      <c r="F2764" s="376">
        <v>1</v>
      </c>
      <c r="G2764" s="376">
        <v>3520.7232155929828</v>
      </c>
      <c r="H2764" s="376">
        <v>0</v>
      </c>
      <c r="I2764" s="376">
        <v>1</v>
      </c>
    </row>
    <row r="2765" spans="1:9" x14ac:dyDescent="0.35">
      <c r="A2765" s="376" t="s">
        <v>1636</v>
      </c>
      <c r="B2765" s="376" t="s">
        <v>1609</v>
      </c>
      <c r="C2765" s="376" t="s">
        <v>628</v>
      </c>
      <c r="D2765" s="376">
        <v>2025</v>
      </c>
      <c r="E2765" s="376">
        <v>2030</v>
      </c>
      <c r="F2765" s="376">
        <v>1</v>
      </c>
      <c r="G2765" s="376">
        <v>3520.7232155929828</v>
      </c>
      <c r="H2765" s="376">
        <v>0</v>
      </c>
      <c r="I2765" s="376">
        <v>1</v>
      </c>
    </row>
    <row r="2766" spans="1:9" x14ac:dyDescent="0.35">
      <c r="A2766" s="376" t="s">
        <v>1636</v>
      </c>
      <c r="B2766" s="376" t="s">
        <v>1609</v>
      </c>
      <c r="C2766" s="376" t="s">
        <v>1051</v>
      </c>
      <c r="D2766" s="376">
        <v>2025</v>
      </c>
      <c r="E2766" s="376">
        <v>2030</v>
      </c>
      <c r="F2766" s="376">
        <v>1</v>
      </c>
      <c r="G2766" s="376">
        <v>3520.7232155929828</v>
      </c>
      <c r="H2766" s="376">
        <v>0</v>
      </c>
      <c r="I2766" s="376">
        <v>1</v>
      </c>
    </row>
    <row r="2767" spans="1:9" x14ac:dyDescent="0.35">
      <c r="A2767" s="376" t="s">
        <v>1636</v>
      </c>
      <c r="B2767" s="376" t="s">
        <v>1609</v>
      </c>
      <c r="C2767" s="376" t="s">
        <v>1054</v>
      </c>
      <c r="D2767" s="376">
        <v>2025</v>
      </c>
      <c r="E2767" s="376">
        <v>2030</v>
      </c>
      <c r="F2767" s="376">
        <v>1</v>
      </c>
      <c r="G2767" s="376">
        <v>3520.7232155929828</v>
      </c>
      <c r="H2767" s="376">
        <v>0</v>
      </c>
      <c r="I2767" s="376">
        <v>1</v>
      </c>
    </row>
    <row r="2768" spans="1:9" x14ac:dyDescent="0.35">
      <c r="A2768" s="376" t="s">
        <v>1636</v>
      </c>
      <c r="B2768" s="376" t="s">
        <v>1609</v>
      </c>
      <c r="C2768" s="376" t="s">
        <v>1046</v>
      </c>
      <c r="D2768" s="376">
        <v>2025</v>
      </c>
      <c r="E2768" s="376">
        <v>2031</v>
      </c>
      <c r="F2768" s="376">
        <v>1</v>
      </c>
      <c r="G2768" s="376">
        <v>3520.7232155929828</v>
      </c>
      <c r="H2768" s="376">
        <v>0</v>
      </c>
      <c r="I2768" s="376">
        <v>1</v>
      </c>
    </row>
    <row r="2769" spans="1:9" x14ac:dyDescent="0.35">
      <c r="A2769" s="376" t="s">
        <v>1636</v>
      </c>
      <c r="B2769" s="376" t="s">
        <v>1609</v>
      </c>
      <c r="C2769" s="376" t="s">
        <v>644</v>
      </c>
      <c r="D2769" s="376">
        <v>2025</v>
      </c>
      <c r="E2769" s="376">
        <v>2031</v>
      </c>
      <c r="F2769" s="376">
        <v>1</v>
      </c>
      <c r="G2769" s="376">
        <v>3520.7232155929828</v>
      </c>
      <c r="H2769" s="376">
        <v>0</v>
      </c>
      <c r="I2769" s="376">
        <v>1</v>
      </c>
    </row>
    <row r="2770" spans="1:9" x14ac:dyDescent="0.35">
      <c r="A2770" s="376" t="s">
        <v>1636</v>
      </c>
      <c r="B2770" s="376" t="s">
        <v>1609</v>
      </c>
      <c r="C2770" s="376" t="s">
        <v>628</v>
      </c>
      <c r="D2770" s="376">
        <v>2025</v>
      </c>
      <c r="E2770" s="376">
        <v>2031</v>
      </c>
      <c r="F2770" s="376">
        <v>1</v>
      </c>
      <c r="G2770" s="376">
        <v>3520.7232155929828</v>
      </c>
      <c r="H2770" s="376">
        <v>0</v>
      </c>
      <c r="I2770" s="376">
        <v>1</v>
      </c>
    </row>
    <row r="2771" spans="1:9" x14ac:dyDescent="0.35">
      <c r="A2771" s="376" t="s">
        <v>1636</v>
      </c>
      <c r="B2771" s="376" t="s">
        <v>1609</v>
      </c>
      <c r="C2771" s="376" t="s">
        <v>1051</v>
      </c>
      <c r="D2771" s="376">
        <v>2025</v>
      </c>
      <c r="E2771" s="376">
        <v>2031</v>
      </c>
      <c r="F2771" s="376">
        <v>1</v>
      </c>
      <c r="G2771" s="376">
        <v>3520.7232155929828</v>
      </c>
      <c r="H2771" s="376">
        <v>0</v>
      </c>
      <c r="I2771" s="376">
        <v>1</v>
      </c>
    </row>
    <row r="2772" spans="1:9" x14ac:dyDescent="0.35">
      <c r="A2772" s="376" t="s">
        <v>1636</v>
      </c>
      <c r="B2772" s="376" t="s">
        <v>1609</v>
      </c>
      <c r="C2772" s="376" t="s">
        <v>1054</v>
      </c>
      <c r="D2772" s="376">
        <v>2025</v>
      </c>
      <c r="E2772" s="376">
        <v>2031</v>
      </c>
      <c r="F2772" s="376">
        <v>1</v>
      </c>
      <c r="G2772" s="376">
        <v>3520.7232155929828</v>
      </c>
      <c r="H2772" s="376">
        <v>0</v>
      </c>
      <c r="I2772" s="376">
        <v>1</v>
      </c>
    </row>
    <row r="2773" spans="1:9" x14ac:dyDescent="0.35">
      <c r="A2773" s="376" t="s">
        <v>1606</v>
      </c>
      <c r="B2773" s="376" t="s">
        <v>1609</v>
      </c>
      <c r="C2773" s="376" t="s">
        <v>1046</v>
      </c>
      <c r="D2773" s="376">
        <v>2025</v>
      </c>
      <c r="E2773" s="376">
        <v>2025</v>
      </c>
      <c r="F2773" s="376">
        <v>1</v>
      </c>
      <c r="G2773" s="376">
        <v>5933.4275729440915</v>
      </c>
      <c r="H2773" s="376">
        <v>0</v>
      </c>
      <c r="I2773" s="376">
        <v>1</v>
      </c>
    </row>
    <row r="2774" spans="1:9" x14ac:dyDescent="0.35">
      <c r="A2774" s="376" t="s">
        <v>1606</v>
      </c>
      <c r="B2774" s="376" t="s">
        <v>1609</v>
      </c>
      <c r="C2774" s="376" t="s">
        <v>644</v>
      </c>
      <c r="D2774" s="376">
        <v>2025</v>
      </c>
      <c r="E2774" s="376">
        <v>2025</v>
      </c>
      <c r="F2774" s="376">
        <v>1</v>
      </c>
      <c r="G2774" s="376">
        <v>5933.4275729440915</v>
      </c>
      <c r="H2774" s="376">
        <v>0</v>
      </c>
      <c r="I2774" s="376">
        <v>1</v>
      </c>
    </row>
    <row r="2775" spans="1:9" x14ac:dyDescent="0.35">
      <c r="A2775" s="376" t="s">
        <v>1606</v>
      </c>
      <c r="B2775" s="376" t="s">
        <v>1609</v>
      </c>
      <c r="C2775" s="376" t="s">
        <v>628</v>
      </c>
      <c r="D2775" s="376">
        <v>2025</v>
      </c>
      <c r="E2775" s="376">
        <v>2025</v>
      </c>
      <c r="F2775" s="376">
        <v>1</v>
      </c>
      <c r="G2775" s="376">
        <v>5933.4275729440915</v>
      </c>
      <c r="H2775" s="376">
        <v>0</v>
      </c>
      <c r="I2775" s="376">
        <v>1</v>
      </c>
    </row>
    <row r="2776" spans="1:9" x14ac:dyDescent="0.35">
      <c r="A2776" s="376" t="s">
        <v>1606</v>
      </c>
      <c r="B2776" s="376" t="s">
        <v>1609</v>
      </c>
      <c r="C2776" s="376" t="s">
        <v>1051</v>
      </c>
      <c r="D2776" s="376">
        <v>2025</v>
      </c>
      <c r="E2776" s="376">
        <v>2025</v>
      </c>
      <c r="F2776" s="376">
        <v>1</v>
      </c>
      <c r="G2776" s="376">
        <v>5933.4275729440915</v>
      </c>
      <c r="H2776" s="376">
        <v>0</v>
      </c>
      <c r="I2776" s="376">
        <v>1</v>
      </c>
    </row>
    <row r="2777" spans="1:9" x14ac:dyDescent="0.35">
      <c r="A2777" s="376" t="s">
        <v>1606</v>
      </c>
      <c r="B2777" s="376" t="s">
        <v>1609</v>
      </c>
      <c r="C2777" s="376" t="s">
        <v>1054</v>
      </c>
      <c r="D2777" s="376">
        <v>2025</v>
      </c>
      <c r="E2777" s="376">
        <v>2025</v>
      </c>
      <c r="F2777" s="376">
        <v>1</v>
      </c>
      <c r="G2777" s="376">
        <v>5933.4275729440915</v>
      </c>
      <c r="H2777" s="376">
        <v>0</v>
      </c>
      <c r="I2777" s="376">
        <v>1</v>
      </c>
    </row>
    <row r="2778" spans="1:9" x14ac:dyDescent="0.35">
      <c r="A2778" s="376" t="s">
        <v>1606</v>
      </c>
      <c r="B2778" s="376" t="s">
        <v>1609</v>
      </c>
      <c r="C2778" s="376" t="s">
        <v>1046</v>
      </c>
      <c r="D2778" s="376">
        <v>2025</v>
      </c>
      <c r="E2778" s="376">
        <v>2026</v>
      </c>
      <c r="F2778" s="376">
        <v>1</v>
      </c>
      <c r="G2778" s="376">
        <v>5933.4275729440915</v>
      </c>
      <c r="H2778" s="376">
        <v>0</v>
      </c>
      <c r="I2778" s="376">
        <v>1</v>
      </c>
    </row>
    <row r="2779" spans="1:9" x14ac:dyDescent="0.35">
      <c r="A2779" s="376" t="s">
        <v>1606</v>
      </c>
      <c r="B2779" s="376" t="s">
        <v>1609</v>
      </c>
      <c r="C2779" s="376" t="s">
        <v>644</v>
      </c>
      <c r="D2779" s="376">
        <v>2025</v>
      </c>
      <c r="E2779" s="376">
        <v>2026</v>
      </c>
      <c r="F2779" s="376">
        <v>1</v>
      </c>
      <c r="G2779" s="376">
        <v>5933.4275729440915</v>
      </c>
      <c r="H2779" s="376">
        <v>0</v>
      </c>
      <c r="I2779" s="376">
        <v>1</v>
      </c>
    </row>
    <row r="2780" spans="1:9" x14ac:dyDescent="0.35">
      <c r="A2780" s="376" t="s">
        <v>1606</v>
      </c>
      <c r="B2780" s="376" t="s">
        <v>1609</v>
      </c>
      <c r="C2780" s="376" t="s">
        <v>628</v>
      </c>
      <c r="D2780" s="376">
        <v>2025</v>
      </c>
      <c r="E2780" s="376">
        <v>2026</v>
      </c>
      <c r="F2780" s="376">
        <v>1</v>
      </c>
      <c r="G2780" s="376">
        <v>5933.4275729440915</v>
      </c>
      <c r="H2780" s="376">
        <v>0</v>
      </c>
      <c r="I2780" s="376">
        <v>1</v>
      </c>
    </row>
    <row r="2781" spans="1:9" x14ac:dyDescent="0.35">
      <c r="A2781" s="376" t="s">
        <v>1606</v>
      </c>
      <c r="B2781" s="376" t="s">
        <v>1609</v>
      </c>
      <c r="C2781" s="376" t="s">
        <v>1051</v>
      </c>
      <c r="D2781" s="376">
        <v>2025</v>
      </c>
      <c r="E2781" s="376">
        <v>2026</v>
      </c>
      <c r="F2781" s="376">
        <v>1</v>
      </c>
      <c r="G2781" s="376">
        <v>5933.4275729440915</v>
      </c>
      <c r="H2781" s="376">
        <v>0</v>
      </c>
      <c r="I2781" s="376">
        <v>1</v>
      </c>
    </row>
    <row r="2782" spans="1:9" x14ac:dyDescent="0.35">
      <c r="A2782" s="376" t="s">
        <v>1606</v>
      </c>
      <c r="B2782" s="376" t="s">
        <v>1609</v>
      </c>
      <c r="C2782" s="376" t="s">
        <v>1054</v>
      </c>
      <c r="D2782" s="376">
        <v>2025</v>
      </c>
      <c r="E2782" s="376">
        <v>2026</v>
      </c>
      <c r="F2782" s="376">
        <v>1</v>
      </c>
      <c r="G2782" s="376">
        <v>5933.4275729440915</v>
      </c>
      <c r="H2782" s="376">
        <v>0</v>
      </c>
      <c r="I2782" s="376">
        <v>1</v>
      </c>
    </row>
    <row r="2783" spans="1:9" x14ac:dyDescent="0.35">
      <c r="A2783" s="376" t="s">
        <v>1606</v>
      </c>
      <c r="B2783" s="376" t="s">
        <v>1609</v>
      </c>
      <c r="C2783" s="376" t="s">
        <v>1046</v>
      </c>
      <c r="D2783" s="376">
        <v>2025</v>
      </c>
      <c r="E2783" s="376">
        <v>2027</v>
      </c>
      <c r="F2783" s="376">
        <v>1</v>
      </c>
      <c r="G2783" s="376">
        <v>5933.4275729440915</v>
      </c>
      <c r="H2783" s="376">
        <v>0</v>
      </c>
      <c r="I2783" s="376">
        <v>1</v>
      </c>
    </row>
    <row r="2784" spans="1:9" x14ac:dyDescent="0.35">
      <c r="A2784" s="376" t="s">
        <v>1606</v>
      </c>
      <c r="B2784" s="376" t="s">
        <v>1609</v>
      </c>
      <c r="C2784" s="376" t="s">
        <v>644</v>
      </c>
      <c r="D2784" s="376">
        <v>2025</v>
      </c>
      <c r="E2784" s="376">
        <v>2027</v>
      </c>
      <c r="F2784" s="376">
        <v>1</v>
      </c>
      <c r="G2784" s="376">
        <v>5933.4275729440915</v>
      </c>
      <c r="H2784" s="376">
        <v>0</v>
      </c>
      <c r="I2784" s="376">
        <v>1</v>
      </c>
    </row>
    <row r="2785" spans="1:9" x14ac:dyDescent="0.35">
      <c r="A2785" s="376" t="s">
        <v>1606</v>
      </c>
      <c r="B2785" s="376" t="s">
        <v>1609</v>
      </c>
      <c r="C2785" s="376" t="s">
        <v>628</v>
      </c>
      <c r="D2785" s="376">
        <v>2025</v>
      </c>
      <c r="E2785" s="376">
        <v>2027</v>
      </c>
      <c r="F2785" s="376">
        <v>1</v>
      </c>
      <c r="G2785" s="376">
        <v>5933.4275729440915</v>
      </c>
      <c r="H2785" s="376">
        <v>0</v>
      </c>
      <c r="I2785" s="376">
        <v>1</v>
      </c>
    </row>
    <row r="2786" spans="1:9" x14ac:dyDescent="0.35">
      <c r="A2786" s="376" t="s">
        <v>1606</v>
      </c>
      <c r="B2786" s="376" t="s">
        <v>1609</v>
      </c>
      <c r="C2786" s="376" t="s">
        <v>1051</v>
      </c>
      <c r="D2786" s="376">
        <v>2025</v>
      </c>
      <c r="E2786" s="376">
        <v>2027</v>
      </c>
      <c r="F2786" s="376">
        <v>1</v>
      </c>
      <c r="G2786" s="376">
        <v>5933.4275729440915</v>
      </c>
      <c r="H2786" s="376">
        <v>0</v>
      </c>
      <c r="I2786" s="376">
        <v>1</v>
      </c>
    </row>
    <row r="2787" spans="1:9" x14ac:dyDescent="0.35">
      <c r="A2787" s="376" t="s">
        <v>1606</v>
      </c>
      <c r="B2787" s="376" t="s">
        <v>1609</v>
      </c>
      <c r="C2787" s="376" t="s">
        <v>1054</v>
      </c>
      <c r="D2787" s="376">
        <v>2025</v>
      </c>
      <c r="E2787" s="376">
        <v>2027</v>
      </c>
      <c r="F2787" s="376">
        <v>1</v>
      </c>
      <c r="G2787" s="376">
        <v>5933.4275729440915</v>
      </c>
      <c r="H2787" s="376">
        <v>0</v>
      </c>
      <c r="I2787" s="376">
        <v>1</v>
      </c>
    </row>
    <row r="2788" spans="1:9" x14ac:dyDescent="0.35">
      <c r="A2788" s="376" t="s">
        <v>1606</v>
      </c>
      <c r="B2788" s="376" t="s">
        <v>1609</v>
      </c>
      <c r="C2788" s="376" t="s">
        <v>1046</v>
      </c>
      <c r="D2788" s="376">
        <v>2025</v>
      </c>
      <c r="E2788" s="376">
        <v>2028</v>
      </c>
      <c r="F2788" s="376">
        <v>1</v>
      </c>
      <c r="G2788" s="376">
        <v>5933.4275729440915</v>
      </c>
      <c r="H2788" s="376">
        <v>0</v>
      </c>
      <c r="I2788" s="376">
        <v>1</v>
      </c>
    </row>
    <row r="2789" spans="1:9" x14ac:dyDescent="0.35">
      <c r="A2789" s="376" t="s">
        <v>1606</v>
      </c>
      <c r="B2789" s="376" t="s">
        <v>1609</v>
      </c>
      <c r="C2789" s="376" t="s">
        <v>644</v>
      </c>
      <c r="D2789" s="376">
        <v>2025</v>
      </c>
      <c r="E2789" s="376">
        <v>2028</v>
      </c>
      <c r="F2789" s="376">
        <v>1</v>
      </c>
      <c r="G2789" s="376">
        <v>5933.4275729440915</v>
      </c>
      <c r="H2789" s="376">
        <v>0</v>
      </c>
      <c r="I2789" s="376">
        <v>1</v>
      </c>
    </row>
    <row r="2790" spans="1:9" x14ac:dyDescent="0.35">
      <c r="A2790" s="376" t="s">
        <v>1606</v>
      </c>
      <c r="B2790" s="376" t="s">
        <v>1609</v>
      </c>
      <c r="C2790" s="376" t="s">
        <v>628</v>
      </c>
      <c r="D2790" s="376">
        <v>2025</v>
      </c>
      <c r="E2790" s="376">
        <v>2028</v>
      </c>
      <c r="F2790" s="376">
        <v>1</v>
      </c>
      <c r="G2790" s="376">
        <v>5933.4275729440915</v>
      </c>
      <c r="H2790" s="376">
        <v>0</v>
      </c>
      <c r="I2790" s="376">
        <v>1</v>
      </c>
    </row>
    <row r="2791" spans="1:9" x14ac:dyDescent="0.35">
      <c r="A2791" s="376" t="s">
        <v>1606</v>
      </c>
      <c r="B2791" s="376" t="s">
        <v>1609</v>
      </c>
      <c r="C2791" s="376" t="s">
        <v>1051</v>
      </c>
      <c r="D2791" s="376">
        <v>2025</v>
      </c>
      <c r="E2791" s="376">
        <v>2028</v>
      </c>
      <c r="F2791" s="376">
        <v>1</v>
      </c>
      <c r="G2791" s="376">
        <v>5933.4275729440915</v>
      </c>
      <c r="H2791" s="376">
        <v>0</v>
      </c>
      <c r="I2791" s="376">
        <v>1</v>
      </c>
    </row>
    <row r="2792" spans="1:9" x14ac:dyDescent="0.35">
      <c r="A2792" s="376" t="s">
        <v>1606</v>
      </c>
      <c r="B2792" s="376" t="s">
        <v>1609</v>
      </c>
      <c r="C2792" s="376" t="s">
        <v>1054</v>
      </c>
      <c r="D2792" s="376">
        <v>2025</v>
      </c>
      <c r="E2792" s="376">
        <v>2028</v>
      </c>
      <c r="F2792" s="376">
        <v>1</v>
      </c>
      <c r="G2792" s="376">
        <v>5933.4275729440915</v>
      </c>
      <c r="H2792" s="376">
        <v>0</v>
      </c>
      <c r="I2792" s="376">
        <v>1</v>
      </c>
    </row>
    <row r="2793" spans="1:9" x14ac:dyDescent="0.35">
      <c r="A2793" s="376" t="s">
        <v>1606</v>
      </c>
      <c r="B2793" s="376" t="s">
        <v>1609</v>
      </c>
      <c r="C2793" s="376" t="s">
        <v>1046</v>
      </c>
      <c r="D2793" s="376">
        <v>2025</v>
      </c>
      <c r="E2793" s="376">
        <v>2029</v>
      </c>
      <c r="F2793" s="376">
        <v>1</v>
      </c>
      <c r="G2793" s="376">
        <v>5933.4275729440915</v>
      </c>
      <c r="H2793" s="376">
        <v>0</v>
      </c>
      <c r="I2793" s="376">
        <v>1</v>
      </c>
    </row>
    <row r="2794" spans="1:9" x14ac:dyDescent="0.35">
      <c r="A2794" s="376" t="s">
        <v>1606</v>
      </c>
      <c r="B2794" s="376" t="s">
        <v>1609</v>
      </c>
      <c r="C2794" s="376" t="s">
        <v>644</v>
      </c>
      <c r="D2794" s="376">
        <v>2025</v>
      </c>
      <c r="E2794" s="376">
        <v>2029</v>
      </c>
      <c r="F2794" s="376">
        <v>1</v>
      </c>
      <c r="G2794" s="376">
        <v>5933.4275729440915</v>
      </c>
      <c r="H2794" s="376">
        <v>0</v>
      </c>
      <c r="I2794" s="376">
        <v>1</v>
      </c>
    </row>
    <row r="2795" spans="1:9" x14ac:dyDescent="0.35">
      <c r="A2795" s="376" t="s">
        <v>1606</v>
      </c>
      <c r="B2795" s="376" t="s">
        <v>1609</v>
      </c>
      <c r="C2795" s="376" t="s">
        <v>628</v>
      </c>
      <c r="D2795" s="376">
        <v>2025</v>
      </c>
      <c r="E2795" s="376">
        <v>2029</v>
      </c>
      <c r="F2795" s="376">
        <v>1</v>
      </c>
      <c r="G2795" s="376">
        <v>5933.4275729440915</v>
      </c>
      <c r="H2795" s="376">
        <v>0</v>
      </c>
      <c r="I2795" s="376">
        <v>1</v>
      </c>
    </row>
    <row r="2796" spans="1:9" x14ac:dyDescent="0.35">
      <c r="A2796" s="376" t="s">
        <v>1606</v>
      </c>
      <c r="B2796" s="376" t="s">
        <v>1609</v>
      </c>
      <c r="C2796" s="376" t="s">
        <v>1051</v>
      </c>
      <c r="D2796" s="376">
        <v>2025</v>
      </c>
      <c r="E2796" s="376">
        <v>2029</v>
      </c>
      <c r="F2796" s="376">
        <v>1</v>
      </c>
      <c r="G2796" s="376">
        <v>5933.4275729440915</v>
      </c>
      <c r="H2796" s="376">
        <v>0</v>
      </c>
      <c r="I2796" s="376">
        <v>1</v>
      </c>
    </row>
    <row r="2797" spans="1:9" x14ac:dyDescent="0.35">
      <c r="A2797" s="376" t="s">
        <v>1606</v>
      </c>
      <c r="B2797" s="376" t="s">
        <v>1609</v>
      </c>
      <c r="C2797" s="376" t="s">
        <v>1054</v>
      </c>
      <c r="D2797" s="376">
        <v>2025</v>
      </c>
      <c r="E2797" s="376">
        <v>2029</v>
      </c>
      <c r="F2797" s="376">
        <v>1</v>
      </c>
      <c r="G2797" s="376">
        <v>5933.4275729440915</v>
      </c>
      <c r="H2797" s="376">
        <v>0</v>
      </c>
      <c r="I2797" s="376">
        <v>1</v>
      </c>
    </row>
    <row r="2798" spans="1:9" x14ac:dyDescent="0.35">
      <c r="A2798" s="376" t="s">
        <v>1606</v>
      </c>
      <c r="B2798" s="376" t="s">
        <v>1609</v>
      </c>
      <c r="C2798" s="376" t="s">
        <v>1046</v>
      </c>
      <c r="D2798" s="376">
        <v>2025</v>
      </c>
      <c r="E2798" s="376">
        <v>2030</v>
      </c>
      <c r="F2798" s="376">
        <v>1</v>
      </c>
      <c r="G2798" s="376">
        <v>5933.4275729440915</v>
      </c>
      <c r="H2798" s="376">
        <v>0</v>
      </c>
      <c r="I2798" s="376">
        <v>1</v>
      </c>
    </row>
    <row r="2799" spans="1:9" x14ac:dyDescent="0.35">
      <c r="A2799" s="376" t="s">
        <v>1606</v>
      </c>
      <c r="B2799" s="376" t="s">
        <v>1609</v>
      </c>
      <c r="C2799" s="376" t="s">
        <v>644</v>
      </c>
      <c r="D2799" s="376">
        <v>2025</v>
      </c>
      <c r="E2799" s="376">
        <v>2030</v>
      </c>
      <c r="F2799" s="376">
        <v>1</v>
      </c>
      <c r="G2799" s="376">
        <v>5933.4275729440915</v>
      </c>
      <c r="H2799" s="376">
        <v>0</v>
      </c>
      <c r="I2799" s="376">
        <v>1</v>
      </c>
    </row>
    <row r="2800" spans="1:9" x14ac:dyDescent="0.35">
      <c r="A2800" s="376" t="s">
        <v>1606</v>
      </c>
      <c r="B2800" s="376" t="s">
        <v>1609</v>
      </c>
      <c r="C2800" s="376" t="s">
        <v>628</v>
      </c>
      <c r="D2800" s="376">
        <v>2025</v>
      </c>
      <c r="E2800" s="376">
        <v>2030</v>
      </c>
      <c r="F2800" s="376">
        <v>1</v>
      </c>
      <c r="G2800" s="376">
        <v>5933.4275729440915</v>
      </c>
      <c r="H2800" s="376">
        <v>0</v>
      </c>
      <c r="I2800" s="376">
        <v>1</v>
      </c>
    </row>
    <row r="2801" spans="1:9" x14ac:dyDescent="0.35">
      <c r="A2801" s="376" t="s">
        <v>1606</v>
      </c>
      <c r="B2801" s="376" t="s">
        <v>1609</v>
      </c>
      <c r="C2801" s="376" t="s">
        <v>1051</v>
      </c>
      <c r="D2801" s="376">
        <v>2025</v>
      </c>
      <c r="E2801" s="376">
        <v>2030</v>
      </c>
      <c r="F2801" s="376">
        <v>1</v>
      </c>
      <c r="G2801" s="376">
        <v>5933.4275729440915</v>
      </c>
      <c r="H2801" s="376">
        <v>0</v>
      </c>
      <c r="I2801" s="376">
        <v>1</v>
      </c>
    </row>
    <row r="2802" spans="1:9" x14ac:dyDescent="0.35">
      <c r="A2802" s="376" t="s">
        <v>1606</v>
      </c>
      <c r="B2802" s="376" t="s">
        <v>1609</v>
      </c>
      <c r="C2802" s="376" t="s">
        <v>1054</v>
      </c>
      <c r="D2802" s="376">
        <v>2025</v>
      </c>
      <c r="E2802" s="376">
        <v>2030</v>
      </c>
      <c r="F2802" s="376">
        <v>1</v>
      </c>
      <c r="G2802" s="376">
        <v>5933.4275729440915</v>
      </c>
      <c r="H2802" s="376">
        <v>0</v>
      </c>
      <c r="I2802" s="376">
        <v>1</v>
      </c>
    </row>
    <row r="2803" spans="1:9" x14ac:dyDescent="0.35">
      <c r="A2803" s="376" t="s">
        <v>1606</v>
      </c>
      <c r="B2803" s="376" t="s">
        <v>1609</v>
      </c>
      <c r="C2803" s="376" t="s">
        <v>1046</v>
      </c>
      <c r="D2803" s="376">
        <v>2025</v>
      </c>
      <c r="E2803" s="376">
        <v>2031</v>
      </c>
      <c r="F2803" s="376">
        <v>1</v>
      </c>
      <c r="G2803" s="376">
        <v>5933.4275729440915</v>
      </c>
      <c r="H2803" s="376">
        <v>0</v>
      </c>
      <c r="I2803" s="376">
        <v>1</v>
      </c>
    </row>
    <row r="2804" spans="1:9" x14ac:dyDescent="0.35">
      <c r="A2804" s="376" t="s">
        <v>1606</v>
      </c>
      <c r="B2804" s="376" t="s">
        <v>1609</v>
      </c>
      <c r="C2804" s="376" t="s">
        <v>644</v>
      </c>
      <c r="D2804" s="376">
        <v>2025</v>
      </c>
      <c r="E2804" s="376">
        <v>2031</v>
      </c>
      <c r="F2804" s="376">
        <v>1</v>
      </c>
      <c r="G2804" s="376">
        <v>5933.4275729440915</v>
      </c>
      <c r="H2804" s="376">
        <v>0</v>
      </c>
      <c r="I2804" s="376">
        <v>1</v>
      </c>
    </row>
    <row r="2805" spans="1:9" x14ac:dyDescent="0.35">
      <c r="A2805" s="376" t="s">
        <v>1606</v>
      </c>
      <c r="B2805" s="376" t="s">
        <v>1609</v>
      </c>
      <c r="C2805" s="376" t="s">
        <v>628</v>
      </c>
      <c r="D2805" s="376">
        <v>2025</v>
      </c>
      <c r="E2805" s="376">
        <v>2031</v>
      </c>
      <c r="F2805" s="376">
        <v>1</v>
      </c>
      <c r="G2805" s="376">
        <v>5933.4275729440915</v>
      </c>
      <c r="H2805" s="376">
        <v>0</v>
      </c>
      <c r="I2805" s="376">
        <v>1</v>
      </c>
    </row>
    <row r="2806" spans="1:9" x14ac:dyDescent="0.35">
      <c r="A2806" s="376" t="s">
        <v>1606</v>
      </c>
      <c r="B2806" s="376" t="s">
        <v>1609</v>
      </c>
      <c r="C2806" s="376" t="s">
        <v>1051</v>
      </c>
      <c r="D2806" s="376">
        <v>2025</v>
      </c>
      <c r="E2806" s="376">
        <v>2031</v>
      </c>
      <c r="F2806" s="376">
        <v>1</v>
      </c>
      <c r="G2806" s="376">
        <v>5933.4275729440915</v>
      </c>
      <c r="H2806" s="376">
        <v>0</v>
      </c>
      <c r="I2806" s="376">
        <v>1</v>
      </c>
    </row>
    <row r="2807" spans="1:9" x14ac:dyDescent="0.35">
      <c r="A2807" s="376" t="s">
        <v>1606</v>
      </c>
      <c r="B2807" s="376" t="s">
        <v>1609</v>
      </c>
      <c r="C2807" s="376" t="s">
        <v>1054</v>
      </c>
      <c r="D2807" s="376">
        <v>2025</v>
      </c>
      <c r="E2807" s="376">
        <v>2031</v>
      </c>
      <c r="F2807" s="376">
        <v>1</v>
      </c>
      <c r="G2807" s="376">
        <v>5933.4275729440915</v>
      </c>
      <c r="H2807" s="376">
        <v>0</v>
      </c>
      <c r="I2807" s="376">
        <v>1</v>
      </c>
    </row>
    <row r="2808" spans="1:9" x14ac:dyDescent="0.35">
      <c r="A2808" s="376" t="s">
        <v>1612</v>
      </c>
      <c r="B2808" s="376" t="s">
        <v>1609</v>
      </c>
      <c r="C2808" s="376" t="s">
        <v>1046</v>
      </c>
      <c r="D2808" s="376">
        <v>2026</v>
      </c>
      <c r="E2808" s="376">
        <v>2026</v>
      </c>
      <c r="F2808" s="376">
        <v>0.37384575124303709</v>
      </c>
      <c r="G2808" s="376">
        <v>9928.6887826901675</v>
      </c>
      <c r="H2808" s="376">
        <v>0.27603168218072044</v>
      </c>
      <c r="I2808" s="376">
        <v>0.85</v>
      </c>
    </row>
    <row r="2809" spans="1:9" x14ac:dyDescent="0.35">
      <c r="A2809" s="376" t="s">
        <v>1612</v>
      </c>
      <c r="B2809" s="376" t="s">
        <v>1609</v>
      </c>
      <c r="C2809" s="376" t="s">
        <v>644</v>
      </c>
      <c r="D2809" s="376">
        <v>2026</v>
      </c>
      <c r="E2809" s="376">
        <v>2026</v>
      </c>
      <c r="F2809" s="376">
        <v>0.37384575124303709</v>
      </c>
      <c r="G2809" s="376">
        <v>9928.6887826901675</v>
      </c>
      <c r="H2809" s="376">
        <v>0.27603168218072044</v>
      </c>
      <c r="I2809" s="376">
        <v>0.85</v>
      </c>
    </row>
    <row r="2810" spans="1:9" x14ac:dyDescent="0.35">
      <c r="A2810" s="376" t="s">
        <v>1612</v>
      </c>
      <c r="B2810" s="376" t="s">
        <v>1609</v>
      </c>
      <c r="C2810" s="376" t="s">
        <v>628</v>
      </c>
      <c r="D2810" s="376">
        <v>2026</v>
      </c>
      <c r="E2810" s="376">
        <v>2026</v>
      </c>
      <c r="F2810" s="376">
        <v>0.37384575124303709</v>
      </c>
      <c r="G2810" s="376">
        <v>9928.6887826901675</v>
      </c>
      <c r="H2810" s="376">
        <v>0.27603168218072044</v>
      </c>
      <c r="I2810" s="376">
        <v>0.85</v>
      </c>
    </row>
    <row r="2811" spans="1:9" x14ac:dyDescent="0.35">
      <c r="A2811" s="376" t="s">
        <v>1612</v>
      </c>
      <c r="B2811" s="376" t="s">
        <v>1609</v>
      </c>
      <c r="C2811" s="376" t="s">
        <v>1051</v>
      </c>
      <c r="D2811" s="376">
        <v>2026</v>
      </c>
      <c r="E2811" s="376">
        <v>2026</v>
      </c>
      <c r="F2811" s="376">
        <v>0.37384575124303709</v>
      </c>
      <c r="G2811" s="376">
        <v>9928.6887826901675</v>
      </c>
      <c r="H2811" s="376">
        <v>0.27603168218072044</v>
      </c>
      <c r="I2811" s="376">
        <v>0.85</v>
      </c>
    </row>
    <row r="2812" spans="1:9" x14ac:dyDescent="0.35">
      <c r="A2812" s="376" t="s">
        <v>1612</v>
      </c>
      <c r="B2812" s="376" t="s">
        <v>1609</v>
      </c>
      <c r="C2812" s="376" t="s">
        <v>1054</v>
      </c>
      <c r="D2812" s="376">
        <v>2026</v>
      </c>
      <c r="E2812" s="376">
        <v>2026</v>
      </c>
      <c r="F2812" s="376">
        <v>0.37384575124303709</v>
      </c>
      <c r="G2812" s="376">
        <v>9928.6887826901675</v>
      </c>
      <c r="H2812" s="376">
        <v>0.27603168218072044</v>
      </c>
      <c r="I2812" s="376">
        <v>0.85</v>
      </c>
    </row>
    <row r="2813" spans="1:9" x14ac:dyDescent="0.35">
      <c r="A2813" s="376" t="s">
        <v>1612</v>
      </c>
      <c r="B2813" s="376" t="s">
        <v>1609</v>
      </c>
      <c r="C2813" s="376" t="s">
        <v>1046</v>
      </c>
      <c r="D2813" s="376">
        <v>2026</v>
      </c>
      <c r="E2813" s="376">
        <v>2027</v>
      </c>
      <c r="F2813" s="376">
        <v>0.37384575124303709</v>
      </c>
      <c r="G2813" s="376">
        <v>9928.6887826901675</v>
      </c>
      <c r="H2813" s="376">
        <v>0.27603168218072044</v>
      </c>
      <c r="I2813" s="376">
        <v>0.85</v>
      </c>
    </row>
    <row r="2814" spans="1:9" x14ac:dyDescent="0.35">
      <c r="A2814" s="376" t="s">
        <v>1612</v>
      </c>
      <c r="B2814" s="376" t="s">
        <v>1609</v>
      </c>
      <c r="C2814" s="376" t="s">
        <v>644</v>
      </c>
      <c r="D2814" s="376">
        <v>2026</v>
      </c>
      <c r="E2814" s="376">
        <v>2027</v>
      </c>
      <c r="F2814" s="376">
        <v>0.37384575124303709</v>
      </c>
      <c r="G2814" s="376">
        <v>9928.6887826901675</v>
      </c>
      <c r="H2814" s="376">
        <v>0.27603168218072044</v>
      </c>
      <c r="I2814" s="376">
        <v>0.85</v>
      </c>
    </row>
    <row r="2815" spans="1:9" x14ac:dyDescent="0.35">
      <c r="A2815" s="376" t="s">
        <v>1612</v>
      </c>
      <c r="B2815" s="376" t="s">
        <v>1609</v>
      </c>
      <c r="C2815" s="376" t="s">
        <v>628</v>
      </c>
      <c r="D2815" s="376">
        <v>2026</v>
      </c>
      <c r="E2815" s="376">
        <v>2027</v>
      </c>
      <c r="F2815" s="376">
        <v>0.37384575124303709</v>
      </c>
      <c r="G2815" s="376">
        <v>9928.6887826901675</v>
      </c>
      <c r="H2815" s="376">
        <v>0.27603168218072044</v>
      </c>
      <c r="I2815" s="376">
        <v>0.85</v>
      </c>
    </row>
    <row r="2816" spans="1:9" x14ac:dyDescent="0.35">
      <c r="A2816" s="376" t="s">
        <v>1612</v>
      </c>
      <c r="B2816" s="376" t="s">
        <v>1609</v>
      </c>
      <c r="C2816" s="376" t="s">
        <v>1051</v>
      </c>
      <c r="D2816" s="376">
        <v>2026</v>
      </c>
      <c r="E2816" s="376">
        <v>2027</v>
      </c>
      <c r="F2816" s="376">
        <v>0.37384575124303709</v>
      </c>
      <c r="G2816" s="376">
        <v>9928.6887826901675</v>
      </c>
      <c r="H2816" s="376">
        <v>0.27603168218072044</v>
      </c>
      <c r="I2816" s="376">
        <v>0.85</v>
      </c>
    </row>
    <row r="2817" spans="1:9" x14ac:dyDescent="0.35">
      <c r="A2817" s="376" t="s">
        <v>1612</v>
      </c>
      <c r="B2817" s="376" t="s">
        <v>1609</v>
      </c>
      <c r="C2817" s="376" t="s">
        <v>1054</v>
      </c>
      <c r="D2817" s="376">
        <v>2026</v>
      </c>
      <c r="E2817" s="376">
        <v>2027</v>
      </c>
      <c r="F2817" s="376">
        <v>0.37384575124303709</v>
      </c>
      <c r="G2817" s="376">
        <v>9928.6887826901675</v>
      </c>
      <c r="H2817" s="376">
        <v>0.27603168218072044</v>
      </c>
      <c r="I2817" s="376">
        <v>0.85</v>
      </c>
    </row>
    <row r="2818" spans="1:9" x14ac:dyDescent="0.35">
      <c r="A2818" s="376" t="s">
        <v>1612</v>
      </c>
      <c r="B2818" s="376" t="s">
        <v>1609</v>
      </c>
      <c r="C2818" s="376" t="s">
        <v>1046</v>
      </c>
      <c r="D2818" s="376">
        <v>2026</v>
      </c>
      <c r="E2818" s="376">
        <v>2028</v>
      </c>
      <c r="F2818" s="376">
        <v>0.37384575124303709</v>
      </c>
      <c r="G2818" s="376">
        <v>9928.6887826901675</v>
      </c>
      <c r="H2818" s="376">
        <v>0.27603168218072044</v>
      </c>
      <c r="I2818" s="376">
        <v>0.85</v>
      </c>
    </row>
    <row r="2819" spans="1:9" x14ac:dyDescent="0.35">
      <c r="A2819" s="376" t="s">
        <v>1612</v>
      </c>
      <c r="B2819" s="376" t="s">
        <v>1609</v>
      </c>
      <c r="C2819" s="376" t="s">
        <v>644</v>
      </c>
      <c r="D2819" s="376">
        <v>2026</v>
      </c>
      <c r="E2819" s="376">
        <v>2028</v>
      </c>
      <c r="F2819" s="376">
        <v>0.37384575124303709</v>
      </c>
      <c r="G2819" s="376">
        <v>9928.6887826901675</v>
      </c>
      <c r="H2819" s="376">
        <v>0.27603168218072044</v>
      </c>
      <c r="I2819" s="376">
        <v>0.85</v>
      </c>
    </row>
    <row r="2820" spans="1:9" x14ac:dyDescent="0.35">
      <c r="A2820" s="376" t="s">
        <v>1612</v>
      </c>
      <c r="B2820" s="376" t="s">
        <v>1609</v>
      </c>
      <c r="C2820" s="376" t="s">
        <v>628</v>
      </c>
      <c r="D2820" s="376">
        <v>2026</v>
      </c>
      <c r="E2820" s="376">
        <v>2028</v>
      </c>
      <c r="F2820" s="376">
        <v>0.37384575124303709</v>
      </c>
      <c r="G2820" s="376">
        <v>9928.6887826901675</v>
      </c>
      <c r="H2820" s="376">
        <v>0.27603168218072044</v>
      </c>
      <c r="I2820" s="376">
        <v>0.85</v>
      </c>
    </row>
    <row r="2821" spans="1:9" x14ac:dyDescent="0.35">
      <c r="A2821" s="376" t="s">
        <v>1612</v>
      </c>
      <c r="B2821" s="376" t="s">
        <v>1609</v>
      </c>
      <c r="C2821" s="376" t="s">
        <v>1051</v>
      </c>
      <c r="D2821" s="376">
        <v>2026</v>
      </c>
      <c r="E2821" s="376">
        <v>2028</v>
      </c>
      <c r="F2821" s="376">
        <v>0.37384575124303709</v>
      </c>
      <c r="G2821" s="376">
        <v>9928.6887826901675</v>
      </c>
      <c r="H2821" s="376">
        <v>0.27603168218072044</v>
      </c>
      <c r="I2821" s="376">
        <v>0.85</v>
      </c>
    </row>
    <row r="2822" spans="1:9" x14ac:dyDescent="0.35">
      <c r="A2822" s="376" t="s">
        <v>1612</v>
      </c>
      <c r="B2822" s="376" t="s">
        <v>1609</v>
      </c>
      <c r="C2822" s="376" t="s">
        <v>1054</v>
      </c>
      <c r="D2822" s="376">
        <v>2026</v>
      </c>
      <c r="E2822" s="376">
        <v>2028</v>
      </c>
      <c r="F2822" s="376">
        <v>0.37384575124303709</v>
      </c>
      <c r="G2822" s="376">
        <v>9928.6887826901675</v>
      </c>
      <c r="H2822" s="376">
        <v>0.27603168218072044</v>
      </c>
      <c r="I2822" s="376">
        <v>0.85</v>
      </c>
    </row>
    <row r="2823" spans="1:9" x14ac:dyDescent="0.35">
      <c r="A2823" s="376" t="s">
        <v>1612</v>
      </c>
      <c r="B2823" s="376" t="s">
        <v>1609</v>
      </c>
      <c r="C2823" s="376" t="s">
        <v>1046</v>
      </c>
      <c r="D2823" s="376">
        <v>2026</v>
      </c>
      <c r="E2823" s="376">
        <v>2029</v>
      </c>
      <c r="F2823" s="376">
        <v>0.37384575124303709</v>
      </c>
      <c r="G2823" s="376">
        <v>9928.6887826901675</v>
      </c>
      <c r="H2823" s="376">
        <v>0.27603168218072044</v>
      </c>
      <c r="I2823" s="376">
        <v>0.85</v>
      </c>
    </row>
    <row r="2824" spans="1:9" x14ac:dyDescent="0.35">
      <c r="A2824" s="376" t="s">
        <v>1612</v>
      </c>
      <c r="B2824" s="376" t="s">
        <v>1609</v>
      </c>
      <c r="C2824" s="376" t="s">
        <v>644</v>
      </c>
      <c r="D2824" s="376">
        <v>2026</v>
      </c>
      <c r="E2824" s="376">
        <v>2029</v>
      </c>
      <c r="F2824" s="376">
        <v>0.37384575124303709</v>
      </c>
      <c r="G2824" s="376">
        <v>9928.6887826901675</v>
      </c>
      <c r="H2824" s="376">
        <v>0.27603168218072044</v>
      </c>
      <c r="I2824" s="376">
        <v>0.85</v>
      </c>
    </row>
    <row r="2825" spans="1:9" x14ac:dyDescent="0.35">
      <c r="A2825" s="376" t="s">
        <v>1612</v>
      </c>
      <c r="B2825" s="376" t="s">
        <v>1609</v>
      </c>
      <c r="C2825" s="376" t="s">
        <v>628</v>
      </c>
      <c r="D2825" s="376">
        <v>2026</v>
      </c>
      <c r="E2825" s="376">
        <v>2029</v>
      </c>
      <c r="F2825" s="376">
        <v>0.37384575124303709</v>
      </c>
      <c r="G2825" s="376">
        <v>9928.6887826901675</v>
      </c>
      <c r="H2825" s="376">
        <v>0.27603168218072044</v>
      </c>
      <c r="I2825" s="376">
        <v>0.85</v>
      </c>
    </row>
    <row r="2826" spans="1:9" x14ac:dyDescent="0.35">
      <c r="A2826" s="376" t="s">
        <v>1612</v>
      </c>
      <c r="B2826" s="376" t="s">
        <v>1609</v>
      </c>
      <c r="C2826" s="376" t="s">
        <v>1051</v>
      </c>
      <c r="D2826" s="376">
        <v>2026</v>
      </c>
      <c r="E2826" s="376">
        <v>2029</v>
      </c>
      <c r="F2826" s="376">
        <v>0.37384575124303709</v>
      </c>
      <c r="G2826" s="376">
        <v>9928.6887826901675</v>
      </c>
      <c r="H2826" s="376">
        <v>0.27603168218072044</v>
      </c>
      <c r="I2826" s="376">
        <v>0.85</v>
      </c>
    </row>
    <row r="2827" spans="1:9" x14ac:dyDescent="0.35">
      <c r="A2827" s="376" t="s">
        <v>1612</v>
      </c>
      <c r="B2827" s="376" t="s">
        <v>1609</v>
      </c>
      <c r="C2827" s="376" t="s">
        <v>1054</v>
      </c>
      <c r="D2827" s="376">
        <v>2026</v>
      </c>
      <c r="E2827" s="376">
        <v>2029</v>
      </c>
      <c r="F2827" s="376">
        <v>0.37384575124303709</v>
      </c>
      <c r="G2827" s="376">
        <v>9928.6887826901675</v>
      </c>
      <c r="H2827" s="376">
        <v>0.27603168218072044</v>
      </c>
      <c r="I2827" s="376">
        <v>0.85</v>
      </c>
    </row>
    <row r="2828" spans="1:9" x14ac:dyDescent="0.35">
      <c r="A2828" s="376" t="s">
        <v>1612</v>
      </c>
      <c r="B2828" s="376" t="s">
        <v>1609</v>
      </c>
      <c r="C2828" s="376" t="s">
        <v>1046</v>
      </c>
      <c r="D2828" s="376">
        <v>2026</v>
      </c>
      <c r="E2828" s="376">
        <v>2030</v>
      </c>
      <c r="F2828" s="376">
        <v>0.37384575124303709</v>
      </c>
      <c r="G2828" s="376">
        <v>9928.6887826901675</v>
      </c>
      <c r="H2828" s="376">
        <v>0.27603168218072044</v>
      </c>
      <c r="I2828" s="376">
        <v>0.85</v>
      </c>
    </row>
    <row r="2829" spans="1:9" x14ac:dyDescent="0.35">
      <c r="A2829" s="376" t="s">
        <v>1612</v>
      </c>
      <c r="B2829" s="376" t="s">
        <v>1609</v>
      </c>
      <c r="C2829" s="376" t="s">
        <v>644</v>
      </c>
      <c r="D2829" s="376">
        <v>2026</v>
      </c>
      <c r="E2829" s="376">
        <v>2030</v>
      </c>
      <c r="F2829" s="376">
        <v>0.37384575124303709</v>
      </c>
      <c r="G2829" s="376">
        <v>9928.6887826901675</v>
      </c>
      <c r="H2829" s="376">
        <v>0.27603168218072044</v>
      </c>
      <c r="I2829" s="376">
        <v>0.85</v>
      </c>
    </row>
    <row r="2830" spans="1:9" x14ac:dyDescent="0.35">
      <c r="A2830" s="376" t="s">
        <v>1612</v>
      </c>
      <c r="B2830" s="376" t="s">
        <v>1609</v>
      </c>
      <c r="C2830" s="376" t="s">
        <v>628</v>
      </c>
      <c r="D2830" s="376">
        <v>2026</v>
      </c>
      <c r="E2830" s="376">
        <v>2030</v>
      </c>
      <c r="F2830" s="376">
        <v>0.37384575124303709</v>
      </c>
      <c r="G2830" s="376">
        <v>9928.6887826901675</v>
      </c>
      <c r="H2830" s="376">
        <v>0.27603168218072044</v>
      </c>
      <c r="I2830" s="376">
        <v>0.85</v>
      </c>
    </row>
    <row r="2831" spans="1:9" x14ac:dyDescent="0.35">
      <c r="A2831" s="376" t="s">
        <v>1612</v>
      </c>
      <c r="B2831" s="376" t="s">
        <v>1609</v>
      </c>
      <c r="C2831" s="376" t="s">
        <v>1051</v>
      </c>
      <c r="D2831" s="376">
        <v>2026</v>
      </c>
      <c r="E2831" s="376">
        <v>2030</v>
      </c>
      <c r="F2831" s="376">
        <v>0.37384575124303709</v>
      </c>
      <c r="G2831" s="376">
        <v>9928.6887826901675</v>
      </c>
      <c r="H2831" s="376">
        <v>0.27603168218072044</v>
      </c>
      <c r="I2831" s="376">
        <v>0.85</v>
      </c>
    </row>
    <row r="2832" spans="1:9" x14ac:dyDescent="0.35">
      <c r="A2832" s="376" t="s">
        <v>1612</v>
      </c>
      <c r="B2832" s="376" t="s">
        <v>1609</v>
      </c>
      <c r="C2832" s="376" t="s">
        <v>1054</v>
      </c>
      <c r="D2832" s="376">
        <v>2026</v>
      </c>
      <c r="E2832" s="376">
        <v>2030</v>
      </c>
      <c r="F2832" s="376">
        <v>0.37384575124303709</v>
      </c>
      <c r="G2832" s="376">
        <v>9928.6887826901675</v>
      </c>
      <c r="H2832" s="376">
        <v>0.27603168218072044</v>
      </c>
      <c r="I2832" s="376">
        <v>0.85</v>
      </c>
    </row>
    <row r="2833" spans="1:9" x14ac:dyDescent="0.35">
      <c r="A2833" s="376" t="s">
        <v>1612</v>
      </c>
      <c r="B2833" s="376" t="s">
        <v>1609</v>
      </c>
      <c r="C2833" s="376" t="s">
        <v>1046</v>
      </c>
      <c r="D2833" s="376">
        <v>2026</v>
      </c>
      <c r="E2833" s="376">
        <v>2031</v>
      </c>
      <c r="F2833" s="376">
        <v>0.37384575124303709</v>
      </c>
      <c r="G2833" s="376">
        <v>9928.6887826901675</v>
      </c>
      <c r="H2833" s="376">
        <v>0.27603168218072044</v>
      </c>
      <c r="I2833" s="376">
        <v>0.85</v>
      </c>
    </row>
    <row r="2834" spans="1:9" x14ac:dyDescent="0.35">
      <c r="A2834" s="376" t="s">
        <v>1612</v>
      </c>
      <c r="B2834" s="376" t="s">
        <v>1609</v>
      </c>
      <c r="C2834" s="376" t="s">
        <v>644</v>
      </c>
      <c r="D2834" s="376">
        <v>2026</v>
      </c>
      <c r="E2834" s="376">
        <v>2031</v>
      </c>
      <c r="F2834" s="376">
        <v>0.37384575124303709</v>
      </c>
      <c r="G2834" s="376">
        <v>9928.6887826901675</v>
      </c>
      <c r="H2834" s="376">
        <v>0.27603168218072044</v>
      </c>
      <c r="I2834" s="376">
        <v>0.85</v>
      </c>
    </row>
    <row r="2835" spans="1:9" x14ac:dyDescent="0.35">
      <c r="A2835" s="376" t="s">
        <v>1612</v>
      </c>
      <c r="B2835" s="376" t="s">
        <v>1609</v>
      </c>
      <c r="C2835" s="376" t="s">
        <v>628</v>
      </c>
      <c r="D2835" s="376">
        <v>2026</v>
      </c>
      <c r="E2835" s="376">
        <v>2031</v>
      </c>
      <c r="F2835" s="376">
        <v>0.37384575124303709</v>
      </c>
      <c r="G2835" s="376">
        <v>9928.6887826901675</v>
      </c>
      <c r="H2835" s="376">
        <v>0.27603168218072044</v>
      </c>
      <c r="I2835" s="376">
        <v>0.85</v>
      </c>
    </row>
    <row r="2836" spans="1:9" x14ac:dyDescent="0.35">
      <c r="A2836" s="376" t="s">
        <v>1612</v>
      </c>
      <c r="B2836" s="376" t="s">
        <v>1609</v>
      </c>
      <c r="C2836" s="376" t="s">
        <v>1051</v>
      </c>
      <c r="D2836" s="376">
        <v>2026</v>
      </c>
      <c r="E2836" s="376">
        <v>2031</v>
      </c>
      <c r="F2836" s="376">
        <v>0.37384575124303709</v>
      </c>
      <c r="G2836" s="376">
        <v>9928.6887826901675</v>
      </c>
      <c r="H2836" s="376">
        <v>0.27603168218072044</v>
      </c>
      <c r="I2836" s="376">
        <v>0.85</v>
      </c>
    </row>
    <row r="2837" spans="1:9" x14ac:dyDescent="0.35">
      <c r="A2837" s="376" t="s">
        <v>1612</v>
      </c>
      <c r="B2837" s="376" t="s">
        <v>1609</v>
      </c>
      <c r="C2837" s="376" t="s">
        <v>1054</v>
      </c>
      <c r="D2837" s="376">
        <v>2026</v>
      </c>
      <c r="E2837" s="376">
        <v>2031</v>
      </c>
      <c r="F2837" s="376">
        <v>0.37384575124303709</v>
      </c>
      <c r="G2837" s="376">
        <v>9928.6887826901675</v>
      </c>
      <c r="H2837" s="376">
        <v>0.27603168218072044</v>
      </c>
      <c r="I2837" s="376">
        <v>0.85</v>
      </c>
    </row>
    <row r="2838" spans="1:9" x14ac:dyDescent="0.35">
      <c r="A2838" s="376" t="s">
        <v>1613</v>
      </c>
      <c r="B2838" s="376" t="s">
        <v>1609</v>
      </c>
      <c r="C2838" s="376" t="s">
        <v>1046</v>
      </c>
      <c r="D2838" s="376">
        <v>2026</v>
      </c>
      <c r="E2838" s="376">
        <v>2026</v>
      </c>
      <c r="F2838" s="376">
        <v>0.40444272241720852</v>
      </c>
      <c r="G2838" s="376">
        <v>8848.5269568257354</v>
      </c>
      <c r="H2838" s="376">
        <v>0.26849060712278183</v>
      </c>
      <c r="I2838" s="376">
        <v>0.85</v>
      </c>
    </row>
    <row r="2839" spans="1:9" x14ac:dyDescent="0.35">
      <c r="A2839" s="376" t="s">
        <v>1613</v>
      </c>
      <c r="B2839" s="376" t="s">
        <v>1609</v>
      </c>
      <c r="C2839" s="376" t="s">
        <v>644</v>
      </c>
      <c r="D2839" s="376">
        <v>2026</v>
      </c>
      <c r="E2839" s="376">
        <v>2026</v>
      </c>
      <c r="F2839" s="376">
        <v>0.40444272241720852</v>
      </c>
      <c r="G2839" s="376">
        <v>8848.5269568257354</v>
      </c>
      <c r="H2839" s="376">
        <v>0.26849060712278183</v>
      </c>
      <c r="I2839" s="376">
        <v>0.85</v>
      </c>
    </row>
    <row r="2840" spans="1:9" x14ac:dyDescent="0.35">
      <c r="A2840" s="376" t="s">
        <v>1613</v>
      </c>
      <c r="B2840" s="376" t="s">
        <v>1609</v>
      </c>
      <c r="C2840" s="376" t="s">
        <v>628</v>
      </c>
      <c r="D2840" s="376">
        <v>2026</v>
      </c>
      <c r="E2840" s="376">
        <v>2026</v>
      </c>
      <c r="F2840" s="376">
        <v>0.40444272241720852</v>
      </c>
      <c r="G2840" s="376">
        <v>8848.5269568257354</v>
      </c>
      <c r="H2840" s="376">
        <v>0.26849060712278183</v>
      </c>
      <c r="I2840" s="376">
        <v>0.85</v>
      </c>
    </row>
    <row r="2841" spans="1:9" x14ac:dyDescent="0.35">
      <c r="A2841" s="376" t="s">
        <v>1613</v>
      </c>
      <c r="B2841" s="376" t="s">
        <v>1609</v>
      </c>
      <c r="C2841" s="376" t="s">
        <v>1051</v>
      </c>
      <c r="D2841" s="376">
        <v>2026</v>
      </c>
      <c r="E2841" s="376">
        <v>2026</v>
      </c>
      <c r="F2841" s="376">
        <v>0.40444272241720852</v>
      </c>
      <c r="G2841" s="376">
        <v>8848.5269568257354</v>
      </c>
      <c r="H2841" s="376">
        <v>0.26849060712278183</v>
      </c>
      <c r="I2841" s="376">
        <v>0.85</v>
      </c>
    </row>
    <row r="2842" spans="1:9" x14ac:dyDescent="0.35">
      <c r="A2842" s="376" t="s">
        <v>1613</v>
      </c>
      <c r="B2842" s="376" t="s">
        <v>1609</v>
      </c>
      <c r="C2842" s="376" t="s">
        <v>1054</v>
      </c>
      <c r="D2842" s="376">
        <v>2026</v>
      </c>
      <c r="E2842" s="376">
        <v>2026</v>
      </c>
      <c r="F2842" s="376">
        <v>0.40444272241720852</v>
      </c>
      <c r="G2842" s="376">
        <v>8848.5269568257354</v>
      </c>
      <c r="H2842" s="376">
        <v>0.26849060712278183</v>
      </c>
      <c r="I2842" s="376">
        <v>0.85</v>
      </c>
    </row>
    <row r="2843" spans="1:9" x14ac:dyDescent="0.35">
      <c r="A2843" s="376" t="s">
        <v>1613</v>
      </c>
      <c r="B2843" s="376" t="s">
        <v>1609</v>
      </c>
      <c r="C2843" s="376" t="s">
        <v>1046</v>
      </c>
      <c r="D2843" s="376">
        <v>2026</v>
      </c>
      <c r="E2843" s="376">
        <v>2027</v>
      </c>
      <c r="F2843" s="376">
        <v>0.40444272241720852</v>
      </c>
      <c r="G2843" s="376">
        <v>8848.5269568257354</v>
      </c>
      <c r="H2843" s="376">
        <v>0.26849060712278183</v>
      </c>
      <c r="I2843" s="376">
        <v>0.85</v>
      </c>
    </row>
    <row r="2844" spans="1:9" x14ac:dyDescent="0.35">
      <c r="A2844" s="376" t="s">
        <v>1613</v>
      </c>
      <c r="B2844" s="376" t="s">
        <v>1609</v>
      </c>
      <c r="C2844" s="376" t="s">
        <v>644</v>
      </c>
      <c r="D2844" s="376">
        <v>2026</v>
      </c>
      <c r="E2844" s="376">
        <v>2027</v>
      </c>
      <c r="F2844" s="376">
        <v>0.40444272241720852</v>
      </c>
      <c r="G2844" s="376">
        <v>8848.5269568257354</v>
      </c>
      <c r="H2844" s="376">
        <v>0.26849060712278183</v>
      </c>
      <c r="I2844" s="376">
        <v>0.85</v>
      </c>
    </row>
    <row r="2845" spans="1:9" x14ac:dyDescent="0.35">
      <c r="A2845" s="376" t="s">
        <v>1613</v>
      </c>
      <c r="B2845" s="376" t="s">
        <v>1609</v>
      </c>
      <c r="C2845" s="376" t="s">
        <v>628</v>
      </c>
      <c r="D2845" s="376">
        <v>2026</v>
      </c>
      <c r="E2845" s="376">
        <v>2027</v>
      </c>
      <c r="F2845" s="376">
        <v>0.40444272241720852</v>
      </c>
      <c r="G2845" s="376">
        <v>8848.5269568257354</v>
      </c>
      <c r="H2845" s="376">
        <v>0.26849060712278183</v>
      </c>
      <c r="I2845" s="376">
        <v>0.85</v>
      </c>
    </row>
    <row r="2846" spans="1:9" x14ac:dyDescent="0.35">
      <c r="A2846" s="376" t="s">
        <v>1613</v>
      </c>
      <c r="B2846" s="376" t="s">
        <v>1609</v>
      </c>
      <c r="C2846" s="376" t="s">
        <v>1051</v>
      </c>
      <c r="D2846" s="376">
        <v>2026</v>
      </c>
      <c r="E2846" s="376">
        <v>2027</v>
      </c>
      <c r="F2846" s="376">
        <v>0.40444272241720852</v>
      </c>
      <c r="G2846" s="376">
        <v>8848.5269568257354</v>
      </c>
      <c r="H2846" s="376">
        <v>0.26849060712278183</v>
      </c>
      <c r="I2846" s="376">
        <v>0.85</v>
      </c>
    </row>
    <row r="2847" spans="1:9" x14ac:dyDescent="0.35">
      <c r="A2847" s="376" t="s">
        <v>1613</v>
      </c>
      <c r="B2847" s="376" t="s">
        <v>1609</v>
      </c>
      <c r="C2847" s="376" t="s">
        <v>1054</v>
      </c>
      <c r="D2847" s="376">
        <v>2026</v>
      </c>
      <c r="E2847" s="376">
        <v>2027</v>
      </c>
      <c r="F2847" s="376">
        <v>0.40444272241720852</v>
      </c>
      <c r="G2847" s="376">
        <v>8848.5269568257354</v>
      </c>
      <c r="H2847" s="376">
        <v>0.26849060712278183</v>
      </c>
      <c r="I2847" s="376">
        <v>0.85</v>
      </c>
    </row>
    <row r="2848" spans="1:9" x14ac:dyDescent="0.35">
      <c r="A2848" s="376" t="s">
        <v>1613</v>
      </c>
      <c r="B2848" s="376" t="s">
        <v>1609</v>
      </c>
      <c r="C2848" s="376" t="s">
        <v>1046</v>
      </c>
      <c r="D2848" s="376">
        <v>2026</v>
      </c>
      <c r="E2848" s="376">
        <v>2028</v>
      </c>
      <c r="F2848" s="376">
        <v>0.40444272241720852</v>
      </c>
      <c r="G2848" s="376">
        <v>8848.5269568257354</v>
      </c>
      <c r="H2848" s="376">
        <v>0.26849060712278183</v>
      </c>
      <c r="I2848" s="376">
        <v>0.85</v>
      </c>
    </row>
    <row r="2849" spans="1:9" x14ac:dyDescent="0.35">
      <c r="A2849" s="376" t="s">
        <v>1613</v>
      </c>
      <c r="B2849" s="376" t="s">
        <v>1609</v>
      </c>
      <c r="C2849" s="376" t="s">
        <v>644</v>
      </c>
      <c r="D2849" s="376">
        <v>2026</v>
      </c>
      <c r="E2849" s="376">
        <v>2028</v>
      </c>
      <c r="F2849" s="376">
        <v>0.40444272241720852</v>
      </c>
      <c r="G2849" s="376">
        <v>8848.5269568257354</v>
      </c>
      <c r="H2849" s="376">
        <v>0.26849060712278183</v>
      </c>
      <c r="I2849" s="376">
        <v>0.85</v>
      </c>
    </row>
    <row r="2850" spans="1:9" x14ac:dyDescent="0.35">
      <c r="A2850" s="376" t="s">
        <v>1613</v>
      </c>
      <c r="B2850" s="376" t="s">
        <v>1609</v>
      </c>
      <c r="C2850" s="376" t="s">
        <v>628</v>
      </c>
      <c r="D2850" s="376">
        <v>2026</v>
      </c>
      <c r="E2850" s="376">
        <v>2028</v>
      </c>
      <c r="F2850" s="376">
        <v>0.40444272241720852</v>
      </c>
      <c r="G2850" s="376">
        <v>8848.5269568257354</v>
      </c>
      <c r="H2850" s="376">
        <v>0.26849060712278183</v>
      </c>
      <c r="I2850" s="376">
        <v>0.85</v>
      </c>
    </row>
    <row r="2851" spans="1:9" x14ac:dyDescent="0.35">
      <c r="A2851" s="376" t="s">
        <v>1613</v>
      </c>
      <c r="B2851" s="376" t="s">
        <v>1609</v>
      </c>
      <c r="C2851" s="376" t="s">
        <v>1051</v>
      </c>
      <c r="D2851" s="376">
        <v>2026</v>
      </c>
      <c r="E2851" s="376">
        <v>2028</v>
      </c>
      <c r="F2851" s="376">
        <v>0.40444272241720852</v>
      </c>
      <c r="G2851" s="376">
        <v>8848.5269568257354</v>
      </c>
      <c r="H2851" s="376">
        <v>0.26849060712278183</v>
      </c>
      <c r="I2851" s="376">
        <v>0.85</v>
      </c>
    </row>
    <row r="2852" spans="1:9" x14ac:dyDescent="0.35">
      <c r="A2852" s="376" t="s">
        <v>1613</v>
      </c>
      <c r="B2852" s="376" t="s">
        <v>1609</v>
      </c>
      <c r="C2852" s="376" t="s">
        <v>1054</v>
      </c>
      <c r="D2852" s="376">
        <v>2026</v>
      </c>
      <c r="E2852" s="376">
        <v>2028</v>
      </c>
      <c r="F2852" s="376">
        <v>0.40444272241720852</v>
      </c>
      <c r="G2852" s="376">
        <v>8848.5269568257354</v>
      </c>
      <c r="H2852" s="376">
        <v>0.26849060712278183</v>
      </c>
      <c r="I2852" s="376">
        <v>0.85</v>
      </c>
    </row>
    <row r="2853" spans="1:9" x14ac:dyDescent="0.35">
      <c r="A2853" s="376" t="s">
        <v>1613</v>
      </c>
      <c r="B2853" s="376" t="s">
        <v>1609</v>
      </c>
      <c r="C2853" s="376" t="s">
        <v>1046</v>
      </c>
      <c r="D2853" s="376">
        <v>2026</v>
      </c>
      <c r="E2853" s="376">
        <v>2029</v>
      </c>
      <c r="F2853" s="376">
        <v>0.40444272241720852</v>
      </c>
      <c r="G2853" s="376">
        <v>8848.5269568257354</v>
      </c>
      <c r="H2853" s="376">
        <v>0.26849060712278183</v>
      </c>
      <c r="I2853" s="376">
        <v>0.85</v>
      </c>
    </row>
    <row r="2854" spans="1:9" x14ac:dyDescent="0.35">
      <c r="A2854" s="376" t="s">
        <v>1613</v>
      </c>
      <c r="B2854" s="376" t="s">
        <v>1609</v>
      </c>
      <c r="C2854" s="376" t="s">
        <v>644</v>
      </c>
      <c r="D2854" s="376">
        <v>2026</v>
      </c>
      <c r="E2854" s="376">
        <v>2029</v>
      </c>
      <c r="F2854" s="376">
        <v>0.40444272241720852</v>
      </c>
      <c r="G2854" s="376">
        <v>8848.5269568257354</v>
      </c>
      <c r="H2854" s="376">
        <v>0.26849060712278183</v>
      </c>
      <c r="I2854" s="376">
        <v>0.85</v>
      </c>
    </row>
    <row r="2855" spans="1:9" x14ac:dyDescent="0.35">
      <c r="A2855" s="376" t="s">
        <v>1613</v>
      </c>
      <c r="B2855" s="376" t="s">
        <v>1609</v>
      </c>
      <c r="C2855" s="376" t="s">
        <v>628</v>
      </c>
      <c r="D2855" s="376">
        <v>2026</v>
      </c>
      <c r="E2855" s="376">
        <v>2029</v>
      </c>
      <c r="F2855" s="376">
        <v>0.40444272241720852</v>
      </c>
      <c r="G2855" s="376">
        <v>8848.5269568257354</v>
      </c>
      <c r="H2855" s="376">
        <v>0.26849060712278183</v>
      </c>
      <c r="I2855" s="376">
        <v>0.85</v>
      </c>
    </row>
    <row r="2856" spans="1:9" x14ac:dyDescent="0.35">
      <c r="A2856" s="376" t="s">
        <v>1613</v>
      </c>
      <c r="B2856" s="376" t="s">
        <v>1609</v>
      </c>
      <c r="C2856" s="376" t="s">
        <v>1051</v>
      </c>
      <c r="D2856" s="376">
        <v>2026</v>
      </c>
      <c r="E2856" s="376">
        <v>2029</v>
      </c>
      <c r="F2856" s="376">
        <v>0.40444272241720852</v>
      </c>
      <c r="G2856" s="376">
        <v>8848.5269568257354</v>
      </c>
      <c r="H2856" s="376">
        <v>0.26849060712278183</v>
      </c>
      <c r="I2856" s="376">
        <v>0.85</v>
      </c>
    </row>
    <row r="2857" spans="1:9" x14ac:dyDescent="0.35">
      <c r="A2857" s="376" t="s">
        <v>1613</v>
      </c>
      <c r="B2857" s="376" t="s">
        <v>1609</v>
      </c>
      <c r="C2857" s="376" t="s">
        <v>1054</v>
      </c>
      <c r="D2857" s="376">
        <v>2026</v>
      </c>
      <c r="E2857" s="376">
        <v>2029</v>
      </c>
      <c r="F2857" s="376">
        <v>0.40444272241720852</v>
      </c>
      <c r="G2857" s="376">
        <v>8848.5269568257354</v>
      </c>
      <c r="H2857" s="376">
        <v>0.26849060712278183</v>
      </c>
      <c r="I2857" s="376">
        <v>0.85</v>
      </c>
    </row>
    <row r="2858" spans="1:9" x14ac:dyDescent="0.35">
      <c r="A2858" s="376" t="s">
        <v>1613</v>
      </c>
      <c r="B2858" s="376" t="s">
        <v>1609</v>
      </c>
      <c r="C2858" s="376" t="s">
        <v>1046</v>
      </c>
      <c r="D2858" s="376">
        <v>2026</v>
      </c>
      <c r="E2858" s="376">
        <v>2030</v>
      </c>
      <c r="F2858" s="376">
        <v>0.40444272241720852</v>
      </c>
      <c r="G2858" s="376">
        <v>8848.5269568257354</v>
      </c>
      <c r="H2858" s="376">
        <v>0.26849060712278183</v>
      </c>
      <c r="I2858" s="376">
        <v>0.85</v>
      </c>
    </row>
    <row r="2859" spans="1:9" x14ac:dyDescent="0.35">
      <c r="A2859" s="376" t="s">
        <v>1613</v>
      </c>
      <c r="B2859" s="376" t="s">
        <v>1609</v>
      </c>
      <c r="C2859" s="376" t="s">
        <v>644</v>
      </c>
      <c r="D2859" s="376">
        <v>2026</v>
      </c>
      <c r="E2859" s="376">
        <v>2030</v>
      </c>
      <c r="F2859" s="376">
        <v>0.40444272241720852</v>
      </c>
      <c r="G2859" s="376">
        <v>8848.5269568257354</v>
      </c>
      <c r="H2859" s="376">
        <v>0.26849060712278183</v>
      </c>
      <c r="I2859" s="376">
        <v>0.85</v>
      </c>
    </row>
    <row r="2860" spans="1:9" x14ac:dyDescent="0.35">
      <c r="A2860" s="376" t="s">
        <v>1613</v>
      </c>
      <c r="B2860" s="376" t="s">
        <v>1609</v>
      </c>
      <c r="C2860" s="376" t="s">
        <v>628</v>
      </c>
      <c r="D2860" s="376">
        <v>2026</v>
      </c>
      <c r="E2860" s="376">
        <v>2030</v>
      </c>
      <c r="F2860" s="376">
        <v>0.40444272241720852</v>
      </c>
      <c r="G2860" s="376">
        <v>8848.5269568257354</v>
      </c>
      <c r="H2860" s="376">
        <v>0.26849060712278183</v>
      </c>
      <c r="I2860" s="376">
        <v>0.85</v>
      </c>
    </row>
    <row r="2861" spans="1:9" x14ac:dyDescent="0.35">
      <c r="A2861" s="376" t="s">
        <v>1613</v>
      </c>
      <c r="B2861" s="376" t="s">
        <v>1609</v>
      </c>
      <c r="C2861" s="376" t="s">
        <v>1051</v>
      </c>
      <c r="D2861" s="376">
        <v>2026</v>
      </c>
      <c r="E2861" s="376">
        <v>2030</v>
      </c>
      <c r="F2861" s="376">
        <v>0.40444272241720852</v>
      </c>
      <c r="G2861" s="376">
        <v>8848.5269568257354</v>
      </c>
      <c r="H2861" s="376">
        <v>0.26849060712278183</v>
      </c>
      <c r="I2861" s="376">
        <v>0.85</v>
      </c>
    </row>
    <row r="2862" spans="1:9" x14ac:dyDescent="0.35">
      <c r="A2862" s="376" t="s">
        <v>1613</v>
      </c>
      <c r="B2862" s="376" t="s">
        <v>1609</v>
      </c>
      <c r="C2862" s="376" t="s">
        <v>1054</v>
      </c>
      <c r="D2862" s="376">
        <v>2026</v>
      </c>
      <c r="E2862" s="376">
        <v>2030</v>
      </c>
      <c r="F2862" s="376">
        <v>0.40444272241720852</v>
      </c>
      <c r="G2862" s="376">
        <v>8848.5269568257354</v>
      </c>
      <c r="H2862" s="376">
        <v>0.26849060712278183</v>
      </c>
      <c r="I2862" s="376">
        <v>0.85</v>
      </c>
    </row>
    <row r="2863" spans="1:9" x14ac:dyDescent="0.35">
      <c r="A2863" s="376" t="s">
        <v>1613</v>
      </c>
      <c r="B2863" s="376" t="s">
        <v>1609</v>
      </c>
      <c r="C2863" s="376" t="s">
        <v>1046</v>
      </c>
      <c r="D2863" s="376">
        <v>2026</v>
      </c>
      <c r="E2863" s="376">
        <v>2031</v>
      </c>
      <c r="F2863" s="376">
        <v>0.40444272241720852</v>
      </c>
      <c r="G2863" s="376">
        <v>8848.5269568257354</v>
      </c>
      <c r="H2863" s="376">
        <v>0.26849060712278183</v>
      </c>
      <c r="I2863" s="376">
        <v>0.85</v>
      </c>
    </row>
    <row r="2864" spans="1:9" x14ac:dyDescent="0.35">
      <c r="A2864" s="376" t="s">
        <v>1613</v>
      </c>
      <c r="B2864" s="376" t="s">
        <v>1609</v>
      </c>
      <c r="C2864" s="376" t="s">
        <v>644</v>
      </c>
      <c r="D2864" s="376">
        <v>2026</v>
      </c>
      <c r="E2864" s="376">
        <v>2031</v>
      </c>
      <c r="F2864" s="376">
        <v>0.40444272241720852</v>
      </c>
      <c r="G2864" s="376">
        <v>8848.5269568257354</v>
      </c>
      <c r="H2864" s="376">
        <v>0.26849060712278183</v>
      </c>
      <c r="I2864" s="376">
        <v>0.85</v>
      </c>
    </row>
    <row r="2865" spans="1:9" x14ac:dyDescent="0.35">
      <c r="A2865" s="376" t="s">
        <v>1613</v>
      </c>
      <c r="B2865" s="376" t="s">
        <v>1609</v>
      </c>
      <c r="C2865" s="376" t="s">
        <v>628</v>
      </c>
      <c r="D2865" s="376">
        <v>2026</v>
      </c>
      <c r="E2865" s="376">
        <v>2031</v>
      </c>
      <c r="F2865" s="376">
        <v>0.40444272241720852</v>
      </c>
      <c r="G2865" s="376">
        <v>8848.5269568257354</v>
      </c>
      <c r="H2865" s="376">
        <v>0.26849060712278183</v>
      </c>
      <c r="I2865" s="376">
        <v>0.85</v>
      </c>
    </row>
    <row r="2866" spans="1:9" x14ac:dyDescent="0.35">
      <c r="A2866" s="376" t="s">
        <v>1613</v>
      </c>
      <c r="B2866" s="376" t="s">
        <v>1609</v>
      </c>
      <c r="C2866" s="376" t="s">
        <v>1051</v>
      </c>
      <c r="D2866" s="376">
        <v>2026</v>
      </c>
      <c r="E2866" s="376">
        <v>2031</v>
      </c>
      <c r="F2866" s="376">
        <v>0.40444272241720852</v>
      </c>
      <c r="G2866" s="376">
        <v>8848.5269568257354</v>
      </c>
      <c r="H2866" s="376">
        <v>0.26849060712278183</v>
      </c>
      <c r="I2866" s="376">
        <v>0.85</v>
      </c>
    </row>
    <row r="2867" spans="1:9" x14ac:dyDescent="0.35">
      <c r="A2867" s="376" t="s">
        <v>1613</v>
      </c>
      <c r="B2867" s="376" t="s">
        <v>1609</v>
      </c>
      <c r="C2867" s="376" t="s">
        <v>1054</v>
      </c>
      <c r="D2867" s="376">
        <v>2026</v>
      </c>
      <c r="E2867" s="376">
        <v>2031</v>
      </c>
      <c r="F2867" s="376">
        <v>0.40444272241720852</v>
      </c>
      <c r="G2867" s="376">
        <v>8848.5269568257354</v>
      </c>
      <c r="H2867" s="376">
        <v>0.26849060712278183</v>
      </c>
      <c r="I2867" s="376">
        <v>0.85</v>
      </c>
    </row>
    <row r="2868" spans="1:9" x14ac:dyDescent="0.35">
      <c r="A2868" s="376" t="s">
        <v>1614</v>
      </c>
      <c r="B2868" s="376" t="s">
        <v>1609</v>
      </c>
      <c r="C2868" s="376" t="s">
        <v>1046</v>
      </c>
      <c r="D2868" s="376">
        <v>2026</v>
      </c>
      <c r="E2868" s="376">
        <v>2026</v>
      </c>
      <c r="F2868" s="376">
        <v>0.28070162831646173</v>
      </c>
      <c r="G2868" s="376">
        <v>6454.3984013550207</v>
      </c>
      <c r="H2868" s="376">
        <v>0.26849060712278183</v>
      </c>
      <c r="I2868" s="376">
        <v>0.85</v>
      </c>
    </row>
    <row r="2869" spans="1:9" x14ac:dyDescent="0.35">
      <c r="A2869" s="376" t="s">
        <v>1614</v>
      </c>
      <c r="B2869" s="376" t="s">
        <v>1609</v>
      </c>
      <c r="C2869" s="376" t="s">
        <v>644</v>
      </c>
      <c r="D2869" s="376">
        <v>2026</v>
      </c>
      <c r="E2869" s="376">
        <v>2026</v>
      </c>
      <c r="F2869" s="376">
        <v>0.28070162831646173</v>
      </c>
      <c r="G2869" s="376">
        <v>6454.3984013550207</v>
      </c>
      <c r="H2869" s="376">
        <v>0.26849060712278183</v>
      </c>
      <c r="I2869" s="376">
        <v>0.85</v>
      </c>
    </row>
    <row r="2870" spans="1:9" x14ac:dyDescent="0.35">
      <c r="A2870" s="376" t="s">
        <v>1614</v>
      </c>
      <c r="B2870" s="376" t="s">
        <v>1609</v>
      </c>
      <c r="C2870" s="376" t="s">
        <v>628</v>
      </c>
      <c r="D2870" s="376">
        <v>2026</v>
      </c>
      <c r="E2870" s="376">
        <v>2026</v>
      </c>
      <c r="F2870" s="376">
        <v>0.28070162831646173</v>
      </c>
      <c r="G2870" s="376">
        <v>6454.3984013550207</v>
      </c>
      <c r="H2870" s="376">
        <v>0.26849060712278183</v>
      </c>
      <c r="I2870" s="376">
        <v>0.85</v>
      </c>
    </row>
    <row r="2871" spans="1:9" x14ac:dyDescent="0.35">
      <c r="A2871" s="376" t="s">
        <v>1614</v>
      </c>
      <c r="B2871" s="376" t="s">
        <v>1609</v>
      </c>
      <c r="C2871" s="376" t="s">
        <v>1051</v>
      </c>
      <c r="D2871" s="376">
        <v>2026</v>
      </c>
      <c r="E2871" s="376">
        <v>2026</v>
      </c>
      <c r="F2871" s="376">
        <v>0.28070162831646173</v>
      </c>
      <c r="G2871" s="376">
        <v>6454.3984013550207</v>
      </c>
      <c r="H2871" s="376">
        <v>0.26849060712278183</v>
      </c>
      <c r="I2871" s="376">
        <v>0.85</v>
      </c>
    </row>
    <row r="2872" spans="1:9" x14ac:dyDescent="0.35">
      <c r="A2872" s="376" t="s">
        <v>1614</v>
      </c>
      <c r="B2872" s="376" t="s">
        <v>1609</v>
      </c>
      <c r="C2872" s="376" t="s">
        <v>1054</v>
      </c>
      <c r="D2872" s="376">
        <v>2026</v>
      </c>
      <c r="E2872" s="376">
        <v>2026</v>
      </c>
      <c r="F2872" s="376">
        <v>0.28070162831646173</v>
      </c>
      <c r="G2872" s="376">
        <v>6454.3984013550207</v>
      </c>
      <c r="H2872" s="376">
        <v>0.26849060712278183</v>
      </c>
      <c r="I2872" s="376">
        <v>0.85</v>
      </c>
    </row>
    <row r="2873" spans="1:9" x14ac:dyDescent="0.35">
      <c r="A2873" s="376" t="s">
        <v>1614</v>
      </c>
      <c r="B2873" s="376" t="s">
        <v>1609</v>
      </c>
      <c r="C2873" s="376" t="s">
        <v>1046</v>
      </c>
      <c r="D2873" s="376">
        <v>2026</v>
      </c>
      <c r="E2873" s="376">
        <v>2027</v>
      </c>
      <c r="F2873" s="376">
        <v>0.28070162831646173</v>
      </c>
      <c r="G2873" s="376">
        <v>6454.3984013550207</v>
      </c>
      <c r="H2873" s="376">
        <v>0.26849060712278183</v>
      </c>
      <c r="I2873" s="376">
        <v>0.85</v>
      </c>
    </row>
    <row r="2874" spans="1:9" x14ac:dyDescent="0.35">
      <c r="A2874" s="376" t="s">
        <v>1614</v>
      </c>
      <c r="B2874" s="376" t="s">
        <v>1609</v>
      </c>
      <c r="C2874" s="376" t="s">
        <v>644</v>
      </c>
      <c r="D2874" s="376">
        <v>2026</v>
      </c>
      <c r="E2874" s="376">
        <v>2027</v>
      </c>
      <c r="F2874" s="376">
        <v>0.28070162831646173</v>
      </c>
      <c r="G2874" s="376">
        <v>6454.3984013550207</v>
      </c>
      <c r="H2874" s="376">
        <v>0.26849060712278183</v>
      </c>
      <c r="I2874" s="376">
        <v>0.85</v>
      </c>
    </row>
    <row r="2875" spans="1:9" x14ac:dyDescent="0.35">
      <c r="A2875" s="376" t="s">
        <v>1614</v>
      </c>
      <c r="B2875" s="376" t="s">
        <v>1609</v>
      </c>
      <c r="C2875" s="376" t="s">
        <v>628</v>
      </c>
      <c r="D2875" s="376">
        <v>2026</v>
      </c>
      <c r="E2875" s="376">
        <v>2027</v>
      </c>
      <c r="F2875" s="376">
        <v>0.28070162831646173</v>
      </c>
      <c r="G2875" s="376">
        <v>6454.3984013550207</v>
      </c>
      <c r="H2875" s="376">
        <v>0.26849060712278183</v>
      </c>
      <c r="I2875" s="376">
        <v>0.85</v>
      </c>
    </row>
    <row r="2876" spans="1:9" x14ac:dyDescent="0.35">
      <c r="A2876" s="376" t="s">
        <v>1614</v>
      </c>
      <c r="B2876" s="376" t="s">
        <v>1609</v>
      </c>
      <c r="C2876" s="376" t="s">
        <v>1051</v>
      </c>
      <c r="D2876" s="376">
        <v>2026</v>
      </c>
      <c r="E2876" s="376">
        <v>2027</v>
      </c>
      <c r="F2876" s="376">
        <v>0.28070162831646173</v>
      </c>
      <c r="G2876" s="376">
        <v>6454.3984013550207</v>
      </c>
      <c r="H2876" s="376">
        <v>0.26849060712278183</v>
      </c>
      <c r="I2876" s="376">
        <v>0.85</v>
      </c>
    </row>
    <row r="2877" spans="1:9" x14ac:dyDescent="0.35">
      <c r="A2877" s="376" t="s">
        <v>1614</v>
      </c>
      <c r="B2877" s="376" t="s">
        <v>1609</v>
      </c>
      <c r="C2877" s="376" t="s">
        <v>1054</v>
      </c>
      <c r="D2877" s="376">
        <v>2026</v>
      </c>
      <c r="E2877" s="376">
        <v>2027</v>
      </c>
      <c r="F2877" s="376">
        <v>0.28070162831646173</v>
      </c>
      <c r="G2877" s="376">
        <v>6454.3984013550207</v>
      </c>
      <c r="H2877" s="376">
        <v>0.26849060712278183</v>
      </c>
      <c r="I2877" s="376">
        <v>0.85</v>
      </c>
    </row>
    <row r="2878" spans="1:9" x14ac:dyDescent="0.35">
      <c r="A2878" s="376" t="s">
        <v>1614</v>
      </c>
      <c r="B2878" s="376" t="s">
        <v>1609</v>
      </c>
      <c r="C2878" s="376" t="s">
        <v>1046</v>
      </c>
      <c r="D2878" s="376">
        <v>2026</v>
      </c>
      <c r="E2878" s="376">
        <v>2028</v>
      </c>
      <c r="F2878" s="376">
        <v>0.28070162831646173</v>
      </c>
      <c r="G2878" s="376">
        <v>6454.3984013550207</v>
      </c>
      <c r="H2878" s="376">
        <v>0.26849060712278183</v>
      </c>
      <c r="I2878" s="376">
        <v>0.85</v>
      </c>
    </row>
    <row r="2879" spans="1:9" x14ac:dyDescent="0.35">
      <c r="A2879" s="376" t="s">
        <v>1614</v>
      </c>
      <c r="B2879" s="376" t="s">
        <v>1609</v>
      </c>
      <c r="C2879" s="376" t="s">
        <v>644</v>
      </c>
      <c r="D2879" s="376">
        <v>2026</v>
      </c>
      <c r="E2879" s="376">
        <v>2028</v>
      </c>
      <c r="F2879" s="376">
        <v>0.28070162831646173</v>
      </c>
      <c r="G2879" s="376">
        <v>6454.3984013550207</v>
      </c>
      <c r="H2879" s="376">
        <v>0.26849060712278183</v>
      </c>
      <c r="I2879" s="376">
        <v>0.85</v>
      </c>
    </row>
    <row r="2880" spans="1:9" x14ac:dyDescent="0.35">
      <c r="A2880" s="376" t="s">
        <v>1614</v>
      </c>
      <c r="B2880" s="376" t="s">
        <v>1609</v>
      </c>
      <c r="C2880" s="376" t="s">
        <v>628</v>
      </c>
      <c r="D2880" s="376">
        <v>2026</v>
      </c>
      <c r="E2880" s="376">
        <v>2028</v>
      </c>
      <c r="F2880" s="376">
        <v>0.28070162831646173</v>
      </c>
      <c r="G2880" s="376">
        <v>6454.3984013550207</v>
      </c>
      <c r="H2880" s="376">
        <v>0.26849060712278183</v>
      </c>
      <c r="I2880" s="376">
        <v>0.85</v>
      </c>
    </row>
    <row r="2881" spans="1:9" x14ac:dyDescent="0.35">
      <c r="A2881" s="376" t="s">
        <v>1614</v>
      </c>
      <c r="B2881" s="376" t="s">
        <v>1609</v>
      </c>
      <c r="C2881" s="376" t="s">
        <v>1051</v>
      </c>
      <c r="D2881" s="376">
        <v>2026</v>
      </c>
      <c r="E2881" s="376">
        <v>2028</v>
      </c>
      <c r="F2881" s="376">
        <v>0.28070162831646173</v>
      </c>
      <c r="G2881" s="376">
        <v>6454.3984013550207</v>
      </c>
      <c r="H2881" s="376">
        <v>0.26849060712278183</v>
      </c>
      <c r="I2881" s="376">
        <v>0.85</v>
      </c>
    </row>
    <row r="2882" spans="1:9" x14ac:dyDescent="0.35">
      <c r="A2882" s="376" t="s">
        <v>1614</v>
      </c>
      <c r="B2882" s="376" t="s">
        <v>1609</v>
      </c>
      <c r="C2882" s="376" t="s">
        <v>1054</v>
      </c>
      <c r="D2882" s="376">
        <v>2026</v>
      </c>
      <c r="E2882" s="376">
        <v>2028</v>
      </c>
      <c r="F2882" s="376">
        <v>0.28070162831646173</v>
      </c>
      <c r="G2882" s="376">
        <v>6454.3984013550207</v>
      </c>
      <c r="H2882" s="376">
        <v>0.26849060712278183</v>
      </c>
      <c r="I2882" s="376">
        <v>0.85</v>
      </c>
    </row>
    <row r="2883" spans="1:9" x14ac:dyDescent="0.35">
      <c r="A2883" s="376" t="s">
        <v>1614</v>
      </c>
      <c r="B2883" s="376" t="s">
        <v>1609</v>
      </c>
      <c r="C2883" s="376" t="s">
        <v>1046</v>
      </c>
      <c r="D2883" s="376">
        <v>2026</v>
      </c>
      <c r="E2883" s="376">
        <v>2029</v>
      </c>
      <c r="F2883" s="376">
        <v>0.28070162831646173</v>
      </c>
      <c r="G2883" s="376">
        <v>6454.3984013550207</v>
      </c>
      <c r="H2883" s="376">
        <v>0.26849060712278183</v>
      </c>
      <c r="I2883" s="376">
        <v>0.85</v>
      </c>
    </row>
    <row r="2884" spans="1:9" x14ac:dyDescent="0.35">
      <c r="A2884" s="376" t="s">
        <v>1614</v>
      </c>
      <c r="B2884" s="376" t="s">
        <v>1609</v>
      </c>
      <c r="C2884" s="376" t="s">
        <v>644</v>
      </c>
      <c r="D2884" s="376">
        <v>2026</v>
      </c>
      <c r="E2884" s="376">
        <v>2029</v>
      </c>
      <c r="F2884" s="376">
        <v>0.28070162831646173</v>
      </c>
      <c r="G2884" s="376">
        <v>6454.3984013550207</v>
      </c>
      <c r="H2884" s="376">
        <v>0.26849060712278183</v>
      </c>
      <c r="I2884" s="376">
        <v>0.85</v>
      </c>
    </row>
    <row r="2885" spans="1:9" x14ac:dyDescent="0.35">
      <c r="A2885" s="376" t="s">
        <v>1614</v>
      </c>
      <c r="B2885" s="376" t="s">
        <v>1609</v>
      </c>
      <c r="C2885" s="376" t="s">
        <v>628</v>
      </c>
      <c r="D2885" s="376">
        <v>2026</v>
      </c>
      <c r="E2885" s="376">
        <v>2029</v>
      </c>
      <c r="F2885" s="376">
        <v>0.28070162831646173</v>
      </c>
      <c r="G2885" s="376">
        <v>6454.3984013550207</v>
      </c>
      <c r="H2885" s="376">
        <v>0.26849060712278183</v>
      </c>
      <c r="I2885" s="376">
        <v>0.85</v>
      </c>
    </row>
    <row r="2886" spans="1:9" x14ac:dyDescent="0.35">
      <c r="A2886" s="376" t="s">
        <v>1614</v>
      </c>
      <c r="B2886" s="376" t="s">
        <v>1609</v>
      </c>
      <c r="C2886" s="376" t="s">
        <v>1051</v>
      </c>
      <c r="D2886" s="376">
        <v>2026</v>
      </c>
      <c r="E2886" s="376">
        <v>2029</v>
      </c>
      <c r="F2886" s="376">
        <v>0.28070162831646173</v>
      </c>
      <c r="G2886" s="376">
        <v>6454.3984013550207</v>
      </c>
      <c r="H2886" s="376">
        <v>0.26849060712278183</v>
      </c>
      <c r="I2886" s="376">
        <v>0.85</v>
      </c>
    </row>
    <row r="2887" spans="1:9" x14ac:dyDescent="0.35">
      <c r="A2887" s="376" t="s">
        <v>1614</v>
      </c>
      <c r="B2887" s="376" t="s">
        <v>1609</v>
      </c>
      <c r="C2887" s="376" t="s">
        <v>1054</v>
      </c>
      <c r="D2887" s="376">
        <v>2026</v>
      </c>
      <c r="E2887" s="376">
        <v>2029</v>
      </c>
      <c r="F2887" s="376">
        <v>0.28070162831646173</v>
      </c>
      <c r="G2887" s="376">
        <v>6454.3984013550207</v>
      </c>
      <c r="H2887" s="376">
        <v>0.26849060712278183</v>
      </c>
      <c r="I2887" s="376">
        <v>0.85</v>
      </c>
    </row>
    <row r="2888" spans="1:9" x14ac:dyDescent="0.35">
      <c r="A2888" s="376" t="s">
        <v>1614</v>
      </c>
      <c r="B2888" s="376" t="s">
        <v>1609</v>
      </c>
      <c r="C2888" s="376" t="s">
        <v>1046</v>
      </c>
      <c r="D2888" s="376">
        <v>2026</v>
      </c>
      <c r="E2888" s="376">
        <v>2030</v>
      </c>
      <c r="F2888" s="376">
        <v>0.28070162831646173</v>
      </c>
      <c r="G2888" s="376">
        <v>6454.3984013550207</v>
      </c>
      <c r="H2888" s="376">
        <v>0.26849060712278183</v>
      </c>
      <c r="I2888" s="376">
        <v>0.85</v>
      </c>
    </row>
    <row r="2889" spans="1:9" x14ac:dyDescent="0.35">
      <c r="A2889" s="376" t="s">
        <v>1614</v>
      </c>
      <c r="B2889" s="376" t="s">
        <v>1609</v>
      </c>
      <c r="C2889" s="376" t="s">
        <v>644</v>
      </c>
      <c r="D2889" s="376">
        <v>2026</v>
      </c>
      <c r="E2889" s="376">
        <v>2030</v>
      </c>
      <c r="F2889" s="376">
        <v>0.28070162831646173</v>
      </c>
      <c r="G2889" s="376">
        <v>6454.3984013550207</v>
      </c>
      <c r="H2889" s="376">
        <v>0.26849060712278183</v>
      </c>
      <c r="I2889" s="376">
        <v>0.85</v>
      </c>
    </row>
    <row r="2890" spans="1:9" x14ac:dyDescent="0.35">
      <c r="A2890" s="376" t="s">
        <v>1614</v>
      </c>
      <c r="B2890" s="376" t="s">
        <v>1609</v>
      </c>
      <c r="C2890" s="376" t="s">
        <v>628</v>
      </c>
      <c r="D2890" s="376">
        <v>2026</v>
      </c>
      <c r="E2890" s="376">
        <v>2030</v>
      </c>
      <c r="F2890" s="376">
        <v>0.28070162831646173</v>
      </c>
      <c r="G2890" s="376">
        <v>6454.3984013550207</v>
      </c>
      <c r="H2890" s="376">
        <v>0.26849060712278183</v>
      </c>
      <c r="I2890" s="376">
        <v>0.85</v>
      </c>
    </row>
    <row r="2891" spans="1:9" x14ac:dyDescent="0.35">
      <c r="A2891" s="376" t="s">
        <v>1614</v>
      </c>
      <c r="B2891" s="376" t="s">
        <v>1609</v>
      </c>
      <c r="C2891" s="376" t="s">
        <v>1051</v>
      </c>
      <c r="D2891" s="376">
        <v>2026</v>
      </c>
      <c r="E2891" s="376">
        <v>2030</v>
      </c>
      <c r="F2891" s="376">
        <v>0.28070162831646173</v>
      </c>
      <c r="G2891" s="376">
        <v>6454.3984013550207</v>
      </c>
      <c r="H2891" s="376">
        <v>0.26849060712278183</v>
      </c>
      <c r="I2891" s="376">
        <v>0.85</v>
      </c>
    </row>
    <row r="2892" spans="1:9" x14ac:dyDescent="0.35">
      <c r="A2892" s="376" t="s">
        <v>1614</v>
      </c>
      <c r="B2892" s="376" t="s">
        <v>1609</v>
      </c>
      <c r="C2892" s="376" t="s">
        <v>1054</v>
      </c>
      <c r="D2892" s="376">
        <v>2026</v>
      </c>
      <c r="E2892" s="376">
        <v>2030</v>
      </c>
      <c r="F2892" s="376">
        <v>0.28070162831646173</v>
      </c>
      <c r="G2892" s="376">
        <v>6454.3984013550207</v>
      </c>
      <c r="H2892" s="376">
        <v>0.26849060712278183</v>
      </c>
      <c r="I2892" s="376">
        <v>0.85</v>
      </c>
    </row>
    <row r="2893" spans="1:9" x14ac:dyDescent="0.35">
      <c r="A2893" s="376" t="s">
        <v>1614</v>
      </c>
      <c r="B2893" s="376" t="s">
        <v>1609</v>
      </c>
      <c r="C2893" s="376" t="s">
        <v>1046</v>
      </c>
      <c r="D2893" s="376">
        <v>2026</v>
      </c>
      <c r="E2893" s="376">
        <v>2031</v>
      </c>
      <c r="F2893" s="376">
        <v>0.28070162831646173</v>
      </c>
      <c r="G2893" s="376">
        <v>6454.3984013550207</v>
      </c>
      <c r="H2893" s="376">
        <v>0.26849060712278183</v>
      </c>
      <c r="I2893" s="376">
        <v>0.85</v>
      </c>
    </row>
    <row r="2894" spans="1:9" x14ac:dyDescent="0.35">
      <c r="A2894" s="376" t="s">
        <v>1614</v>
      </c>
      <c r="B2894" s="376" t="s">
        <v>1609</v>
      </c>
      <c r="C2894" s="376" t="s">
        <v>644</v>
      </c>
      <c r="D2894" s="376">
        <v>2026</v>
      </c>
      <c r="E2894" s="376">
        <v>2031</v>
      </c>
      <c r="F2894" s="376">
        <v>0.28070162831646173</v>
      </c>
      <c r="G2894" s="376">
        <v>6454.3984013550207</v>
      </c>
      <c r="H2894" s="376">
        <v>0.26849060712278183</v>
      </c>
      <c r="I2894" s="376">
        <v>0.85</v>
      </c>
    </row>
    <row r="2895" spans="1:9" x14ac:dyDescent="0.35">
      <c r="A2895" s="376" t="s">
        <v>1614</v>
      </c>
      <c r="B2895" s="376" t="s">
        <v>1609</v>
      </c>
      <c r="C2895" s="376" t="s">
        <v>628</v>
      </c>
      <c r="D2895" s="376">
        <v>2026</v>
      </c>
      <c r="E2895" s="376">
        <v>2031</v>
      </c>
      <c r="F2895" s="376">
        <v>0.28070162831646173</v>
      </c>
      <c r="G2895" s="376">
        <v>6454.3984013550207</v>
      </c>
      <c r="H2895" s="376">
        <v>0.26849060712278183</v>
      </c>
      <c r="I2895" s="376">
        <v>0.85</v>
      </c>
    </row>
    <row r="2896" spans="1:9" x14ac:dyDescent="0.35">
      <c r="A2896" s="376" t="s">
        <v>1614</v>
      </c>
      <c r="B2896" s="376" t="s">
        <v>1609</v>
      </c>
      <c r="C2896" s="376" t="s">
        <v>1051</v>
      </c>
      <c r="D2896" s="376">
        <v>2026</v>
      </c>
      <c r="E2896" s="376">
        <v>2031</v>
      </c>
      <c r="F2896" s="376">
        <v>0.28070162831646173</v>
      </c>
      <c r="G2896" s="376">
        <v>6454.3984013550207</v>
      </c>
      <c r="H2896" s="376">
        <v>0.26849060712278183</v>
      </c>
      <c r="I2896" s="376">
        <v>0.85</v>
      </c>
    </row>
    <row r="2897" spans="1:9" x14ac:dyDescent="0.35">
      <c r="A2897" s="376" t="s">
        <v>1614</v>
      </c>
      <c r="B2897" s="376" t="s">
        <v>1609</v>
      </c>
      <c r="C2897" s="376" t="s">
        <v>1054</v>
      </c>
      <c r="D2897" s="376">
        <v>2026</v>
      </c>
      <c r="E2897" s="376">
        <v>2031</v>
      </c>
      <c r="F2897" s="376">
        <v>0.28070162831646173</v>
      </c>
      <c r="G2897" s="376">
        <v>6454.3984013550207</v>
      </c>
      <c r="H2897" s="376">
        <v>0.26849060712278183</v>
      </c>
      <c r="I2897" s="376">
        <v>0.85</v>
      </c>
    </row>
    <row r="2898" spans="1:9" x14ac:dyDescent="0.35">
      <c r="A2898" s="376" t="s">
        <v>1604</v>
      </c>
      <c r="B2898" s="376" t="s">
        <v>1609</v>
      </c>
      <c r="C2898" s="376" t="s">
        <v>1046</v>
      </c>
      <c r="D2898" s="376">
        <v>2026</v>
      </c>
      <c r="E2898" s="376">
        <v>2026</v>
      </c>
      <c r="F2898" s="376">
        <v>1</v>
      </c>
      <c r="G2898" s="376">
        <v>10872.741503138899</v>
      </c>
      <c r="H2898" s="376">
        <v>0</v>
      </c>
      <c r="I2898" s="376">
        <v>1</v>
      </c>
    </row>
    <row r="2899" spans="1:9" x14ac:dyDescent="0.35">
      <c r="A2899" s="376" t="s">
        <v>1604</v>
      </c>
      <c r="B2899" s="376" t="s">
        <v>1609</v>
      </c>
      <c r="C2899" s="376" t="s">
        <v>644</v>
      </c>
      <c r="D2899" s="376">
        <v>2026</v>
      </c>
      <c r="E2899" s="376">
        <v>2026</v>
      </c>
      <c r="F2899" s="376">
        <v>1</v>
      </c>
      <c r="G2899" s="376">
        <v>10872.741503138899</v>
      </c>
      <c r="H2899" s="376">
        <v>0</v>
      </c>
      <c r="I2899" s="376">
        <v>1</v>
      </c>
    </row>
    <row r="2900" spans="1:9" x14ac:dyDescent="0.35">
      <c r="A2900" s="376" t="s">
        <v>1604</v>
      </c>
      <c r="B2900" s="376" t="s">
        <v>1609</v>
      </c>
      <c r="C2900" s="376" t="s">
        <v>628</v>
      </c>
      <c r="D2900" s="376">
        <v>2026</v>
      </c>
      <c r="E2900" s="376">
        <v>2026</v>
      </c>
      <c r="F2900" s="376">
        <v>1</v>
      </c>
      <c r="G2900" s="376">
        <v>10872.741503138899</v>
      </c>
      <c r="H2900" s="376">
        <v>0</v>
      </c>
      <c r="I2900" s="376">
        <v>1</v>
      </c>
    </row>
    <row r="2901" spans="1:9" x14ac:dyDescent="0.35">
      <c r="A2901" s="376" t="s">
        <v>1604</v>
      </c>
      <c r="B2901" s="376" t="s">
        <v>1609</v>
      </c>
      <c r="C2901" s="376" t="s">
        <v>1051</v>
      </c>
      <c r="D2901" s="376">
        <v>2026</v>
      </c>
      <c r="E2901" s="376">
        <v>2026</v>
      </c>
      <c r="F2901" s="376">
        <v>1</v>
      </c>
      <c r="G2901" s="376">
        <v>10872.741503138899</v>
      </c>
      <c r="H2901" s="376">
        <v>0</v>
      </c>
      <c r="I2901" s="376">
        <v>1</v>
      </c>
    </row>
    <row r="2902" spans="1:9" x14ac:dyDescent="0.35">
      <c r="A2902" s="376" t="s">
        <v>1604</v>
      </c>
      <c r="B2902" s="376" t="s">
        <v>1609</v>
      </c>
      <c r="C2902" s="376" t="s">
        <v>1054</v>
      </c>
      <c r="D2902" s="376">
        <v>2026</v>
      </c>
      <c r="E2902" s="376">
        <v>2026</v>
      </c>
      <c r="F2902" s="376">
        <v>1</v>
      </c>
      <c r="G2902" s="376">
        <v>10872.741503138899</v>
      </c>
      <c r="H2902" s="376">
        <v>0</v>
      </c>
      <c r="I2902" s="376">
        <v>1</v>
      </c>
    </row>
    <row r="2903" spans="1:9" x14ac:dyDescent="0.35">
      <c r="A2903" s="376" t="s">
        <v>1604</v>
      </c>
      <c r="B2903" s="376" t="s">
        <v>1609</v>
      </c>
      <c r="C2903" s="376" t="s">
        <v>1046</v>
      </c>
      <c r="D2903" s="376">
        <v>2026</v>
      </c>
      <c r="E2903" s="376">
        <v>2027</v>
      </c>
      <c r="F2903" s="376">
        <v>1</v>
      </c>
      <c r="G2903" s="376">
        <v>10872.741503138899</v>
      </c>
      <c r="H2903" s="376">
        <v>0</v>
      </c>
      <c r="I2903" s="376">
        <v>1</v>
      </c>
    </row>
    <row r="2904" spans="1:9" x14ac:dyDescent="0.35">
      <c r="A2904" s="376" t="s">
        <v>1604</v>
      </c>
      <c r="B2904" s="376" t="s">
        <v>1609</v>
      </c>
      <c r="C2904" s="376" t="s">
        <v>644</v>
      </c>
      <c r="D2904" s="376">
        <v>2026</v>
      </c>
      <c r="E2904" s="376">
        <v>2027</v>
      </c>
      <c r="F2904" s="376">
        <v>1</v>
      </c>
      <c r="G2904" s="376">
        <v>10872.741503138899</v>
      </c>
      <c r="H2904" s="376">
        <v>0</v>
      </c>
      <c r="I2904" s="376">
        <v>1</v>
      </c>
    </row>
    <row r="2905" spans="1:9" x14ac:dyDescent="0.35">
      <c r="A2905" s="376" t="s">
        <v>1604</v>
      </c>
      <c r="B2905" s="376" t="s">
        <v>1609</v>
      </c>
      <c r="C2905" s="376" t="s">
        <v>628</v>
      </c>
      <c r="D2905" s="376">
        <v>2026</v>
      </c>
      <c r="E2905" s="376">
        <v>2027</v>
      </c>
      <c r="F2905" s="376">
        <v>1</v>
      </c>
      <c r="G2905" s="376">
        <v>10872.741503138899</v>
      </c>
      <c r="H2905" s="376">
        <v>0</v>
      </c>
      <c r="I2905" s="376">
        <v>1</v>
      </c>
    </row>
    <row r="2906" spans="1:9" x14ac:dyDescent="0.35">
      <c r="A2906" s="376" t="s">
        <v>1604</v>
      </c>
      <c r="B2906" s="376" t="s">
        <v>1609</v>
      </c>
      <c r="C2906" s="376" t="s">
        <v>1051</v>
      </c>
      <c r="D2906" s="376">
        <v>2026</v>
      </c>
      <c r="E2906" s="376">
        <v>2027</v>
      </c>
      <c r="F2906" s="376">
        <v>1</v>
      </c>
      <c r="G2906" s="376">
        <v>10872.741503138899</v>
      </c>
      <c r="H2906" s="376">
        <v>0</v>
      </c>
      <c r="I2906" s="376">
        <v>1</v>
      </c>
    </row>
    <row r="2907" spans="1:9" x14ac:dyDescent="0.35">
      <c r="A2907" s="376" t="s">
        <v>1604</v>
      </c>
      <c r="B2907" s="376" t="s">
        <v>1609</v>
      </c>
      <c r="C2907" s="376" t="s">
        <v>1054</v>
      </c>
      <c r="D2907" s="376">
        <v>2026</v>
      </c>
      <c r="E2907" s="376">
        <v>2027</v>
      </c>
      <c r="F2907" s="376">
        <v>1</v>
      </c>
      <c r="G2907" s="376">
        <v>10872.741503138899</v>
      </c>
      <c r="H2907" s="376">
        <v>0</v>
      </c>
      <c r="I2907" s="376">
        <v>1</v>
      </c>
    </row>
    <row r="2908" spans="1:9" x14ac:dyDescent="0.35">
      <c r="A2908" s="376" t="s">
        <v>1604</v>
      </c>
      <c r="B2908" s="376" t="s">
        <v>1609</v>
      </c>
      <c r="C2908" s="376" t="s">
        <v>1046</v>
      </c>
      <c r="D2908" s="376">
        <v>2026</v>
      </c>
      <c r="E2908" s="376">
        <v>2028</v>
      </c>
      <c r="F2908" s="376">
        <v>1</v>
      </c>
      <c r="G2908" s="376">
        <v>10872.741503138899</v>
      </c>
      <c r="H2908" s="376">
        <v>0</v>
      </c>
      <c r="I2908" s="376">
        <v>1</v>
      </c>
    </row>
    <row r="2909" spans="1:9" x14ac:dyDescent="0.35">
      <c r="A2909" s="376" t="s">
        <v>1604</v>
      </c>
      <c r="B2909" s="376" t="s">
        <v>1609</v>
      </c>
      <c r="C2909" s="376" t="s">
        <v>644</v>
      </c>
      <c r="D2909" s="376">
        <v>2026</v>
      </c>
      <c r="E2909" s="376">
        <v>2028</v>
      </c>
      <c r="F2909" s="376">
        <v>1</v>
      </c>
      <c r="G2909" s="376">
        <v>10872.741503138899</v>
      </c>
      <c r="H2909" s="376">
        <v>0</v>
      </c>
      <c r="I2909" s="376">
        <v>1</v>
      </c>
    </row>
    <row r="2910" spans="1:9" x14ac:dyDescent="0.35">
      <c r="A2910" s="376" t="s">
        <v>1604</v>
      </c>
      <c r="B2910" s="376" t="s">
        <v>1609</v>
      </c>
      <c r="C2910" s="376" t="s">
        <v>628</v>
      </c>
      <c r="D2910" s="376">
        <v>2026</v>
      </c>
      <c r="E2910" s="376">
        <v>2028</v>
      </c>
      <c r="F2910" s="376">
        <v>1</v>
      </c>
      <c r="G2910" s="376">
        <v>10872.741503138899</v>
      </c>
      <c r="H2910" s="376">
        <v>0</v>
      </c>
      <c r="I2910" s="376">
        <v>1</v>
      </c>
    </row>
    <row r="2911" spans="1:9" x14ac:dyDescent="0.35">
      <c r="A2911" s="376" t="s">
        <v>1604</v>
      </c>
      <c r="B2911" s="376" t="s">
        <v>1609</v>
      </c>
      <c r="C2911" s="376" t="s">
        <v>1051</v>
      </c>
      <c r="D2911" s="376">
        <v>2026</v>
      </c>
      <c r="E2911" s="376">
        <v>2028</v>
      </c>
      <c r="F2911" s="376">
        <v>1</v>
      </c>
      <c r="G2911" s="376">
        <v>10872.741503138899</v>
      </c>
      <c r="H2911" s="376">
        <v>0</v>
      </c>
      <c r="I2911" s="376">
        <v>1</v>
      </c>
    </row>
    <row r="2912" spans="1:9" x14ac:dyDescent="0.35">
      <c r="A2912" s="376" t="s">
        <v>1604</v>
      </c>
      <c r="B2912" s="376" t="s">
        <v>1609</v>
      </c>
      <c r="C2912" s="376" t="s">
        <v>1054</v>
      </c>
      <c r="D2912" s="376">
        <v>2026</v>
      </c>
      <c r="E2912" s="376">
        <v>2028</v>
      </c>
      <c r="F2912" s="376">
        <v>1</v>
      </c>
      <c r="G2912" s="376">
        <v>10872.741503138899</v>
      </c>
      <c r="H2912" s="376">
        <v>0</v>
      </c>
      <c r="I2912" s="376">
        <v>1</v>
      </c>
    </row>
    <row r="2913" spans="1:9" x14ac:dyDescent="0.35">
      <c r="A2913" s="376" t="s">
        <v>1604</v>
      </c>
      <c r="B2913" s="376" t="s">
        <v>1609</v>
      </c>
      <c r="C2913" s="376" t="s">
        <v>1046</v>
      </c>
      <c r="D2913" s="376">
        <v>2026</v>
      </c>
      <c r="E2913" s="376">
        <v>2029</v>
      </c>
      <c r="F2913" s="376">
        <v>1</v>
      </c>
      <c r="G2913" s="376">
        <v>10872.741503138899</v>
      </c>
      <c r="H2913" s="376">
        <v>0</v>
      </c>
      <c r="I2913" s="376">
        <v>1</v>
      </c>
    </row>
    <row r="2914" spans="1:9" x14ac:dyDescent="0.35">
      <c r="A2914" s="376" t="s">
        <v>1604</v>
      </c>
      <c r="B2914" s="376" t="s">
        <v>1609</v>
      </c>
      <c r="C2914" s="376" t="s">
        <v>644</v>
      </c>
      <c r="D2914" s="376">
        <v>2026</v>
      </c>
      <c r="E2914" s="376">
        <v>2029</v>
      </c>
      <c r="F2914" s="376">
        <v>1</v>
      </c>
      <c r="G2914" s="376">
        <v>10872.741503138899</v>
      </c>
      <c r="H2914" s="376">
        <v>0</v>
      </c>
      <c r="I2914" s="376">
        <v>1</v>
      </c>
    </row>
    <row r="2915" spans="1:9" x14ac:dyDescent="0.35">
      <c r="A2915" s="376" t="s">
        <v>1604</v>
      </c>
      <c r="B2915" s="376" t="s">
        <v>1609</v>
      </c>
      <c r="C2915" s="376" t="s">
        <v>628</v>
      </c>
      <c r="D2915" s="376">
        <v>2026</v>
      </c>
      <c r="E2915" s="376">
        <v>2029</v>
      </c>
      <c r="F2915" s="376">
        <v>1</v>
      </c>
      <c r="G2915" s="376">
        <v>10872.741503138899</v>
      </c>
      <c r="H2915" s="376">
        <v>0</v>
      </c>
      <c r="I2915" s="376">
        <v>1</v>
      </c>
    </row>
    <row r="2916" spans="1:9" x14ac:dyDescent="0.35">
      <c r="A2916" s="376" t="s">
        <v>1604</v>
      </c>
      <c r="B2916" s="376" t="s">
        <v>1609</v>
      </c>
      <c r="C2916" s="376" t="s">
        <v>1051</v>
      </c>
      <c r="D2916" s="376">
        <v>2026</v>
      </c>
      <c r="E2916" s="376">
        <v>2029</v>
      </c>
      <c r="F2916" s="376">
        <v>1</v>
      </c>
      <c r="G2916" s="376">
        <v>10872.741503138899</v>
      </c>
      <c r="H2916" s="376">
        <v>0</v>
      </c>
      <c r="I2916" s="376">
        <v>1</v>
      </c>
    </row>
    <row r="2917" spans="1:9" x14ac:dyDescent="0.35">
      <c r="A2917" s="376" t="s">
        <v>1604</v>
      </c>
      <c r="B2917" s="376" t="s">
        <v>1609</v>
      </c>
      <c r="C2917" s="376" t="s">
        <v>1054</v>
      </c>
      <c r="D2917" s="376">
        <v>2026</v>
      </c>
      <c r="E2917" s="376">
        <v>2029</v>
      </c>
      <c r="F2917" s="376">
        <v>1</v>
      </c>
      <c r="G2917" s="376">
        <v>10872.741503138899</v>
      </c>
      <c r="H2917" s="376">
        <v>0</v>
      </c>
      <c r="I2917" s="376">
        <v>1</v>
      </c>
    </row>
    <row r="2918" spans="1:9" x14ac:dyDescent="0.35">
      <c r="A2918" s="376" t="s">
        <v>1604</v>
      </c>
      <c r="B2918" s="376" t="s">
        <v>1609</v>
      </c>
      <c r="C2918" s="376" t="s">
        <v>1046</v>
      </c>
      <c r="D2918" s="376">
        <v>2026</v>
      </c>
      <c r="E2918" s="376">
        <v>2030</v>
      </c>
      <c r="F2918" s="376">
        <v>1</v>
      </c>
      <c r="G2918" s="376">
        <v>10872.741503138899</v>
      </c>
      <c r="H2918" s="376">
        <v>0</v>
      </c>
      <c r="I2918" s="376">
        <v>1</v>
      </c>
    </row>
    <row r="2919" spans="1:9" x14ac:dyDescent="0.35">
      <c r="A2919" s="376" t="s">
        <v>1604</v>
      </c>
      <c r="B2919" s="376" t="s">
        <v>1609</v>
      </c>
      <c r="C2919" s="376" t="s">
        <v>644</v>
      </c>
      <c r="D2919" s="376">
        <v>2026</v>
      </c>
      <c r="E2919" s="376">
        <v>2030</v>
      </c>
      <c r="F2919" s="376">
        <v>1</v>
      </c>
      <c r="G2919" s="376">
        <v>10872.741503138899</v>
      </c>
      <c r="H2919" s="376">
        <v>0</v>
      </c>
      <c r="I2919" s="376">
        <v>1</v>
      </c>
    </row>
    <row r="2920" spans="1:9" x14ac:dyDescent="0.35">
      <c r="A2920" s="376" t="s">
        <v>1604</v>
      </c>
      <c r="B2920" s="376" t="s">
        <v>1609</v>
      </c>
      <c r="C2920" s="376" t="s">
        <v>628</v>
      </c>
      <c r="D2920" s="376">
        <v>2026</v>
      </c>
      <c r="E2920" s="376">
        <v>2030</v>
      </c>
      <c r="F2920" s="376">
        <v>1</v>
      </c>
      <c r="G2920" s="376">
        <v>10872.741503138899</v>
      </c>
      <c r="H2920" s="376">
        <v>0</v>
      </c>
      <c r="I2920" s="376">
        <v>1</v>
      </c>
    </row>
    <row r="2921" spans="1:9" x14ac:dyDescent="0.35">
      <c r="A2921" s="376" t="s">
        <v>1604</v>
      </c>
      <c r="B2921" s="376" t="s">
        <v>1609</v>
      </c>
      <c r="C2921" s="376" t="s">
        <v>1051</v>
      </c>
      <c r="D2921" s="376">
        <v>2026</v>
      </c>
      <c r="E2921" s="376">
        <v>2030</v>
      </c>
      <c r="F2921" s="376">
        <v>1</v>
      </c>
      <c r="G2921" s="376">
        <v>10872.741503138899</v>
      </c>
      <c r="H2921" s="376">
        <v>0</v>
      </c>
      <c r="I2921" s="376">
        <v>1</v>
      </c>
    </row>
    <row r="2922" spans="1:9" x14ac:dyDescent="0.35">
      <c r="A2922" s="376" t="s">
        <v>1604</v>
      </c>
      <c r="B2922" s="376" t="s">
        <v>1609</v>
      </c>
      <c r="C2922" s="376" t="s">
        <v>1054</v>
      </c>
      <c r="D2922" s="376">
        <v>2026</v>
      </c>
      <c r="E2922" s="376">
        <v>2030</v>
      </c>
      <c r="F2922" s="376">
        <v>1</v>
      </c>
      <c r="G2922" s="376">
        <v>10872.741503138899</v>
      </c>
      <c r="H2922" s="376">
        <v>0</v>
      </c>
      <c r="I2922" s="376">
        <v>1</v>
      </c>
    </row>
    <row r="2923" spans="1:9" x14ac:dyDescent="0.35">
      <c r="A2923" s="376" t="s">
        <v>1604</v>
      </c>
      <c r="B2923" s="376" t="s">
        <v>1609</v>
      </c>
      <c r="C2923" s="376" t="s">
        <v>1046</v>
      </c>
      <c r="D2923" s="376">
        <v>2026</v>
      </c>
      <c r="E2923" s="376">
        <v>2031</v>
      </c>
      <c r="F2923" s="376">
        <v>1</v>
      </c>
      <c r="G2923" s="376">
        <v>10872.741503138899</v>
      </c>
      <c r="H2923" s="376">
        <v>0</v>
      </c>
      <c r="I2923" s="376">
        <v>1</v>
      </c>
    </row>
    <row r="2924" spans="1:9" x14ac:dyDescent="0.35">
      <c r="A2924" s="376" t="s">
        <v>1604</v>
      </c>
      <c r="B2924" s="376" t="s">
        <v>1609</v>
      </c>
      <c r="C2924" s="376" t="s">
        <v>644</v>
      </c>
      <c r="D2924" s="376">
        <v>2026</v>
      </c>
      <c r="E2924" s="376">
        <v>2031</v>
      </c>
      <c r="F2924" s="376">
        <v>1</v>
      </c>
      <c r="G2924" s="376">
        <v>10872.741503138899</v>
      </c>
      <c r="H2924" s="376">
        <v>0</v>
      </c>
      <c r="I2924" s="376">
        <v>1</v>
      </c>
    </row>
    <row r="2925" spans="1:9" x14ac:dyDescent="0.35">
      <c r="A2925" s="376" t="s">
        <v>1604</v>
      </c>
      <c r="B2925" s="376" t="s">
        <v>1609</v>
      </c>
      <c r="C2925" s="376" t="s">
        <v>628</v>
      </c>
      <c r="D2925" s="376">
        <v>2026</v>
      </c>
      <c r="E2925" s="376">
        <v>2031</v>
      </c>
      <c r="F2925" s="376">
        <v>1</v>
      </c>
      <c r="G2925" s="376">
        <v>10872.741503138899</v>
      </c>
      <c r="H2925" s="376">
        <v>0</v>
      </c>
      <c r="I2925" s="376">
        <v>1</v>
      </c>
    </row>
    <row r="2926" spans="1:9" x14ac:dyDescent="0.35">
      <c r="A2926" s="376" t="s">
        <v>1604</v>
      </c>
      <c r="B2926" s="376" t="s">
        <v>1609</v>
      </c>
      <c r="C2926" s="376" t="s">
        <v>1051</v>
      </c>
      <c r="D2926" s="376">
        <v>2026</v>
      </c>
      <c r="E2926" s="376">
        <v>2031</v>
      </c>
      <c r="F2926" s="376">
        <v>1</v>
      </c>
      <c r="G2926" s="376">
        <v>10872.741503138899</v>
      </c>
      <c r="H2926" s="376">
        <v>0</v>
      </c>
      <c r="I2926" s="376">
        <v>1</v>
      </c>
    </row>
    <row r="2927" spans="1:9" x14ac:dyDescent="0.35">
      <c r="A2927" s="376" t="s">
        <v>1604</v>
      </c>
      <c r="B2927" s="376" t="s">
        <v>1609</v>
      </c>
      <c r="C2927" s="376" t="s">
        <v>1054</v>
      </c>
      <c r="D2927" s="376">
        <v>2026</v>
      </c>
      <c r="E2927" s="376">
        <v>2031</v>
      </c>
      <c r="F2927" s="376">
        <v>1</v>
      </c>
      <c r="G2927" s="376">
        <v>10872.741503138899</v>
      </c>
      <c r="H2927" s="376">
        <v>0</v>
      </c>
      <c r="I2927" s="376">
        <v>1</v>
      </c>
    </row>
    <row r="2928" spans="1:9" x14ac:dyDescent="0.35">
      <c r="A2928" s="376" t="s">
        <v>1615</v>
      </c>
      <c r="B2928" s="376" t="s">
        <v>1609</v>
      </c>
      <c r="C2928" s="376" t="s">
        <v>1046</v>
      </c>
      <c r="D2928" s="376">
        <v>2026</v>
      </c>
      <c r="E2928" s="376">
        <v>2026</v>
      </c>
      <c r="F2928" s="376">
        <v>1</v>
      </c>
      <c r="G2928" s="376">
        <v>20148.813739673951</v>
      </c>
      <c r="H2928" s="376">
        <v>0</v>
      </c>
      <c r="I2928" s="376">
        <v>0.65716939790195539</v>
      </c>
    </row>
    <row r="2929" spans="1:9" x14ac:dyDescent="0.35">
      <c r="A2929" s="376" t="s">
        <v>1615</v>
      </c>
      <c r="B2929" s="376" t="s">
        <v>1609</v>
      </c>
      <c r="C2929" s="376" t="s">
        <v>644</v>
      </c>
      <c r="D2929" s="376">
        <v>2026</v>
      </c>
      <c r="E2929" s="376">
        <v>2026</v>
      </c>
      <c r="F2929" s="376">
        <v>1</v>
      </c>
      <c r="G2929" s="376">
        <v>20148.813739673951</v>
      </c>
      <c r="H2929" s="376">
        <v>0</v>
      </c>
      <c r="I2929" s="376">
        <v>0.65716939790195539</v>
      </c>
    </row>
    <row r="2930" spans="1:9" x14ac:dyDescent="0.35">
      <c r="A2930" s="376" t="s">
        <v>1615</v>
      </c>
      <c r="B2930" s="376" t="s">
        <v>1609</v>
      </c>
      <c r="C2930" s="376" t="s">
        <v>628</v>
      </c>
      <c r="D2930" s="376">
        <v>2026</v>
      </c>
      <c r="E2930" s="376">
        <v>2026</v>
      </c>
      <c r="F2930" s="376">
        <v>1</v>
      </c>
      <c r="G2930" s="376">
        <v>20148.813739673951</v>
      </c>
      <c r="H2930" s="376">
        <v>0</v>
      </c>
      <c r="I2930" s="376">
        <v>0.65716939790195539</v>
      </c>
    </row>
    <row r="2931" spans="1:9" x14ac:dyDescent="0.35">
      <c r="A2931" s="376" t="s">
        <v>1615</v>
      </c>
      <c r="B2931" s="376" t="s">
        <v>1609</v>
      </c>
      <c r="C2931" s="376" t="s">
        <v>1051</v>
      </c>
      <c r="D2931" s="376">
        <v>2026</v>
      </c>
      <c r="E2931" s="376">
        <v>2026</v>
      </c>
      <c r="F2931" s="376">
        <v>1</v>
      </c>
      <c r="G2931" s="376">
        <v>20148.813739673951</v>
      </c>
      <c r="H2931" s="376">
        <v>0</v>
      </c>
      <c r="I2931" s="376">
        <v>0.65716939790195539</v>
      </c>
    </row>
    <row r="2932" spans="1:9" x14ac:dyDescent="0.35">
      <c r="A2932" s="376" t="s">
        <v>1615</v>
      </c>
      <c r="B2932" s="376" t="s">
        <v>1609</v>
      </c>
      <c r="C2932" s="376" t="s">
        <v>1054</v>
      </c>
      <c r="D2932" s="376">
        <v>2026</v>
      </c>
      <c r="E2932" s="376">
        <v>2026</v>
      </c>
      <c r="F2932" s="376">
        <v>1</v>
      </c>
      <c r="G2932" s="376">
        <v>20148.813739673951</v>
      </c>
      <c r="H2932" s="376">
        <v>0</v>
      </c>
      <c r="I2932" s="376">
        <v>0.65716939790195539</v>
      </c>
    </row>
    <row r="2933" spans="1:9" x14ac:dyDescent="0.35">
      <c r="A2933" s="376" t="s">
        <v>1615</v>
      </c>
      <c r="B2933" s="376" t="s">
        <v>1609</v>
      </c>
      <c r="C2933" s="376" t="s">
        <v>1046</v>
      </c>
      <c r="D2933" s="376">
        <v>2026</v>
      </c>
      <c r="E2933" s="376">
        <v>2027</v>
      </c>
      <c r="F2933" s="376">
        <v>1</v>
      </c>
      <c r="G2933" s="376">
        <v>20148.813739673951</v>
      </c>
      <c r="H2933" s="376">
        <v>0</v>
      </c>
      <c r="I2933" s="376">
        <v>0.65716939790195539</v>
      </c>
    </row>
    <row r="2934" spans="1:9" x14ac:dyDescent="0.35">
      <c r="A2934" s="376" t="s">
        <v>1615</v>
      </c>
      <c r="B2934" s="376" t="s">
        <v>1609</v>
      </c>
      <c r="C2934" s="376" t="s">
        <v>644</v>
      </c>
      <c r="D2934" s="376">
        <v>2026</v>
      </c>
      <c r="E2934" s="376">
        <v>2027</v>
      </c>
      <c r="F2934" s="376">
        <v>1</v>
      </c>
      <c r="G2934" s="376">
        <v>20148.813739673951</v>
      </c>
      <c r="H2934" s="376">
        <v>0</v>
      </c>
      <c r="I2934" s="376">
        <v>0.65716939790195539</v>
      </c>
    </row>
    <row r="2935" spans="1:9" x14ac:dyDescent="0.35">
      <c r="A2935" s="376" t="s">
        <v>1615</v>
      </c>
      <c r="B2935" s="376" t="s">
        <v>1609</v>
      </c>
      <c r="C2935" s="376" t="s">
        <v>628</v>
      </c>
      <c r="D2935" s="376">
        <v>2026</v>
      </c>
      <c r="E2935" s="376">
        <v>2027</v>
      </c>
      <c r="F2935" s="376">
        <v>1</v>
      </c>
      <c r="G2935" s="376">
        <v>20148.813739673951</v>
      </c>
      <c r="H2935" s="376">
        <v>0</v>
      </c>
      <c r="I2935" s="376">
        <v>0.65716939790195539</v>
      </c>
    </row>
    <row r="2936" spans="1:9" x14ac:dyDescent="0.35">
      <c r="A2936" s="376" t="s">
        <v>1615</v>
      </c>
      <c r="B2936" s="376" t="s">
        <v>1609</v>
      </c>
      <c r="C2936" s="376" t="s">
        <v>1051</v>
      </c>
      <c r="D2936" s="376">
        <v>2026</v>
      </c>
      <c r="E2936" s="376">
        <v>2027</v>
      </c>
      <c r="F2936" s="376">
        <v>1</v>
      </c>
      <c r="G2936" s="376">
        <v>20148.813739673951</v>
      </c>
      <c r="H2936" s="376">
        <v>0</v>
      </c>
      <c r="I2936" s="376">
        <v>0.65716939790195539</v>
      </c>
    </row>
    <row r="2937" spans="1:9" x14ac:dyDescent="0.35">
      <c r="A2937" s="376" t="s">
        <v>1615</v>
      </c>
      <c r="B2937" s="376" t="s">
        <v>1609</v>
      </c>
      <c r="C2937" s="376" t="s">
        <v>1054</v>
      </c>
      <c r="D2937" s="376">
        <v>2026</v>
      </c>
      <c r="E2937" s="376">
        <v>2027</v>
      </c>
      <c r="F2937" s="376">
        <v>1</v>
      </c>
      <c r="G2937" s="376">
        <v>20148.813739673951</v>
      </c>
      <c r="H2937" s="376">
        <v>0</v>
      </c>
      <c r="I2937" s="376">
        <v>0.65716939790195539</v>
      </c>
    </row>
    <row r="2938" spans="1:9" x14ac:dyDescent="0.35">
      <c r="A2938" s="376" t="s">
        <v>1615</v>
      </c>
      <c r="B2938" s="376" t="s">
        <v>1609</v>
      </c>
      <c r="C2938" s="376" t="s">
        <v>1046</v>
      </c>
      <c r="D2938" s="376">
        <v>2026</v>
      </c>
      <c r="E2938" s="376">
        <v>2028</v>
      </c>
      <c r="F2938" s="376">
        <v>1</v>
      </c>
      <c r="G2938" s="376">
        <v>20148.813739673951</v>
      </c>
      <c r="H2938" s="376">
        <v>0</v>
      </c>
      <c r="I2938" s="376">
        <v>0.65716939790195539</v>
      </c>
    </row>
    <row r="2939" spans="1:9" x14ac:dyDescent="0.35">
      <c r="A2939" s="376" t="s">
        <v>1615</v>
      </c>
      <c r="B2939" s="376" t="s">
        <v>1609</v>
      </c>
      <c r="C2939" s="376" t="s">
        <v>644</v>
      </c>
      <c r="D2939" s="376">
        <v>2026</v>
      </c>
      <c r="E2939" s="376">
        <v>2028</v>
      </c>
      <c r="F2939" s="376">
        <v>1</v>
      </c>
      <c r="G2939" s="376">
        <v>20148.813739673951</v>
      </c>
      <c r="H2939" s="376">
        <v>0</v>
      </c>
      <c r="I2939" s="376">
        <v>0.65716939790195539</v>
      </c>
    </row>
    <row r="2940" spans="1:9" x14ac:dyDescent="0.35">
      <c r="A2940" s="376" t="s">
        <v>1615</v>
      </c>
      <c r="B2940" s="376" t="s">
        <v>1609</v>
      </c>
      <c r="C2940" s="376" t="s">
        <v>628</v>
      </c>
      <c r="D2940" s="376">
        <v>2026</v>
      </c>
      <c r="E2940" s="376">
        <v>2028</v>
      </c>
      <c r="F2940" s="376">
        <v>1</v>
      </c>
      <c r="G2940" s="376">
        <v>20148.813739673951</v>
      </c>
      <c r="H2940" s="376">
        <v>0</v>
      </c>
      <c r="I2940" s="376">
        <v>0.65716939790195539</v>
      </c>
    </row>
    <row r="2941" spans="1:9" x14ac:dyDescent="0.35">
      <c r="A2941" s="376" t="s">
        <v>1615</v>
      </c>
      <c r="B2941" s="376" t="s">
        <v>1609</v>
      </c>
      <c r="C2941" s="376" t="s">
        <v>1051</v>
      </c>
      <c r="D2941" s="376">
        <v>2026</v>
      </c>
      <c r="E2941" s="376">
        <v>2028</v>
      </c>
      <c r="F2941" s="376">
        <v>1</v>
      </c>
      <c r="G2941" s="376">
        <v>20148.813739673951</v>
      </c>
      <c r="H2941" s="376">
        <v>0</v>
      </c>
      <c r="I2941" s="376">
        <v>0.65716939790195539</v>
      </c>
    </row>
    <row r="2942" spans="1:9" x14ac:dyDescent="0.35">
      <c r="A2942" s="376" t="s">
        <v>1615</v>
      </c>
      <c r="B2942" s="376" t="s">
        <v>1609</v>
      </c>
      <c r="C2942" s="376" t="s">
        <v>1054</v>
      </c>
      <c r="D2942" s="376">
        <v>2026</v>
      </c>
      <c r="E2942" s="376">
        <v>2028</v>
      </c>
      <c r="F2942" s="376">
        <v>1</v>
      </c>
      <c r="G2942" s="376">
        <v>20148.813739673951</v>
      </c>
      <c r="H2942" s="376">
        <v>0</v>
      </c>
      <c r="I2942" s="376">
        <v>0.65716939790195539</v>
      </c>
    </row>
    <row r="2943" spans="1:9" x14ac:dyDescent="0.35">
      <c r="A2943" s="376" t="s">
        <v>1615</v>
      </c>
      <c r="B2943" s="376" t="s">
        <v>1609</v>
      </c>
      <c r="C2943" s="376" t="s">
        <v>1046</v>
      </c>
      <c r="D2943" s="376">
        <v>2026</v>
      </c>
      <c r="E2943" s="376">
        <v>2029</v>
      </c>
      <c r="F2943" s="376">
        <v>1</v>
      </c>
      <c r="G2943" s="376">
        <v>20148.813739673951</v>
      </c>
      <c r="H2943" s="376">
        <v>0</v>
      </c>
      <c r="I2943" s="376">
        <v>0.65716939790195539</v>
      </c>
    </row>
    <row r="2944" spans="1:9" x14ac:dyDescent="0.35">
      <c r="A2944" s="376" t="s">
        <v>1615</v>
      </c>
      <c r="B2944" s="376" t="s">
        <v>1609</v>
      </c>
      <c r="C2944" s="376" t="s">
        <v>644</v>
      </c>
      <c r="D2944" s="376">
        <v>2026</v>
      </c>
      <c r="E2944" s="376">
        <v>2029</v>
      </c>
      <c r="F2944" s="376">
        <v>1</v>
      </c>
      <c r="G2944" s="376">
        <v>20148.813739673951</v>
      </c>
      <c r="H2944" s="376">
        <v>0</v>
      </c>
      <c r="I2944" s="376">
        <v>0.65716939790195539</v>
      </c>
    </row>
    <row r="2945" spans="1:9" x14ac:dyDescent="0.35">
      <c r="A2945" s="376" t="s">
        <v>1615</v>
      </c>
      <c r="B2945" s="376" t="s">
        <v>1609</v>
      </c>
      <c r="C2945" s="376" t="s">
        <v>628</v>
      </c>
      <c r="D2945" s="376">
        <v>2026</v>
      </c>
      <c r="E2945" s="376">
        <v>2029</v>
      </c>
      <c r="F2945" s="376">
        <v>1</v>
      </c>
      <c r="G2945" s="376">
        <v>20148.813739673951</v>
      </c>
      <c r="H2945" s="376">
        <v>0</v>
      </c>
      <c r="I2945" s="376">
        <v>0.65716939790195539</v>
      </c>
    </row>
    <row r="2946" spans="1:9" x14ac:dyDescent="0.35">
      <c r="A2946" s="376" t="s">
        <v>1615</v>
      </c>
      <c r="B2946" s="376" t="s">
        <v>1609</v>
      </c>
      <c r="C2946" s="376" t="s">
        <v>1051</v>
      </c>
      <c r="D2946" s="376">
        <v>2026</v>
      </c>
      <c r="E2946" s="376">
        <v>2029</v>
      </c>
      <c r="F2946" s="376">
        <v>1</v>
      </c>
      <c r="G2946" s="376">
        <v>20148.813739673951</v>
      </c>
      <c r="H2946" s="376">
        <v>0</v>
      </c>
      <c r="I2946" s="376">
        <v>0.65716939790195539</v>
      </c>
    </row>
    <row r="2947" spans="1:9" x14ac:dyDescent="0.35">
      <c r="A2947" s="376" t="s">
        <v>1615</v>
      </c>
      <c r="B2947" s="376" t="s">
        <v>1609</v>
      </c>
      <c r="C2947" s="376" t="s">
        <v>1054</v>
      </c>
      <c r="D2947" s="376">
        <v>2026</v>
      </c>
      <c r="E2947" s="376">
        <v>2029</v>
      </c>
      <c r="F2947" s="376">
        <v>1</v>
      </c>
      <c r="G2947" s="376">
        <v>20148.813739673951</v>
      </c>
      <c r="H2947" s="376">
        <v>0</v>
      </c>
      <c r="I2947" s="376">
        <v>0.65716939790195539</v>
      </c>
    </row>
    <row r="2948" spans="1:9" x14ac:dyDescent="0.35">
      <c r="A2948" s="376" t="s">
        <v>1615</v>
      </c>
      <c r="B2948" s="376" t="s">
        <v>1609</v>
      </c>
      <c r="C2948" s="376" t="s">
        <v>1046</v>
      </c>
      <c r="D2948" s="376">
        <v>2026</v>
      </c>
      <c r="E2948" s="376">
        <v>2030</v>
      </c>
      <c r="F2948" s="376">
        <v>1</v>
      </c>
      <c r="G2948" s="376">
        <v>20148.813739673951</v>
      </c>
      <c r="H2948" s="376">
        <v>0</v>
      </c>
      <c r="I2948" s="376">
        <v>0.65716939790195539</v>
      </c>
    </row>
    <row r="2949" spans="1:9" x14ac:dyDescent="0.35">
      <c r="A2949" s="376" t="s">
        <v>1615</v>
      </c>
      <c r="B2949" s="376" t="s">
        <v>1609</v>
      </c>
      <c r="C2949" s="376" t="s">
        <v>644</v>
      </c>
      <c r="D2949" s="376">
        <v>2026</v>
      </c>
      <c r="E2949" s="376">
        <v>2030</v>
      </c>
      <c r="F2949" s="376">
        <v>1</v>
      </c>
      <c r="G2949" s="376">
        <v>20148.813739673951</v>
      </c>
      <c r="H2949" s="376">
        <v>0</v>
      </c>
      <c r="I2949" s="376">
        <v>0.65716939790195539</v>
      </c>
    </row>
    <row r="2950" spans="1:9" x14ac:dyDescent="0.35">
      <c r="A2950" s="376" t="s">
        <v>1615</v>
      </c>
      <c r="B2950" s="376" t="s">
        <v>1609</v>
      </c>
      <c r="C2950" s="376" t="s">
        <v>628</v>
      </c>
      <c r="D2950" s="376">
        <v>2026</v>
      </c>
      <c r="E2950" s="376">
        <v>2030</v>
      </c>
      <c r="F2950" s="376">
        <v>1</v>
      </c>
      <c r="G2950" s="376">
        <v>20148.813739673951</v>
      </c>
      <c r="H2950" s="376">
        <v>0</v>
      </c>
      <c r="I2950" s="376">
        <v>0.65716939790195539</v>
      </c>
    </row>
    <row r="2951" spans="1:9" x14ac:dyDescent="0.35">
      <c r="A2951" s="376" t="s">
        <v>1615</v>
      </c>
      <c r="B2951" s="376" t="s">
        <v>1609</v>
      </c>
      <c r="C2951" s="376" t="s">
        <v>1051</v>
      </c>
      <c r="D2951" s="376">
        <v>2026</v>
      </c>
      <c r="E2951" s="376">
        <v>2030</v>
      </c>
      <c r="F2951" s="376">
        <v>1</v>
      </c>
      <c r="G2951" s="376">
        <v>20148.813739673951</v>
      </c>
      <c r="H2951" s="376">
        <v>0</v>
      </c>
      <c r="I2951" s="376">
        <v>0.65716939790195539</v>
      </c>
    </row>
    <row r="2952" spans="1:9" x14ac:dyDescent="0.35">
      <c r="A2952" s="376" t="s">
        <v>1615</v>
      </c>
      <c r="B2952" s="376" t="s">
        <v>1609</v>
      </c>
      <c r="C2952" s="376" t="s">
        <v>1054</v>
      </c>
      <c r="D2952" s="376">
        <v>2026</v>
      </c>
      <c r="E2952" s="376">
        <v>2030</v>
      </c>
      <c r="F2952" s="376">
        <v>1</v>
      </c>
      <c r="G2952" s="376">
        <v>20148.813739673951</v>
      </c>
      <c r="H2952" s="376">
        <v>0</v>
      </c>
      <c r="I2952" s="376">
        <v>0.65716939790195539</v>
      </c>
    </row>
    <row r="2953" spans="1:9" x14ac:dyDescent="0.35">
      <c r="A2953" s="376" t="s">
        <v>1615</v>
      </c>
      <c r="B2953" s="376" t="s">
        <v>1609</v>
      </c>
      <c r="C2953" s="376" t="s">
        <v>1046</v>
      </c>
      <c r="D2953" s="376">
        <v>2026</v>
      </c>
      <c r="E2953" s="376">
        <v>2031</v>
      </c>
      <c r="F2953" s="376">
        <v>1</v>
      </c>
      <c r="G2953" s="376">
        <v>20148.813739673951</v>
      </c>
      <c r="H2953" s="376">
        <v>0</v>
      </c>
      <c r="I2953" s="376">
        <v>0.65716939790195539</v>
      </c>
    </row>
    <row r="2954" spans="1:9" x14ac:dyDescent="0.35">
      <c r="A2954" s="376" t="s">
        <v>1615</v>
      </c>
      <c r="B2954" s="376" t="s">
        <v>1609</v>
      </c>
      <c r="C2954" s="376" t="s">
        <v>644</v>
      </c>
      <c r="D2954" s="376">
        <v>2026</v>
      </c>
      <c r="E2954" s="376">
        <v>2031</v>
      </c>
      <c r="F2954" s="376">
        <v>1</v>
      </c>
      <c r="G2954" s="376">
        <v>20148.813739673951</v>
      </c>
      <c r="H2954" s="376">
        <v>0</v>
      </c>
      <c r="I2954" s="376">
        <v>0.65716939790195539</v>
      </c>
    </row>
    <row r="2955" spans="1:9" x14ac:dyDescent="0.35">
      <c r="A2955" s="376" t="s">
        <v>1615</v>
      </c>
      <c r="B2955" s="376" t="s">
        <v>1609</v>
      </c>
      <c r="C2955" s="376" t="s">
        <v>628</v>
      </c>
      <c r="D2955" s="376">
        <v>2026</v>
      </c>
      <c r="E2955" s="376">
        <v>2031</v>
      </c>
      <c r="F2955" s="376">
        <v>1</v>
      </c>
      <c r="G2955" s="376">
        <v>20148.813739673951</v>
      </c>
      <c r="H2955" s="376">
        <v>0</v>
      </c>
      <c r="I2955" s="376">
        <v>0.65716939790195539</v>
      </c>
    </row>
    <row r="2956" spans="1:9" x14ac:dyDescent="0.35">
      <c r="A2956" s="376" t="s">
        <v>1615</v>
      </c>
      <c r="B2956" s="376" t="s">
        <v>1609</v>
      </c>
      <c r="C2956" s="376" t="s">
        <v>1051</v>
      </c>
      <c r="D2956" s="376">
        <v>2026</v>
      </c>
      <c r="E2956" s="376">
        <v>2031</v>
      </c>
      <c r="F2956" s="376">
        <v>1</v>
      </c>
      <c r="G2956" s="376">
        <v>20148.813739673951</v>
      </c>
      <c r="H2956" s="376">
        <v>0</v>
      </c>
      <c r="I2956" s="376">
        <v>0.65716939790195539</v>
      </c>
    </row>
    <row r="2957" spans="1:9" x14ac:dyDescent="0.35">
      <c r="A2957" s="376" t="s">
        <v>1615</v>
      </c>
      <c r="B2957" s="376" t="s">
        <v>1609</v>
      </c>
      <c r="C2957" s="376" t="s">
        <v>1054</v>
      </c>
      <c r="D2957" s="376">
        <v>2026</v>
      </c>
      <c r="E2957" s="376">
        <v>2031</v>
      </c>
      <c r="F2957" s="376">
        <v>1</v>
      </c>
      <c r="G2957" s="376">
        <v>20148.813739673951</v>
      </c>
      <c r="H2957" s="376">
        <v>0</v>
      </c>
      <c r="I2957" s="376">
        <v>0.65716939790195539</v>
      </c>
    </row>
    <row r="2958" spans="1:9" x14ac:dyDescent="0.35">
      <c r="A2958" s="376" t="s">
        <v>1603</v>
      </c>
      <c r="B2958" s="376" t="s">
        <v>1609</v>
      </c>
      <c r="C2958" s="376" t="s">
        <v>1046</v>
      </c>
      <c r="D2958" s="376">
        <v>2026</v>
      </c>
      <c r="E2958" s="376">
        <v>2026</v>
      </c>
      <c r="F2958" s="376">
        <v>1</v>
      </c>
      <c r="G2958" s="376">
        <v>6101.463203368502</v>
      </c>
      <c r="H2958" s="376">
        <v>0</v>
      </c>
      <c r="I2958" s="376">
        <v>1</v>
      </c>
    </row>
    <row r="2959" spans="1:9" x14ac:dyDescent="0.35">
      <c r="A2959" s="376" t="s">
        <v>1603</v>
      </c>
      <c r="B2959" s="376" t="s">
        <v>1609</v>
      </c>
      <c r="C2959" s="376" t="s">
        <v>644</v>
      </c>
      <c r="D2959" s="376">
        <v>2026</v>
      </c>
      <c r="E2959" s="376">
        <v>2026</v>
      </c>
      <c r="F2959" s="376">
        <v>1</v>
      </c>
      <c r="G2959" s="376">
        <v>6101.463203368502</v>
      </c>
      <c r="H2959" s="376">
        <v>0</v>
      </c>
      <c r="I2959" s="376">
        <v>1</v>
      </c>
    </row>
    <row r="2960" spans="1:9" x14ac:dyDescent="0.35">
      <c r="A2960" s="376" t="s">
        <v>1603</v>
      </c>
      <c r="B2960" s="376" t="s">
        <v>1609</v>
      </c>
      <c r="C2960" s="376" t="s">
        <v>628</v>
      </c>
      <c r="D2960" s="376">
        <v>2026</v>
      </c>
      <c r="E2960" s="376">
        <v>2026</v>
      </c>
      <c r="F2960" s="376">
        <v>1</v>
      </c>
      <c r="G2960" s="376">
        <v>6101.463203368502</v>
      </c>
      <c r="H2960" s="376">
        <v>0</v>
      </c>
      <c r="I2960" s="376">
        <v>1</v>
      </c>
    </row>
    <row r="2961" spans="1:9" x14ac:dyDescent="0.35">
      <c r="A2961" s="376" t="s">
        <v>1603</v>
      </c>
      <c r="B2961" s="376" t="s">
        <v>1609</v>
      </c>
      <c r="C2961" s="376" t="s">
        <v>1051</v>
      </c>
      <c r="D2961" s="376">
        <v>2026</v>
      </c>
      <c r="E2961" s="376">
        <v>2026</v>
      </c>
      <c r="F2961" s="376">
        <v>1</v>
      </c>
      <c r="G2961" s="376">
        <v>6101.463203368502</v>
      </c>
      <c r="H2961" s="376">
        <v>0</v>
      </c>
      <c r="I2961" s="376">
        <v>1</v>
      </c>
    </row>
    <row r="2962" spans="1:9" x14ac:dyDescent="0.35">
      <c r="A2962" s="376" t="s">
        <v>1603</v>
      </c>
      <c r="B2962" s="376" t="s">
        <v>1609</v>
      </c>
      <c r="C2962" s="376" t="s">
        <v>1054</v>
      </c>
      <c r="D2962" s="376">
        <v>2026</v>
      </c>
      <c r="E2962" s="376">
        <v>2026</v>
      </c>
      <c r="F2962" s="376">
        <v>1</v>
      </c>
      <c r="G2962" s="376">
        <v>6101.463203368502</v>
      </c>
      <c r="H2962" s="376">
        <v>0</v>
      </c>
      <c r="I2962" s="376">
        <v>1</v>
      </c>
    </row>
    <row r="2963" spans="1:9" x14ac:dyDescent="0.35">
      <c r="A2963" s="376" t="s">
        <v>1603</v>
      </c>
      <c r="B2963" s="376" t="s">
        <v>1609</v>
      </c>
      <c r="C2963" s="376" t="s">
        <v>1046</v>
      </c>
      <c r="D2963" s="376">
        <v>2026</v>
      </c>
      <c r="E2963" s="376">
        <v>2027</v>
      </c>
      <c r="F2963" s="376">
        <v>1</v>
      </c>
      <c r="G2963" s="376">
        <v>6101.463203368502</v>
      </c>
      <c r="H2963" s="376">
        <v>0</v>
      </c>
      <c r="I2963" s="376">
        <v>1</v>
      </c>
    </row>
    <row r="2964" spans="1:9" x14ac:dyDescent="0.35">
      <c r="A2964" s="376" t="s">
        <v>1603</v>
      </c>
      <c r="B2964" s="376" t="s">
        <v>1609</v>
      </c>
      <c r="C2964" s="376" t="s">
        <v>644</v>
      </c>
      <c r="D2964" s="376">
        <v>2026</v>
      </c>
      <c r="E2964" s="376">
        <v>2027</v>
      </c>
      <c r="F2964" s="376">
        <v>1</v>
      </c>
      <c r="G2964" s="376">
        <v>6101.463203368502</v>
      </c>
      <c r="H2964" s="376">
        <v>0</v>
      </c>
      <c r="I2964" s="376">
        <v>1</v>
      </c>
    </row>
    <row r="2965" spans="1:9" x14ac:dyDescent="0.35">
      <c r="A2965" s="376" t="s">
        <v>1603</v>
      </c>
      <c r="B2965" s="376" t="s">
        <v>1609</v>
      </c>
      <c r="C2965" s="376" t="s">
        <v>628</v>
      </c>
      <c r="D2965" s="376">
        <v>2026</v>
      </c>
      <c r="E2965" s="376">
        <v>2027</v>
      </c>
      <c r="F2965" s="376">
        <v>1</v>
      </c>
      <c r="G2965" s="376">
        <v>6101.463203368502</v>
      </c>
      <c r="H2965" s="376">
        <v>0</v>
      </c>
      <c r="I2965" s="376">
        <v>1</v>
      </c>
    </row>
    <row r="2966" spans="1:9" x14ac:dyDescent="0.35">
      <c r="A2966" s="376" t="s">
        <v>1603</v>
      </c>
      <c r="B2966" s="376" t="s">
        <v>1609</v>
      </c>
      <c r="C2966" s="376" t="s">
        <v>1051</v>
      </c>
      <c r="D2966" s="376">
        <v>2026</v>
      </c>
      <c r="E2966" s="376">
        <v>2027</v>
      </c>
      <c r="F2966" s="376">
        <v>1</v>
      </c>
      <c r="G2966" s="376">
        <v>6101.463203368502</v>
      </c>
      <c r="H2966" s="376">
        <v>0</v>
      </c>
      <c r="I2966" s="376">
        <v>1</v>
      </c>
    </row>
    <row r="2967" spans="1:9" x14ac:dyDescent="0.35">
      <c r="A2967" s="376" t="s">
        <v>1603</v>
      </c>
      <c r="B2967" s="376" t="s">
        <v>1609</v>
      </c>
      <c r="C2967" s="376" t="s">
        <v>1054</v>
      </c>
      <c r="D2967" s="376">
        <v>2026</v>
      </c>
      <c r="E2967" s="376">
        <v>2027</v>
      </c>
      <c r="F2967" s="376">
        <v>1</v>
      </c>
      <c r="G2967" s="376">
        <v>6101.463203368502</v>
      </c>
      <c r="H2967" s="376">
        <v>0</v>
      </c>
      <c r="I2967" s="376">
        <v>1</v>
      </c>
    </row>
    <row r="2968" spans="1:9" x14ac:dyDescent="0.35">
      <c r="A2968" s="376" t="s">
        <v>1603</v>
      </c>
      <c r="B2968" s="376" t="s">
        <v>1609</v>
      </c>
      <c r="C2968" s="376" t="s">
        <v>1046</v>
      </c>
      <c r="D2968" s="376">
        <v>2026</v>
      </c>
      <c r="E2968" s="376">
        <v>2028</v>
      </c>
      <c r="F2968" s="376">
        <v>1</v>
      </c>
      <c r="G2968" s="376">
        <v>6101.463203368502</v>
      </c>
      <c r="H2968" s="376">
        <v>0</v>
      </c>
      <c r="I2968" s="376">
        <v>1</v>
      </c>
    </row>
    <row r="2969" spans="1:9" x14ac:dyDescent="0.35">
      <c r="A2969" s="376" t="s">
        <v>1603</v>
      </c>
      <c r="B2969" s="376" t="s">
        <v>1609</v>
      </c>
      <c r="C2969" s="376" t="s">
        <v>644</v>
      </c>
      <c r="D2969" s="376">
        <v>2026</v>
      </c>
      <c r="E2969" s="376">
        <v>2028</v>
      </c>
      <c r="F2969" s="376">
        <v>1</v>
      </c>
      <c r="G2969" s="376">
        <v>6101.463203368502</v>
      </c>
      <c r="H2969" s="376">
        <v>0</v>
      </c>
      <c r="I2969" s="376">
        <v>1</v>
      </c>
    </row>
    <row r="2970" spans="1:9" x14ac:dyDescent="0.35">
      <c r="A2970" s="376" t="s">
        <v>1603</v>
      </c>
      <c r="B2970" s="376" t="s">
        <v>1609</v>
      </c>
      <c r="C2970" s="376" t="s">
        <v>628</v>
      </c>
      <c r="D2970" s="376">
        <v>2026</v>
      </c>
      <c r="E2970" s="376">
        <v>2028</v>
      </c>
      <c r="F2970" s="376">
        <v>1</v>
      </c>
      <c r="G2970" s="376">
        <v>6101.463203368502</v>
      </c>
      <c r="H2970" s="376">
        <v>0</v>
      </c>
      <c r="I2970" s="376">
        <v>1</v>
      </c>
    </row>
    <row r="2971" spans="1:9" x14ac:dyDescent="0.35">
      <c r="A2971" s="376" t="s">
        <v>1603</v>
      </c>
      <c r="B2971" s="376" t="s">
        <v>1609</v>
      </c>
      <c r="C2971" s="376" t="s">
        <v>1051</v>
      </c>
      <c r="D2971" s="376">
        <v>2026</v>
      </c>
      <c r="E2971" s="376">
        <v>2028</v>
      </c>
      <c r="F2971" s="376">
        <v>1</v>
      </c>
      <c r="G2971" s="376">
        <v>6101.463203368502</v>
      </c>
      <c r="H2971" s="376">
        <v>0</v>
      </c>
      <c r="I2971" s="376">
        <v>1</v>
      </c>
    </row>
    <row r="2972" spans="1:9" x14ac:dyDescent="0.35">
      <c r="A2972" s="376" t="s">
        <v>1603</v>
      </c>
      <c r="B2972" s="376" t="s">
        <v>1609</v>
      </c>
      <c r="C2972" s="376" t="s">
        <v>1054</v>
      </c>
      <c r="D2972" s="376">
        <v>2026</v>
      </c>
      <c r="E2972" s="376">
        <v>2028</v>
      </c>
      <c r="F2972" s="376">
        <v>1</v>
      </c>
      <c r="G2972" s="376">
        <v>6101.463203368502</v>
      </c>
      <c r="H2972" s="376">
        <v>0</v>
      </c>
      <c r="I2972" s="376">
        <v>1</v>
      </c>
    </row>
    <row r="2973" spans="1:9" x14ac:dyDescent="0.35">
      <c r="A2973" s="376" t="s">
        <v>1603</v>
      </c>
      <c r="B2973" s="376" t="s">
        <v>1609</v>
      </c>
      <c r="C2973" s="376" t="s">
        <v>1046</v>
      </c>
      <c r="D2973" s="376">
        <v>2026</v>
      </c>
      <c r="E2973" s="376">
        <v>2029</v>
      </c>
      <c r="F2973" s="376">
        <v>1</v>
      </c>
      <c r="G2973" s="376">
        <v>6101.463203368502</v>
      </c>
      <c r="H2973" s="376">
        <v>0</v>
      </c>
      <c r="I2973" s="376">
        <v>1</v>
      </c>
    </row>
    <row r="2974" spans="1:9" x14ac:dyDescent="0.35">
      <c r="A2974" s="376" t="s">
        <v>1603</v>
      </c>
      <c r="B2974" s="376" t="s">
        <v>1609</v>
      </c>
      <c r="C2974" s="376" t="s">
        <v>644</v>
      </c>
      <c r="D2974" s="376">
        <v>2026</v>
      </c>
      <c r="E2974" s="376">
        <v>2029</v>
      </c>
      <c r="F2974" s="376">
        <v>1</v>
      </c>
      <c r="G2974" s="376">
        <v>6101.463203368502</v>
      </c>
      <c r="H2974" s="376">
        <v>0</v>
      </c>
      <c r="I2974" s="376">
        <v>1</v>
      </c>
    </row>
    <row r="2975" spans="1:9" x14ac:dyDescent="0.35">
      <c r="A2975" s="376" t="s">
        <v>1603</v>
      </c>
      <c r="B2975" s="376" t="s">
        <v>1609</v>
      </c>
      <c r="C2975" s="376" t="s">
        <v>628</v>
      </c>
      <c r="D2975" s="376">
        <v>2026</v>
      </c>
      <c r="E2975" s="376">
        <v>2029</v>
      </c>
      <c r="F2975" s="376">
        <v>1</v>
      </c>
      <c r="G2975" s="376">
        <v>6101.463203368502</v>
      </c>
      <c r="H2975" s="376">
        <v>0</v>
      </c>
      <c r="I2975" s="376">
        <v>1</v>
      </c>
    </row>
    <row r="2976" spans="1:9" x14ac:dyDescent="0.35">
      <c r="A2976" s="376" t="s">
        <v>1603</v>
      </c>
      <c r="B2976" s="376" t="s">
        <v>1609</v>
      </c>
      <c r="C2976" s="376" t="s">
        <v>1051</v>
      </c>
      <c r="D2976" s="376">
        <v>2026</v>
      </c>
      <c r="E2976" s="376">
        <v>2029</v>
      </c>
      <c r="F2976" s="376">
        <v>1</v>
      </c>
      <c r="G2976" s="376">
        <v>6101.463203368502</v>
      </c>
      <c r="H2976" s="376">
        <v>0</v>
      </c>
      <c r="I2976" s="376">
        <v>1</v>
      </c>
    </row>
    <row r="2977" spans="1:9" x14ac:dyDescent="0.35">
      <c r="A2977" s="376" t="s">
        <v>1603</v>
      </c>
      <c r="B2977" s="376" t="s">
        <v>1609</v>
      </c>
      <c r="C2977" s="376" t="s">
        <v>1054</v>
      </c>
      <c r="D2977" s="376">
        <v>2026</v>
      </c>
      <c r="E2977" s="376">
        <v>2029</v>
      </c>
      <c r="F2977" s="376">
        <v>1</v>
      </c>
      <c r="G2977" s="376">
        <v>6101.463203368502</v>
      </c>
      <c r="H2977" s="376">
        <v>0</v>
      </c>
      <c r="I2977" s="376">
        <v>1</v>
      </c>
    </row>
    <row r="2978" spans="1:9" x14ac:dyDescent="0.35">
      <c r="A2978" s="376" t="s">
        <v>1603</v>
      </c>
      <c r="B2978" s="376" t="s">
        <v>1609</v>
      </c>
      <c r="C2978" s="376" t="s">
        <v>1046</v>
      </c>
      <c r="D2978" s="376">
        <v>2026</v>
      </c>
      <c r="E2978" s="376">
        <v>2030</v>
      </c>
      <c r="F2978" s="376">
        <v>1</v>
      </c>
      <c r="G2978" s="376">
        <v>6101.463203368502</v>
      </c>
      <c r="H2978" s="376">
        <v>0</v>
      </c>
      <c r="I2978" s="376">
        <v>1</v>
      </c>
    </row>
    <row r="2979" spans="1:9" x14ac:dyDescent="0.35">
      <c r="A2979" s="376" t="s">
        <v>1603</v>
      </c>
      <c r="B2979" s="376" t="s">
        <v>1609</v>
      </c>
      <c r="C2979" s="376" t="s">
        <v>644</v>
      </c>
      <c r="D2979" s="376">
        <v>2026</v>
      </c>
      <c r="E2979" s="376">
        <v>2030</v>
      </c>
      <c r="F2979" s="376">
        <v>1</v>
      </c>
      <c r="G2979" s="376">
        <v>6101.463203368502</v>
      </c>
      <c r="H2979" s="376">
        <v>0</v>
      </c>
      <c r="I2979" s="376">
        <v>1</v>
      </c>
    </row>
    <row r="2980" spans="1:9" x14ac:dyDescent="0.35">
      <c r="A2980" s="376" t="s">
        <v>1603</v>
      </c>
      <c r="B2980" s="376" t="s">
        <v>1609</v>
      </c>
      <c r="C2980" s="376" t="s">
        <v>628</v>
      </c>
      <c r="D2980" s="376">
        <v>2026</v>
      </c>
      <c r="E2980" s="376">
        <v>2030</v>
      </c>
      <c r="F2980" s="376">
        <v>1</v>
      </c>
      <c r="G2980" s="376">
        <v>6101.463203368502</v>
      </c>
      <c r="H2980" s="376">
        <v>0</v>
      </c>
      <c r="I2980" s="376">
        <v>1</v>
      </c>
    </row>
    <row r="2981" spans="1:9" x14ac:dyDescent="0.35">
      <c r="A2981" s="376" t="s">
        <v>1603</v>
      </c>
      <c r="B2981" s="376" t="s">
        <v>1609</v>
      </c>
      <c r="C2981" s="376" t="s">
        <v>1051</v>
      </c>
      <c r="D2981" s="376">
        <v>2026</v>
      </c>
      <c r="E2981" s="376">
        <v>2030</v>
      </c>
      <c r="F2981" s="376">
        <v>1</v>
      </c>
      <c r="G2981" s="376">
        <v>6101.463203368502</v>
      </c>
      <c r="H2981" s="376">
        <v>0</v>
      </c>
      <c r="I2981" s="376">
        <v>1</v>
      </c>
    </row>
    <row r="2982" spans="1:9" x14ac:dyDescent="0.35">
      <c r="A2982" s="376" t="s">
        <v>1603</v>
      </c>
      <c r="B2982" s="376" t="s">
        <v>1609</v>
      </c>
      <c r="C2982" s="376" t="s">
        <v>1054</v>
      </c>
      <c r="D2982" s="376">
        <v>2026</v>
      </c>
      <c r="E2982" s="376">
        <v>2030</v>
      </c>
      <c r="F2982" s="376">
        <v>1</v>
      </c>
      <c r="G2982" s="376">
        <v>6101.463203368502</v>
      </c>
      <c r="H2982" s="376">
        <v>0</v>
      </c>
      <c r="I2982" s="376">
        <v>1</v>
      </c>
    </row>
    <row r="2983" spans="1:9" x14ac:dyDescent="0.35">
      <c r="A2983" s="376" t="s">
        <v>1603</v>
      </c>
      <c r="B2983" s="376" t="s">
        <v>1609</v>
      </c>
      <c r="C2983" s="376" t="s">
        <v>1046</v>
      </c>
      <c r="D2983" s="376">
        <v>2026</v>
      </c>
      <c r="E2983" s="376">
        <v>2031</v>
      </c>
      <c r="F2983" s="376">
        <v>1</v>
      </c>
      <c r="G2983" s="376">
        <v>6101.463203368502</v>
      </c>
      <c r="H2983" s="376">
        <v>0</v>
      </c>
      <c r="I2983" s="376">
        <v>1</v>
      </c>
    </row>
    <row r="2984" spans="1:9" x14ac:dyDescent="0.35">
      <c r="A2984" s="376" t="s">
        <v>1603</v>
      </c>
      <c r="B2984" s="376" t="s">
        <v>1609</v>
      </c>
      <c r="C2984" s="376" t="s">
        <v>644</v>
      </c>
      <c r="D2984" s="376">
        <v>2026</v>
      </c>
      <c r="E2984" s="376">
        <v>2031</v>
      </c>
      <c r="F2984" s="376">
        <v>1</v>
      </c>
      <c r="G2984" s="376">
        <v>6101.463203368502</v>
      </c>
      <c r="H2984" s="376">
        <v>0</v>
      </c>
      <c r="I2984" s="376">
        <v>1</v>
      </c>
    </row>
    <row r="2985" spans="1:9" x14ac:dyDescent="0.35">
      <c r="A2985" s="376" t="s">
        <v>1603</v>
      </c>
      <c r="B2985" s="376" t="s">
        <v>1609</v>
      </c>
      <c r="C2985" s="376" t="s">
        <v>628</v>
      </c>
      <c r="D2985" s="376">
        <v>2026</v>
      </c>
      <c r="E2985" s="376">
        <v>2031</v>
      </c>
      <c r="F2985" s="376">
        <v>1</v>
      </c>
      <c r="G2985" s="376">
        <v>6101.463203368502</v>
      </c>
      <c r="H2985" s="376">
        <v>0</v>
      </c>
      <c r="I2985" s="376">
        <v>1</v>
      </c>
    </row>
    <row r="2986" spans="1:9" x14ac:dyDescent="0.35">
      <c r="A2986" s="376" t="s">
        <v>1603</v>
      </c>
      <c r="B2986" s="376" t="s">
        <v>1609</v>
      </c>
      <c r="C2986" s="376" t="s">
        <v>1051</v>
      </c>
      <c r="D2986" s="376">
        <v>2026</v>
      </c>
      <c r="E2986" s="376">
        <v>2031</v>
      </c>
      <c r="F2986" s="376">
        <v>1</v>
      </c>
      <c r="G2986" s="376">
        <v>6101.463203368502</v>
      </c>
      <c r="H2986" s="376">
        <v>0</v>
      </c>
      <c r="I2986" s="376">
        <v>1</v>
      </c>
    </row>
    <row r="2987" spans="1:9" x14ac:dyDescent="0.35">
      <c r="A2987" s="376" t="s">
        <v>1603</v>
      </c>
      <c r="B2987" s="376" t="s">
        <v>1609</v>
      </c>
      <c r="C2987" s="376" t="s">
        <v>1054</v>
      </c>
      <c r="D2987" s="376">
        <v>2026</v>
      </c>
      <c r="E2987" s="376">
        <v>2031</v>
      </c>
      <c r="F2987" s="376">
        <v>1</v>
      </c>
      <c r="G2987" s="376">
        <v>6101.463203368502</v>
      </c>
      <c r="H2987" s="376">
        <v>0</v>
      </c>
      <c r="I2987" s="376">
        <v>1</v>
      </c>
    </row>
    <row r="2988" spans="1:9" x14ac:dyDescent="0.35">
      <c r="A2988" s="376" t="s">
        <v>1605</v>
      </c>
      <c r="B2988" s="376" t="s">
        <v>1609</v>
      </c>
      <c r="C2988" s="376" t="s">
        <v>1046</v>
      </c>
      <c r="D2988" s="376">
        <v>2026</v>
      </c>
      <c r="E2988" s="376">
        <v>2026</v>
      </c>
      <c r="F2988" s="376">
        <v>0.23884589662749595</v>
      </c>
      <c r="G2988" s="376">
        <v>10426.102375692073</v>
      </c>
      <c r="H2988" s="376">
        <v>0</v>
      </c>
      <c r="I2988" s="376">
        <v>1</v>
      </c>
    </row>
    <row r="2989" spans="1:9" x14ac:dyDescent="0.35">
      <c r="A2989" s="376" t="s">
        <v>1605</v>
      </c>
      <c r="B2989" s="376" t="s">
        <v>1609</v>
      </c>
      <c r="C2989" s="376" t="s">
        <v>644</v>
      </c>
      <c r="D2989" s="376">
        <v>2026</v>
      </c>
      <c r="E2989" s="376">
        <v>2026</v>
      </c>
      <c r="F2989" s="376">
        <v>0.23884589662749595</v>
      </c>
      <c r="G2989" s="376">
        <v>10426.102375692073</v>
      </c>
      <c r="H2989" s="376">
        <v>0</v>
      </c>
      <c r="I2989" s="376">
        <v>1</v>
      </c>
    </row>
    <row r="2990" spans="1:9" x14ac:dyDescent="0.35">
      <c r="A2990" s="376" t="s">
        <v>1605</v>
      </c>
      <c r="B2990" s="376" t="s">
        <v>1609</v>
      </c>
      <c r="C2990" s="376" t="s">
        <v>628</v>
      </c>
      <c r="D2990" s="376">
        <v>2026</v>
      </c>
      <c r="E2990" s="376">
        <v>2026</v>
      </c>
      <c r="F2990" s="376">
        <v>0.23884589662749595</v>
      </c>
      <c r="G2990" s="376">
        <v>10426.102375692073</v>
      </c>
      <c r="H2990" s="376">
        <v>0</v>
      </c>
      <c r="I2990" s="376">
        <v>1</v>
      </c>
    </row>
    <row r="2991" spans="1:9" x14ac:dyDescent="0.35">
      <c r="A2991" s="376" t="s">
        <v>1605</v>
      </c>
      <c r="B2991" s="376" t="s">
        <v>1609</v>
      </c>
      <c r="C2991" s="376" t="s">
        <v>1051</v>
      </c>
      <c r="D2991" s="376">
        <v>2026</v>
      </c>
      <c r="E2991" s="376">
        <v>2026</v>
      </c>
      <c r="F2991" s="376">
        <v>0.23884589662749595</v>
      </c>
      <c r="G2991" s="376">
        <v>10426.102375692073</v>
      </c>
      <c r="H2991" s="376">
        <v>0</v>
      </c>
      <c r="I2991" s="376">
        <v>1</v>
      </c>
    </row>
    <row r="2992" spans="1:9" x14ac:dyDescent="0.35">
      <c r="A2992" s="376" t="s">
        <v>1605</v>
      </c>
      <c r="B2992" s="376" t="s">
        <v>1609</v>
      </c>
      <c r="C2992" s="376" t="s">
        <v>1054</v>
      </c>
      <c r="D2992" s="376">
        <v>2026</v>
      </c>
      <c r="E2992" s="376">
        <v>2026</v>
      </c>
      <c r="F2992" s="376">
        <v>0.23884589662749595</v>
      </c>
      <c r="G2992" s="376">
        <v>10426.102375692073</v>
      </c>
      <c r="H2992" s="376">
        <v>0</v>
      </c>
      <c r="I2992" s="376">
        <v>1</v>
      </c>
    </row>
    <row r="2993" spans="1:9" x14ac:dyDescent="0.35">
      <c r="A2993" s="376" t="s">
        <v>1605</v>
      </c>
      <c r="B2993" s="376" t="s">
        <v>1609</v>
      </c>
      <c r="C2993" s="376" t="s">
        <v>1046</v>
      </c>
      <c r="D2993" s="376">
        <v>2026</v>
      </c>
      <c r="E2993" s="376">
        <v>2027</v>
      </c>
      <c r="F2993" s="376">
        <v>0.23884589662749595</v>
      </c>
      <c r="G2993" s="376">
        <v>10426.102375692073</v>
      </c>
      <c r="H2993" s="376">
        <v>0</v>
      </c>
      <c r="I2993" s="376">
        <v>1</v>
      </c>
    </row>
    <row r="2994" spans="1:9" x14ac:dyDescent="0.35">
      <c r="A2994" s="376" t="s">
        <v>1605</v>
      </c>
      <c r="B2994" s="376" t="s">
        <v>1609</v>
      </c>
      <c r="C2994" s="376" t="s">
        <v>644</v>
      </c>
      <c r="D2994" s="376">
        <v>2026</v>
      </c>
      <c r="E2994" s="376">
        <v>2027</v>
      </c>
      <c r="F2994" s="376">
        <v>0.23884589662749595</v>
      </c>
      <c r="G2994" s="376">
        <v>10426.102375692073</v>
      </c>
      <c r="H2994" s="376">
        <v>0</v>
      </c>
      <c r="I2994" s="376">
        <v>1</v>
      </c>
    </row>
    <row r="2995" spans="1:9" x14ac:dyDescent="0.35">
      <c r="A2995" s="376" t="s">
        <v>1605</v>
      </c>
      <c r="B2995" s="376" t="s">
        <v>1609</v>
      </c>
      <c r="C2995" s="376" t="s">
        <v>628</v>
      </c>
      <c r="D2995" s="376">
        <v>2026</v>
      </c>
      <c r="E2995" s="376">
        <v>2027</v>
      </c>
      <c r="F2995" s="376">
        <v>0.23884589662749595</v>
      </c>
      <c r="G2995" s="376">
        <v>10426.102375692073</v>
      </c>
      <c r="H2995" s="376">
        <v>0</v>
      </c>
      <c r="I2995" s="376">
        <v>1</v>
      </c>
    </row>
    <row r="2996" spans="1:9" x14ac:dyDescent="0.35">
      <c r="A2996" s="376" t="s">
        <v>1605</v>
      </c>
      <c r="B2996" s="376" t="s">
        <v>1609</v>
      </c>
      <c r="C2996" s="376" t="s">
        <v>1051</v>
      </c>
      <c r="D2996" s="376">
        <v>2026</v>
      </c>
      <c r="E2996" s="376">
        <v>2027</v>
      </c>
      <c r="F2996" s="376">
        <v>0.23884589662749595</v>
      </c>
      <c r="G2996" s="376">
        <v>10426.102375692073</v>
      </c>
      <c r="H2996" s="376">
        <v>0</v>
      </c>
      <c r="I2996" s="376">
        <v>1</v>
      </c>
    </row>
    <row r="2997" spans="1:9" x14ac:dyDescent="0.35">
      <c r="A2997" s="376" t="s">
        <v>1605</v>
      </c>
      <c r="B2997" s="376" t="s">
        <v>1609</v>
      </c>
      <c r="C2997" s="376" t="s">
        <v>1054</v>
      </c>
      <c r="D2997" s="376">
        <v>2026</v>
      </c>
      <c r="E2997" s="376">
        <v>2027</v>
      </c>
      <c r="F2997" s="376">
        <v>0.23884589662749595</v>
      </c>
      <c r="G2997" s="376">
        <v>10426.102375692073</v>
      </c>
      <c r="H2997" s="376">
        <v>0</v>
      </c>
      <c r="I2997" s="376">
        <v>1</v>
      </c>
    </row>
    <row r="2998" spans="1:9" x14ac:dyDescent="0.35">
      <c r="A2998" s="376" t="s">
        <v>1605</v>
      </c>
      <c r="B2998" s="376" t="s">
        <v>1609</v>
      </c>
      <c r="C2998" s="376" t="s">
        <v>1046</v>
      </c>
      <c r="D2998" s="376">
        <v>2026</v>
      </c>
      <c r="E2998" s="376">
        <v>2028</v>
      </c>
      <c r="F2998" s="376">
        <v>0.23884589662749595</v>
      </c>
      <c r="G2998" s="376">
        <v>10426.102375692073</v>
      </c>
      <c r="H2998" s="376">
        <v>0</v>
      </c>
      <c r="I2998" s="376">
        <v>1</v>
      </c>
    </row>
    <row r="2999" spans="1:9" x14ac:dyDescent="0.35">
      <c r="A2999" s="376" t="s">
        <v>1605</v>
      </c>
      <c r="B2999" s="376" t="s">
        <v>1609</v>
      </c>
      <c r="C2999" s="376" t="s">
        <v>644</v>
      </c>
      <c r="D2999" s="376">
        <v>2026</v>
      </c>
      <c r="E2999" s="376">
        <v>2028</v>
      </c>
      <c r="F2999" s="376">
        <v>0.23884589662749595</v>
      </c>
      <c r="G2999" s="376">
        <v>10426.102375692073</v>
      </c>
      <c r="H2999" s="376">
        <v>0</v>
      </c>
      <c r="I2999" s="376">
        <v>1</v>
      </c>
    </row>
    <row r="3000" spans="1:9" x14ac:dyDescent="0.35">
      <c r="A3000" s="376" t="s">
        <v>1605</v>
      </c>
      <c r="B3000" s="376" t="s">
        <v>1609</v>
      </c>
      <c r="C3000" s="376" t="s">
        <v>628</v>
      </c>
      <c r="D3000" s="376">
        <v>2026</v>
      </c>
      <c r="E3000" s="376">
        <v>2028</v>
      </c>
      <c r="F3000" s="376">
        <v>0.23884589662749595</v>
      </c>
      <c r="G3000" s="376">
        <v>10426.102375692073</v>
      </c>
      <c r="H3000" s="376">
        <v>0</v>
      </c>
      <c r="I3000" s="376">
        <v>1</v>
      </c>
    </row>
    <row r="3001" spans="1:9" x14ac:dyDescent="0.35">
      <c r="A3001" s="376" t="s">
        <v>1605</v>
      </c>
      <c r="B3001" s="376" t="s">
        <v>1609</v>
      </c>
      <c r="C3001" s="376" t="s">
        <v>1051</v>
      </c>
      <c r="D3001" s="376">
        <v>2026</v>
      </c>
      <c r="E3001" s="376">
        <v>2028</v>
      </c>
      <c r="F3001" s="376">
        <v>0.23884589662749595</v>
      </c>
      <c r="G3001" s="376">
        <v>10426.102375692073</v>
      </c>
      <c r="H3001" s="376">
        <v>0</v>
      </c>
      <c r="I3001" s="376">
        <v>1</v>
      </c>
    </row>
    <row r="3002" spans="1:9" x14ac:dyDescent="0.35">
      <c r="A3002" s="376" t="s">
        <v>1605</v>
      </c>
      <c r="B3002" s="376" t="s">
        <v>1609</v>
      </c>
      <c r="C3002" s="376" t="s">
        <v>1054</v>
      </c>
      <c r="D3002" s="376">
        <v>2026</v>
      </c>
      <c r="E3002" s="376">
        <v>2028</v>
      </c>
      <c r="F3002" s="376">
        <v>0.23884589662749595</v>
      </c>
      <c r="G3002" s="376">
        <v>10426.102375692073</v>
      </c>
      <c r="H3002" s="376">
        <v>0</v>
      </c>
      <c r="I3002" s="376">
        <v>1</v>
      </c>
    </row>
    <row r="3003" spans="1:9" x14ac:dyDescent="0.35">
      <c r="A3003" s="376" t="s">
        <v>1605</v>
      </c>
      <c r="B3003" s="376" t="s">
        <v>1609</v>
      </c>
      <c r="C3003" s="376" t="s">
        <v>1046</v>
      </c>
      <c r="D3003" s="376">
        <v>2026</v>
      </c>
      <c r="E3003" s="376">
        <v>2029</v>
      </c>
      <c r="F3003" s="376">
        <v>0.23884589662749595</v>
      </c>
      <c r="G3003" s="376">
        <v>10426.102375692073</v>
      </c>
      <c r="H3003" s="376">
        <v>0</v>
      </c>
      <c r="I3003" s="376">
        <v>1</v>
      </c>
    </row>
    <row r="3004" spans="1:9" x14ac:dyDescent="0.35">
      <c r="A3004" s="376" t="s">
        <v>1605</v>
      </c>
      <c r="B3004" s="376" t="s">
        <v>1609</v>
      </c>
      <c r="C3004" s="376" t="s">
        <v>644</v>
      </c>
      <c r="D3004" s="376">
        <v>2026</v>
      </c>
      <c r="E3004" s="376">
        <v>2029</v>
      </c>
      <c r="F3004" s="376">
        <v>0.23884589662749595</v>
      </c>
      <c r="G3004" s="376">
        <v>10426.102375692073</v>
      </c>
      <c r="H3004" s="376">
        <v>0</v>
      </c>
      <c r="I3004" s="376">
        <v>1</v>
      </c>
    </row>
    <row r="3005" spans="1:9" x14ac:dyDescent="0.35">
      <c r="A3005" s="376" t="s">
        <v>1605</v>
      </c>
      <c r="B3005" s="376" t="s">
        <v>1609</v>
      </c>
      <c r="C3005" s="376" t="s">
        <v>628</v>
      </c>
      <c r="D3005" s="376">
        <v>2026</v>
      </c>
      <c r="E3005" s="376">
        <v>2029</v>
      </c>
      <c r="F3005" s="376">
        <v>0.23884589662749595</v>
      </c>
      <c r="G3005" s="376">
        <v>10426.102375692073</v>
      </c>
      <c r="H3005" s="376">
        <v>0</v>
      </c>
      <c r="I3005" s="376">
        <v>1</v>
      </c>
    </row>
    <row r="3006" spans="1:9" x14ac:dyDescent="0.35">
      <c r="A3006" s="376" t="s">
        <v>1605</v>
      </c>
      <c r="B3006" s="376" t="s">
        <v>1609</v>
      </c>
      <c r="C3006" s="376" t="s">
        <v>1051</v>
      </c>
      <c r="D3006" s="376">
        <v>2026</v>
      </c>
      <c r="E3006" s="376">
        <v>2029</v>
      </c>
      <c r="F3006" s="376">
        <v>0.23884589662749595</v>
      </c>
      <c r="G3006" s="376">
        <v>10426.102375692073</v>
      </c>
      <c r="H3006" s="376">
        <v>0</v>
      </c>
      <c r="I3006" s="376">
        <v>1</v>
      </c>
    </row>
    <row r="3007" spans="1:9" x14ac:dyDescent="0.35">
      <c r="A3007" s="376" t="s">
        <v>1605</v>
      </c>
      <c r="B3007" s="376" t="s">
        <v>1609</v>
      </c>
      <c r="C3007" s="376" t="s">
        <v>1054</v>
      </c>
      <c r="D3007" s="376">
        <v>2026</v>
      </c>
      <c r="E3007" s="376">
        <v>2029</v>
      </c>
      <c r="F3007" s="376">
        <v>0.23884589662749595</v>
      </c>
      <c r="G3007" s="376">
        <v>10426.102375692073</v>
      </c>
      <c r="H3007" s="376">
        <v>0</v>
      </c>
      <c r="I3007" s="376">
        <v>1</v>
      </c>
    </row>
    <row r="3008" spans="1:9" x14ac:dyDescent="0.35">
      <c r="A3008" s="376" t="s">
        <v>1605</v>
      </c>
      <c r="B3008" s="376" t="s">
        <v>1609</v>
      </c>
      <c r="C3008" s="376" t="s">
        <v>1046</v>
      </c>
      <c r="D3008" s="376">
        <v>2026</v>
      </c>
      <c r="E3008" s="376">
        <v>2030</v>
      </c>
      <c r="F3008" s="376">
        <v>0.23884589662749595</v>
      </c>
      <c r="G3008" s="376">
        <v>10426.102375692073</v>
      </c>
      <c r="H3008" s="376">
        <v>0</v>
      </c>
      <c r="I3008" s="376">
        <v>1</v>
      </c>
    </row>
    <row r="3009" spans="1:9" x14ac:dyDescent="0.35">
      <c r="A3009" s="376" t="s">
        <v>1605</v>
      </c>
      <c r="B3009" s="376" t="s">
        <v>1609</v>
      </c>
      <c r="C3009" s="376" t="s">
        <v>644</v>
      </c>
      <c r="D3009" s="376">
        <v>2026</v>
      </c>
      <c r="E3009" s="376">
        <v>2030</v>
      </c>
      <c r="F3009" s="376">
        <v>0.23884589662749595</v>
      </c>
      <c r="G3009" s="376">
        <v>10426.102375692073</v>
      </c>
      <c r="H3009" s="376">
        <v>0</v>
      </c>
      <c r="I3009" s="376">
        <v>1</v>
      </c>
    </row>
    <row r="3010" spans="1:9" x14ac:dyDescent="0.35">
      <c r="A3010" s="376" t="s">
        <v>1605</v>
      </c>
      <c r="B3010" s="376" t="s">
        <v>1609</v>
      </c>
      <c r="C3010" s="376" t="s">
        <v>628</v>
      </c>
      <c r="D3010" s="376">
        <v>2026</v>
      </c>
      <c r="E3010" s="376">
        <v>2030</v>
      </c>
      <c r="F3010" s="376">
        <v>0.23884589662749595</v>
      </c>
      <c r="G3010" s="376">
        <v>10426.102375692073</v>
      </c>
      <c r="H3010" s="376">
        <v>0</v>
      </c>
      <c r="I3010" s="376">
        <v>1</v>
      </c>
    </row>
    <row r="3011" spans="1:9" x14ac:dyDescent="0.35">
      <c r="A3011" s="376" t="s">
        <v>1605</v>
      </c>
      <c r="B3011" s="376" t="s">
        <v>1609</v>
      </c>
      <c r="C3011" s="376" t="s">
        <v>1051</v>
      </c>
      <c r="D3011" s="376">
        <v>2026</v>
      </c>
      <c r="E3011" s="376">
        <v>2030</v>
      </c>
      <c r="F3011" s="376">
        <v>0.23884589662749595</v>
      </c>
      <c r="G3011" s="376">
        <v>10426.102375692073</v>
      </c>
      <c r="H3011" s="376">
        <v>0</v>
      </c>
      <c r="I3011" s="376">
        <v>1</v>
      </c>
    </row>
    <row r="3012" spans="1:9" x14ac:dyDescent="0.35">
      <c r="A3012" s="376" t="s">
        <v>1605</v>
      </c>
      <c r="B3012" s="376" t="s">
        <v>1609</v>
      </c>
      <c r="C3012" s="376" t="s">
        <v>1054</v>
      </c>
      <c r="D3012" s="376">
        <v>2026</v>
      </c>
      <c r="E3012" s="376">
        <v>2030</v>
      </c>
      <c r="F3012" s="376">
        <v>0.23884589662749595</v>
      </c>
      <c r="G3012" s="376">
        <v>10426.102375692073</v>
      </c>
      <c r="H3012" s="376">
        <v>0</v>
      </c>
      <c r="I3012" s="376">
        <v>1</v>
      </c>
    </row>
    <row r="3013" spans="1:9" x14ac:dyDescent="0.35">
      <c r="A3013" s="376" t="s">
        <v>1605</v>
      </c>
      <c r="B3013" s="376" t="s">
        <v>1609</v>
      </c>
      <c r="C3013" s="376" t="s">
        <v>1046</v>
      </c>
      <c r="D3013" s="376">
        <v>2026</v>
      </c>
      <c r="E3013" s="376">
        <v>2031</v>
      </c>
      <c r="F3013" s="376">
        <v>0.23884589662749595</v>
      </c>
      <c r="G3013" s="376">
        <v>10426.102375692073</v>
      </c>
      <c r="H3013" s="376">
        <v>0</v>
      </c>
      <c r="I3013" s="376">
        <v>1</v>
      </c>
    </row>
    <row r="3014" spans="1:9" x14ac:dyDescent="0.35">
      <c r="A3014" s="376" t="s">
        <v>1605</v>
      </c>
      <c r="B3014" s="376" t="s">
        <v>1609</v>
      </c>
      <c r="C3014" s="376" t="s">
        <v>644</v>
      </c>
      <c r="D3014" s="376">
        <v>2026</v>
      </c>
      <c r="E3014" s="376">
        <v>2031</v>
      </c>
      <c r="F3014" s="376">
        <v>0.23884589662749595</v>
      </c>
      <c r="G3014" s="376">
        <v>10426.102375692073</v>
      </c>
      <c r="H3014" s="376">
        <v>0</v>
      </c>
      <c r="I3014" s="376">
        <v>1</v>
      </c>
    </row>
    <row r="3015" spans="1:9" x14ac:dyDescent="0.35">
      <c r="A3015" s="376" t="s">
        <v>1605</v>
      </c>
      <c r="B3015" s="376" t="s">
        <v>1609</v>
      </c>
      <c r="C3015" s="376" t="s">
        <v>628</v>
      </c>
      <c r="D3015" s="376">
        <v>2026</v>
      </c>
      <c r="E3015" s="376">
        <v>2031</v>
      </c>
      <c r="F3015" s="376">
        <v>0.23884589662749595</v>
      </c>
      <c r="G3015" s="376">
        <v>10426.102375692073</v>
      </c>
      <c r="H3015" s="376">
        <v>0</v>
      </c>
      <c r="I3015" s="376">
        <v>1</v>
      </c>
    </row>
    <row r="3016" spans="1:9" x14ac:dyDescent="0.35">
      <c r="A3016" s="376" t="s">
        <v>1605</v>
      </c>
      <c r="B3016" s="376" t="s">
        <v>1609</v>
      </c>
      <c r="C3016" s="376" t="s">
        <v>1051</v>
      </c>
      <c r="D3016" s="376">
        <v>2026</v>
      </c>
      <c r="E3016" s="376">
        <v>2031</v>
      </c>
      <c r="F3016" s="376">
        <v>0.23884589662749595</v>
      </c>
      <c r="G3016" s="376">
        <v>10426.102375692073</v>
      </c>
      <c r="H3016" s="376">
        <v>0</v>
      </c>
      <c r="I3016" s="376">
        <v>1</v>
      </c>
    </row>
    <row r="3017" spans="1:9" x14ac:dyDescent="0.35">
      <c r="A3017" s="376" t="s">
        <v>1605</v>
      </c>
      <c r="B3017" s="376" t="s">
        <v>1609</v>
      </c>
      <c r="C3017" s="376" t="s">
        <v>1054</v>
      </c>
      <c r="D3017" s="376">
        <v>2026</v>
      </c>
      <c r="E3017" s="376">
        <v>2031</v>
      </c>
      <c r="F3017" s="376">
        <v>0.23884589662749595</v>
      </c>
      <c r="G3017" s="376">
        <v>10426.102375692073</v>
      </c>
      <c r="H3017" s="376">
        <v>0</v>
      </c>
      <c r="I3017" s="376">
        <v>1</v>
      </c>
    </row>
    <row r="3018" spans="1:9" x14ac:dyDescent="0.35">
      <c r="A3018" s="376" t="s">
        <v>1636</v>
      </c>
      <c r="B3018" s="376" t="s">
        <v>1609</v>
      </c>
      <c r="C3018" s="376" t="s">
        <v>1046</v>
      </c>
      <c r="D3018" s="376">
        <v>2026</v>
      </c>
      <c r="E3018" s="376">
        <v>2026</v>
      </c>
      <c r="F3018" s="376">
        <v>1</v>
      </c>
      <c r="G3018" s="376">
        <v>3450.308751281123</v>
      </c>
      <c r="H3018" s="376">
        <v>0</v>
      </c>
      <c r="I3018" s="376">
        <v>1</v>
      </c>
    </row>
    <row r="3019" spans="1:9" x14ac:dyDescent="0.35">
      <c r="A3019" s="376" t="s">
        <v>1636</v>
      </c>
      <c r="B3019" s="376" t="s">
        <v>1609</v>
      </c>
      <c r="C3019" s="376" t="s">
        <v>644</v>
      </c>
      <c r="D3019" s="376">
        <v>2026</v>
      </c>
      <c r="E3019" s="376">
        <v>2026</v>
      </c>
      <c r="F3019" s="376">
        <v>1</v>
      </c>
      <c r="G3019" s="376">
        <v>3450.308751281123</v>
      </c>
      <c r="H3019" s="376">
        <v>0</v>
      </c>
      <c r="I3019" s="376">
        <v>1</v>
      </c>
    </row>
    <row r="3020" spans="1:9" x14ac:dyDescent="0.35">
      <c r="A3020" s="376" t="s">
        <v>1636</v>
      </c>
      <c r="B3020" s="376" t="s">
        <v>1609</v>
      </c>
      <c r="C3020" s="376" t="s">
        <v>628</v>
      </c>
      <c r="D3020" s="376">
        <v>2026</v>
      </c>
      <c r="E3020" s="376">
        <v>2026</v>
      </c>
      <c r="F3020" s="376">
        <v>1</v>
      </c>
      <c r="G3020" s="376">
        <v>3450.308751281123</v>
      </c>
      <c r="H3020" s="376">
        <v>0</v>
      </c>
      <c r="I3020" s="376">
        <v>1</v>
      </c>
    </row>
    <row r="3021" spans="1:9" x14ac:dyDescent="0.35">
      <c r="A3021" s="376" t="s">
        <v>1636</v>
      </c>
      <c r="B3021" s="376" t="s">
        <v>1609</v>
      </c>
      <c r="C3021" s="376" t="s">
        <v>1051</v>
      </c>
      <c r="D3021" s="376">
        <v>2026</v>
      </c>
      <c r="E3021" s="376">
        <v>2026</v>
      </c>
      <c r="F3021" s="376">
        <v>1</v>
      </c>
      <c r="G3021" s="376">
        <v>3450.308751281123</v>
      </c>
      <c r="H3021" s="376">
        <v>0</v>
      </c>
      <c r="I3021" s="376">
        <v>1</v>
      </c>
    </row>
    <row r="3022" spans="1:9" x14ac:dyDescent="0.35">
      <c r="A3022" s="376" t="s">
        <v>1636</v>
      </c>
      <c r="B3022" s="376" t="s">
        <v>1609</v>
      </c>
      <c r="C3022" s="376" t="s">
        <v>1054</v>
      </c>
      <c r="D3022" s="376">
        <v>2026</v>
      </c>
      <c r="E3022" s="376">
        <v>2026</v>
      </c>
      <c r="F3022" s="376">
        <v>1</v>
      </c>
      <c r="G3022" s="376">
        <v>3450.308751281123</v>
      </c>
      <c r="H3022" s="376">
        <v>0</v>
      </c>
      <c r="I3022" s="376">
        <v>1</v>
      </c>
    </row>
    <row r="3023" spans="1:9" x14ac:dyDescent="0.35">
      <c r="A3023" s="376" t="s">
        <v>1636</v>
      </c>
      <c r="B3023" s="376" t="s">
        <v>1609</v>
      </c>
      <c r="C3023" s="376" t="s">
        <v>1046</v>
      </c>
      <c r="D3023" s="376">
        <v>2026</v>
      </c>
      <c r="E3023" s="376">
        <v>2027</v>
      </c>
      <c r="F3023" s="376">
        <v>1</v>
      </c>
      <c r="G3023" s="376">
        <v>3450.308751281123</v>
      </c>
      <c r="H3023" s="376">
        <v>0</v>
      </c>
      <c r="I3023" s="376">
        <v>1</v>
      </c>
    </row>
    <row r="3024" spans="1:9" x14ac:dyDescent="0.35">
      <c r="A3024" s="376" t="s">
        <v>1636</v>
      </c>
      <c r="B3024" s="376" t="s">
        <v>1609</v>
      </c>
      <c r="C3024" s="376" t="s">
        <v>644</v>
      </c>
      <c r="D3024" s="376">
        <v>2026</v>
      </c>
      <c r="E3024" s="376">
        <v>2027</v>
      </c>
      <c r="F3024" s="376">
        <v>1</v>
      </c>
      <c r="G3024" s="376">
        <v>3450.308751281123</v>
      </c>
      <c r="H3024" s="376">
        <v>0</v>
      </c>
      <c r="I3024" s="376">
        <v>1</v>
      </c>
    </row>
    <row r="3025" spans="1:9" x14ac:dyDescent="0.35">
      <c r="A3025" s="376" t="s">
        <v>1636</v>
      </c>
      <c r="B3025" s="376" t="s">
        <v>1609</v>
      </c>
      <c r="C3025" s="376" t="s">
        <v>628</v>
      </c>
      <c r="D3025" s="376">
        <v>2026</v>
      </c>
      <c r="E3025" s="376">
        <v>2027</v>
      </c>
      <c r="F3025" s="376">
        <v>1</v>
      </c>
      <c r="G3025" s="376">
        <v>3450.308751281123</v>
      </c>
      <c r="H3025" s="376">
        <v>0</v>
      </c>
      <c r="I3025" s="376">
        <v>1</v>
      </c>
    </row>
    <row r="3026" spans="1:9" x14ac:dyDescent="0.35">
      <c r="A3026" s="376" t="s">
        <v>1636</v>
      </c>
      <c r="B3026" s="376" t="s">
        <v>1609</v>
      </c>
      <c r="C3026" s="376" t="s">
        <v>1051</v>
      </c>
      <c r="D3026" s="376">
        <v>2026</v>
      </c>
      <c r="E3026" s="376">
        <v>2027</v>
      </c>
      <c r="F3026" s="376">
        <v>1</v>
      </c>
      <c r="G3026" s="376">
        <v>3450.308751281123</v>
      </c>
      <c r="H3026" s="376">
        <v>0</v>
      </c>
      <c r="I3026" s="376">
        <v>1</v>
      </c>
    </row>
    <row r="3027" spans="1:9" x14ac:dyDescent="0.35">
      <c r="A3027" s="376" t="s">
        <v>1636</v>
      </c>
      <c r="B3027" s="376" t="s">
        <v>1609</v>
      </c>
      <c r="C3027" s="376" t="s">
        <v>1054</v>
      </c>
      <c r="D3027" s="376">
        <v>2026</v>
      </c>
      <c r="E3027" s="376">
        <v>2027</v>
      </c>
      <c r="F3027" s="376">
        <v>1</v>
      </c>
      <c r="G3027" s="376">
        <v>3450.308751281123</v>
      </c>
      <c r="H3027" s="376">
        <v>0</v>
      </c>
      <c r="I3027" s="376">
        <v>1</v>
      </c>
    </row>
    <row r="3028" spans="1:9" x14ac:dyDescent="0.35">
      <c r="A3028" s="376" t="s">
        <v>1636</v>
      </c>
      <c r="B3028" s="376" t="s">
        <v>1609</v>
      </c>
      <c r="C3028" s="376" t="s">
        <v>1046</v>
      </c>
      <c r="D3028" s="376">
        <v>2026</v>
      </c>
      <c r="E3028" s="376">
        <v>2028</v>
      </c>
      <c r="F3028" s="376">
        <v>1</v>
      </c>
      <c r="G3028" s="376">
        <v>3450.308751281123</v>
      </c>
      <c r="H3028" s="376">
        <v>0</v>
      </c>
      <c r="I3028" s="376">
        <v>1</v>
      </c>
    </row>
    <row r="3029" spans="1:9" x14ac:dyDescent="0.35">
      <c r="A3029" s="376" t="s">
        <v>1636</v>
      </c>
      <c r="B3029" s="376" t="s">
        <v>1609</v>
      </c>
      <c r="C3029" s="376" t="s">
        <v>644</v>
      </c>
      <c r="D3029" s="376">
        <v>2026</v>
      </c>
      <c r="E3029" s="376">
        <v>2028</v>
      </c>
      <c r="F3029" s="376">
        <v>1</v>
      </c>
      <c r="G3029" s="376">
        <v>3450.308751281123</v>
      </c>
      <c r="H3029" s="376">
        <v>0</v>
      </c>
      <c r="I3029" s="376">
        <v>1</v>
      </c>
    </row>
    <row r="3030" spans="1:9" x14ac:dyDescent="0.35">
      <c r="A3030" s="376" t="s">
        <v>1636</v>
      </c>
      <c r="B3030" s="376" t="s">
        <v>1609</v>
      </c>
      <c r="C3030" s="376" t="s">
        <v>628</v>
      </c>
      <c r="D3030" s="376">
        <v>2026</v>
      </c>
      <c r="E3030" s="376">
        <v>2028</v>
      </c>
      <c r="F3030" s="376">
        <v>1</v>
      </c>
      <c r="G3030" s="376">
        <v>3450.308751281123</v>
      </c>
      <c r="H3030" s="376">
        <v>0</v>
      </c>
      <c r="I3030" s="376">
        <v>1</v>
      </c>
    </row>
    <row r="3031" spans="1:9" x14ac:dyDescent="0.35">
      <c r="A3031" s="376" t="s">
        <v>1636</v>
      </c>
      <c r="B3031" s="376" t="s">
        <v>1609</v>
      </c>
      <c r="C3031" s="376" t="s">
        <v>1051</v>
      </c>
      <c r="D3031" s="376">
        <v>2026</v>
      </c>
      <c r="E3031" s="376">
        <v>2028</v>
      </c>
      <c r="F3031" s="376">
        <v>1</v>
      </c>
      <c r="G3031" s="376">
        <v>3450.308751281123</v>
      </c>
      <c r="H3031" s="376">
        <v>0</v>
      </c>
      <c r="I3031" s="376">
        <v>1</v>
      </c>
    </row>
    <row r="3032" spans="1:9" x14ac:dyDescent="0.35">
      <c r="A3032" s="376" t="s">
        <v>1636</v>
      </c>
      <c r="B3032" s="376" t="s">
        <v>1609</v>
      </c>
      <c r="C3032" s="376" t="s">
        <v>1054</v>
      </c>
      <c r="D3032" s="376">
        <v>2026</v>
      </c>
      <c r="E3032" s="376">
        <v>2028</v>
      </c>
      <c r="F3032" s="376">
        <v>1</v>
      </c>
      <c r="G3032" s="376">
        <v>3450.308751281123</v>
      </c>
      <c r="H3032" s="376">
        <v>0</v>
      </c>
      <c r="I3032" s="376">
        <v>1</v>
      </c>
    </row>
    <row r="3033" spans="1:9" x14ac:dyDescent="0.35">
      <c r="A3033" s="376" t="s">
        <v>1636</v>
      </c>
      <c r="B3033" s="376" t="s">
        <v>1609</v>
      </c>
      <c r="C3033" s="376" t="s">
        <v>1046</v>
      </c>
      <c r="D3033" s="376">
        <v>2026</v>
      </c>
      <c r="E3033" s="376">
        <v>2029</v>
      </c>
      <c r="F3033" s="376">
        <v>1</v>
      </c>
      <c r="G3033" s="376">
        <v>3450.308751281123</v>
      </c>
      <c r="H3033" s="376">
        <v>0</v>
      </c>
      <c r="I3033" s="376">
        <v>1</v>
      </c>
    </row>
    <row r="3034" spans="1:9" x14ac:dyDescent="0.35">
      <c r="A3034" s="376" t="s">
        <v>1636</v>
      </c>
      <c r="B3034" s="376" t="s">
        <v>1609</v>
      </c>
      <c r="C3034" s="376" t="s">
        <v>644</v>
      </c>
      <c r="D3034" s="376">
        <v>2026</v>
      </c>
      <c r="E3034" s="376">
        <v>2029</v>
      </c>
      <c r="F3034" s="376">
        <v>1</v>
      </c>
      <c r="G3034" s="376">
        <v>3450.308751281123</v>
      </c>
      <c r="H3034" s="376">
        <v>0</v>
      </c>
      <c r="I3034" s="376">
        <v>1</v>
      </c>
    </row>
    <row r="3035" spans="1:9" x14ac:dyDescent="0.35">
      <c r="A3035" s="376" t="s">
        <v>1636</v>
      </c>
      <c r="B3035" s="376" t="s">
        <v>1609</v>
      </c>
      <c r="C3035" s="376" t="s">
        <v>628</v>
      </c>
      <c r="D3035" s="376">
        <v>2026</v>
      </c>
      <c r="E3035" s="376">
        <v>2029</v>
      </c>
      <c r="F3035" s="376">
        <v>1</v>
      </c>
      <c r="G3035" s="376">
        <v>3450.308751281123</v>
      </c>
      <c r="H3035" s="376">
        <v>0</v>
      </c>
      <c r="I3035" s="376">
        <v>1</v>
      </c>
    </row>
    <row r="3036" spans="1:9" x14ac:dyDescent="0.35">
      <c r="A3036" s="376" t="s">
        <v>1636</v>
      </c>
      <c r="B3036" s="376" t="s">
        <v>1609</v>
      </c>
      <c r="C3036" s="376" t="s">
        <v>1051</v>
      </c>
      <c r="D3036" s="376">
        <v>2026</v>
      </c>
      <c r="E3036" s="376">
        <v>2029</v>
      </c>
      <c r="F3036" s="376">
        <v>1</v>
      </c>
      <c r="G3036" s="376">
        <v>3450.308751281123</v>
      </c>
      <c r="H3036" s="376">
        <v>0</v>
      </c>
      <c r="I3036" s="376">
        <v>1</v>
      </c>
    </row>
    <row r="3037" spans="1:9" x14ac:dyDescent="0.35">
      <c r="A3037" s="376" t="s">
        <v>1636</v>
      </c>
      <c r="B3037" s="376" t="s">
        <v>1609</v>
      </c>
      <c r="C3037" s="376" t="s">
        <v>1054</v>
      </c>
      <c r="D3037" s="376">
        <v>2026</v>
      </c>
      <c r="E3037" s="376">
        <v>2029</v>
      </c>
      <c r="F3037" s="376">
        <v>1</v>
      </c>
      <c r="G3037" s="376">
        <v>3450.308751281123</v>
      </c>
      <c r="H3037" s="376">
        <v>0</v>
      </c>
      <c r="I3037" s="376">
        <v>1</v>
      </c>
    </row>
    <row r="3038" spans="1:9" x14ac:dyDescent="0.35">
      <c r="A3038" s="376" t="s">
        <v>1636</v>
      </c>
      <c r="B3038" s="376" t="s">
        <v>1609</v>
      </c>
      <c r="C3038" s="376" t="s">
        <v>1046</v>
      </c>
      <c r="D3038" s="376">
        <v>2026</v>
      </c>
      <c r="E3038" s="376">
        <v>2030</v>
      </c>
      <c r="F3038" s="376">
        <v>1</v>
      </c>
      <c r="G3038" s="376">
        <v>3450.308751281123</v>
      </c>
      <c r="H3038" s="376">
        <v>0</v>
      </c>
      <c r="I3038" s="376">
        <v>1</v>
      </c>
    </row>
    <row r="3039" spans="1:9" x14ac:dyDescent="0.35">
      <c r="A3039" s="376" t="s">
        <v>1636</v>
      </c>
      <c r="B3039" s="376" t="s">
        <v>1609</v>
      </c>
      <c r="C3039" s="376" t="s">
        <v>644</v>
      </c>
      <c r="D3039" s="376">
        <v>2026</v>
      </c>
      <c r="E3039" s="376">
        <v>2030</v>
      </c>
      <c r="F3039" s="376">
        <v>1</v>
      </c>
      <c r="G3039" s="376">
        <v>3450.308751281123</v>
      </c>
      <c r="H3039" s="376">
        <v>0</v>
      </c>
      <c r="I3039" s="376">
        <v>1</v>
      </c>
    </row>
    <row r="3040" spans="1:9" x14ac:dyDescent="0.35">
      <c r="A3040" s="376" t="s">
        <v>1636</v>
      </c>
      <c r="B3040" s="376" t="s">
        <v>1609</v>
      </c>
      <c r="C3040" s="376" t="s">
        <v>628</v>
      </c>
      <c r="D3040" s="376">
        <v>2026</v>
      </c>
      <c r="E3040" s="376">
        <v>2030</v>
      </c>
      <c r="F3040" s="376">
        <v>1</v>
      </c>
      <c r="G3040" s="376">
        <v>3450.308751281123</v>
      </c>
      <c r="H3040" s="376">
        <v>0</v>
      </c>
      <c r="I3040" s="376">
        <v>1</v>
      </c>
    </row>
    <row r="3041" spans="1:9" x14ac:dyDescent="0.35">
      <c r="A3041" s="376" t="s">
        <v>1636</v>
      </c>
      <c r="B3041" s="376" t="s">
        <v>1609</v>
      </c>
      <c r="C3041" s="376" t="s">
        <v>1051</v>
      </c>
      <c r="D3041" s="376">
        <v>2026</v>
      </c>
      <c r="E3041" s="376">
        <v>2030</v>
      </c>
      <c r="F3041" s="376">
        <v>1</v>
      </c>
      <c r="G3041" s="376">
        <v>3450.308751281123</v>
      </c>
      <c r="H3041" s="376">
        <v>0</v>
      </c>
      <c r="I3041" s="376">
        <v>1</v>
      </c>
    </row>
    <row r="3042" spans="1:9" x14ac:dyDescent="0.35">
      <c r="A3042" s="376" t="s">
        <v>1636</v>
      </c>
      <c r="B3042" s="376" t="s">
        <v>1609</v>
      </c>
      <c r="C3042" s="376" t="s">
        <v>1054</v>
      </c>
      <c r="D3042" s="376">
        <v>2026</v>
      </c>
      <c r="E3042" s="376">
        <v>2030</v>
      </c>
      <c r="F3042" s="376">
        <v>1</v>
      </c>
      <c r="G3042" s="376">
        <v>3450.308751281123</v>
      </c>
      <c r="H3042" s="376">
        <v>0</v>
      </c>
      <c r="I3042" s="376">
        <v>1</v>
      </c>
    </row>
    <row r="3043" spans="1:9" x14ac:dyDescent="0.35">
      <c r="A3043" s="376" t="s">
        <v>1636</v>
      </c>
      <c r="B3043" s="376" t="s">
        <v>1609</v>
      </c>
      <c r="C3043" s="376" t="s">
        <v>1046</v>
      </c>
      <c r="D3043" s="376">
        <v>2026</v>
      </c>
      <c r="E3043" s="376">
        <v>2031</v>
      </c>
      <c r="F3043" s="376">
        <v>1</v>
      </c>
      <c r="G3043" s="376">
        <v>3450.308751281123</v>
      </c>
      <c r="H3043" s="376">
        <v>0</v>
      </c>
      <c r="I3043" s="376">
        <v>1</v>
      </c>
    </row>
    <row r="3044" spans="1:9" x14ac:dyDescent="0.35">
      <c r="A3044" s="376" t="s">
        <v>1636</v>
      </c>
      <c r="B3044" s="376" t="s">
        <v>1609</v>
      </c>
      <c r="C3044" s="376" t="s">
        <v>644</v>
      </c>
      <c r="D3044" s="376">
        <v>2026</v>
      </c>
      <c r="E3044" s="376">
        <v>2031</v>
      </c>
      <c r="F3044" s="376">
        <v>1</v>
      </c>
      <c r="G3044" s="376">
        <v>3450.308751281123</v>
      </c>
      <c r="H3044" s="376">
        <v>0</v>
      </c>
      <c r="I3044" s="376">
        <v>1</v>
      </c>
    </row>
    <row r="3045" spans="1:9" x14ac:dyDescent="0.35">
      <c r="A3045" s="376" t="s">
        <v>1636</v>
      </c>
      <c r="B3045" s="376" t="s">
        <v>1609</v>
      </c>
      <c r="C3045" s="376" t="s">
        <v>628</v>
      </c>
      <c r="D3045" s="376">
        <v>2026</v>
      </c>
      <c r="E3045" s="376">
        <v>2031</v>
      </c>
      <c r="F3045" s="376">
        <v>1</v>
      </c>
      <c r="G3045" s="376">
        <v>3450.308751281123</v>
      </c>
      <c r="H3045" s="376">
        <v>0</v>
      </c>
      <c r="I3045" s="376">
        <v>1</v>
      </c>
    </row>
    <row r="3046" spans="1:9" x14ac:dyDescent="0.35">
      <c r="A3046" s="376" t="s">
        <v>1636</v>
      </c>
      <c r="B3046" s="376" t="s">
        <v>1609</v>
      </c>
      <c r="C3046" s="376" t="s">
        <v>1051</v>
      </c>
      <c r="D3046" s="376">
        <v>2026</v>
      </c>
      <c r="E3046" s="376">
        <v>2031</v>
      </c>
      <c r="F3046" s="376">
        <v>1</v>
      </c>
      <c r="G3046" s="376">
        <v>3450.308751281123</v>
      </c>
      <c r="H3046" s="376">
        <v>0</v>
      </c>
      <c r="I3046" s="376">
        <v>1</v>
      </c>
    </row>
    <row r="3047" spans="1:9" x14ac:dyDescent="0.35">
      <c r="A3047" s="376" t="s">
        <v>1636</v>
      </c>
      <c r="B3047" s="376" t="s">
        <v>1609</v>
      </c>
      <c r="C3047" s="376" t="s">
        <v>1054</v>
      </c>
      <c r="D3047" s="376">
        <v>2026</v>
      </c>
      <c r="E3047" s="376">
        <v>2031</v>
      </c>
      <c r="F3047" s="376">
        <v>1</v>
      </c>
      <c r="G3047" s="376">
        <v>3450.308751281123</v>
      </c>
      <c r="H3047" s="376">
        <v>0</v>
      </c>
      <c r="I3047" s="376">
        <v>1</v>
      </c>
    </row>
    <row r="3048" spans="1:9" x14ac:dyDescent="0.35">
      <c r="A3048" s="376" t="s">
        <v>1606</v>
      </c>
      <c r="B3048" s="376" t="s">
        <v>1609</v>
      </c>
      <c r="C3048" s="376" t="s">
        <v>1046</v>
      </c>
      <c r="D3048" s="376">
        <v>2026</v>
      </c>
      <c r="E3048" s="376">
        <v>2026</v>
      </c>
      <c r="F3048" s="376">
        <v>1</v>
      </c>
      <c r="G3048" s="376">
        <v>5874.0932972146502</v>
      </c>
      <c r="H3048" s="376">
        <v>0</v>
      </c>
      <c r="I3048" s="376">
        <v>1</v>
      </c>
    </row>
    <row r="3049" spans="1:9" x14ac:dyDescent="0.35">
      <c r="A3049" s="376" t="s">
        <v>1606</v>
      </c>
      <c r="B3049" s="376" t="s">
        <v>1609</v>
      </c>
      <c r="C3049" s="376" t="s">
        <v>644</v>
      </c>
      <c r="D3049" s="376">
        <v>2026</v>
      </c>
      <c r="E3049" s="376">
        <v>2026</v>
      </c>
      <c r="F3049" s="376">
        <v>1</v>
      </c>
      <c r="G3049" s="376">
        <v>5874.0932972146502</v>
      </c>
      <c r="H3049" s="376">
        <v>0</v>
      </c>
      <c r="I3049" s="376">
        <v>1</v>
      </c>
    </row>
    <row r="3050" spans="1:9" x14ac:dyDescent="0.35">
      <c r="A3050" s="376" t="s">
        <v>1606</v>
      </c>
      <c r="B3050" s="376" t="s">
        <v>1609</v>
      </c>
      <c r="C3050" s="376" t="s">
        <v>628</v>
      </c>
      <c r="D3050" s="376">
        <v>2026</v>
      </c>
      <c r="E3050" s="376">
        <v>2026</v>
      </c>
      <c r="F3050" s="376">
        <v>1</v>
      </c>
      <c r="G3050" s="376">
        <v>5874.0932972146502</v>
      </c>
      <c r="H3050" s="376">
        <v>0</v>
      </c>
      <c r="I3050" s="376">
        <v>1</v>
      </c>
    </row>
    <row r="3051" spans="1:9" x14ac:dyDescent="0.35">
      <c r="A3051" s="376" t="s">
        <v>1606</v>
      </c>
      <c r="B3051" s="376" t="s">
        <v>1609</v>
      </c>
      <c r="C3051" s="376" t="s">
        <v>1051</v>
      </c>
      <c r="D3051" s="376">
        <v>2026</v>
      </c>
      <c r="E3051" s="376">
        <v>2026</v>
      </c>
      <c r="F3051" s="376">
        <v>1</v>
      </c>
      <c r="G3051" s="376">
        <v>5874.0932972146502</v>
      </c>
      <c r="H3051" s="376">
        <v>0</v>
      </c>
      <c r="I3051" s="376">
        <v>1</v>
      </c>
    </row>
    <row r="3052" spans="1:9" x14ac:dyDescent="0.35">
      <c r="A3052" s="376" t="s">
        <v>1606</v>
      </c>
      <c r="B3052" s="376" t="s">
        <v>1609</v>
      </c>
      <c r="C3052" s="376" t="s">
        <v>1054</v>
      </c>
      <c r="D3052" s="376">
        <v>2026</v>
      </c>
      <c r="E3052" s="376">
        <v>2026</v>
      </c>
      <c r="F3052" s="376">
        <v>1</v>
      </c>
      <c r="G3052" s="376">
        <v>5874.0932972146502</v>
      </c>
      <c r="H3052" s="376">
        <v>0</v>
      </c>
      <c r="I3052" s="376">
        <v>1</v>
      </c>
    </row>
    <row r="3053" spans="1:9" x14ac:dyDescent="0.35">
      <c r="A3053" s="376" t="s">
        <v>1606</v>
      </c>
      <c r="B3053" s="376" t="s">
        <v>1609</v>
      </c>
      <c r="C3053" s="376" t="s">
        <v>1046</v>
      </c>
      <c r="D3053" s="376">
        <v>2026</v>
      </c>
      <c r="E3053" s="376">
        <v>2027</v>
      </c>
      <c r="F3053" s="376">
        <v>1</v>
      </c>
      <c r="G3053" s="376">
        <v>5874.0932972146502</v>
      </c>
      <c r="H3053" s="376">
        <v>0</v>
      </c>
      <c r="I3053" s="376">
        <v>1</v>
      </c>
    </row>
    <row r="3054" spans="1:9" x14ac:dyDescent="0.35">
      <c r="A3054" s="376" t="s">
        <v>1606</v>
      </c>
      <c r="B3054" s="376" t="s">
        <v>1609</v>
      </c>
      <c r="C3054" s="376" t="s">
        <v>644</v>
      </c>
      <c r="D3054" s="376">
        <v>2026</v>
      </c>
      <c r="E3054" s="376">
        <v>2027</v>
      </c>
      <c r="F3054" s="376">
        <v>1</v>
      </c>
      <c r="G3054" s="376">
        <v>5874.0932972146502</v>
      </c>
      <c r="H3054" s="376">
        <v>0</v>
      </c>
      <c r="I3054" s="376">
        <v>1</v>
      </c>
    </row>
    <row r="3055" spans="1:9" x14ac:dyDescent="0.35">
      <c r="A3055" s="376" t="s">
        <v>1606</v>
      </c>
      <c r="B3055" s="376" t="s">
        <v>1609</v>
      </c>
      <c r="C3055" s="376" t="s">
        <v>628</v>
      </c>
      <c r="D3055" s="376">
        <v>2026</v>
      </c>
      <c r="E3055" s="376">
        <v>2027</v>
      </c>
      <c r="F3055" s="376">
        <v>1</v>
      </c>
      <c r="G3055" s="376">
        <v>5874.0932972146502</v>
      </c>
      <c r="H3055" s="376">
        <v>0</v>
      </c>
      <c r="I3055" s="376">
        <v>1</v>
      </c>
    </row>
    <row r="3056" spans="1:9" x14ac:dyDescent="0.35">
      <c r="A3056" s="376" t="s">
        <v>1606</v>
      </c>
      <c r="B3056" s="376" t="s">
        <v>1609</v>
      </c>
      <c r="C3056" s="376" t="s">
        <v>1051</v>
      </c>
      <c r="D3056" s="376">
        <v>2026</v>
      </c>
      <c r="E3056" s="376">
        <v>2027</v>
      </c>
      <c r="F3056" s="376">
        <v>1</v>
      </c>
      <c r="G3056" s="376">
        <v>5874.0932972146502</v>
      </c>
      <c r="H3056" s="376">
        <v>0</v>
      </c>
      <c r="I3056" s="376">
        <v>1</v>
      </c>
    </row>
    <row r="3057" spans="1:9" x14ac:dyDescent="0.35">
      <c r="A3057" s="376" t="s">
        <v>1606</v>
      </c>
      <c r="B3057" s="376" t="s">
        <v>1609</v>
      </c>
      <c r="C3057" s="376" t="s">
        <v>1054</v>
      </c>
      <c r="D3057" s="376">
        <v>2026</v>
      </c>
      <c r="E3057" s="376">
        <v>2027</v>
      </c>
      <c r="F3057" s="376">
        <v>1</v>
      </c>
      <c r="G3057" s="376">
        <v>5874.0932972146502</v>
      </c>
      <c r="H3057" s="376">
        <v>0</v>
      </c>
      <c r="I3057" s="376">
        <v>1</v>
      </c>
    </row>
    <row r="3058" spans="1:9" x14ac:dyDescent="0.35">
      <c r="A3058" s="376" t="s">
        <v>1606</v>
      </c>
      <c r="B3058" s="376" t="s">
        <v>1609</v>
      </c>
      <c r="C3058" s="376" t="s">
        <v>1046</v>
      </c>
      <c r="D3058" s="376">
        <v>2026</v>
      </c>
      <c r="E3058" s="376">
        <v>2028</v>
      </c>
      <c r="F3058" s="376">
        <v>1</v>
      </c>
      <c r="G3058" s="376">
        <v>5874.0932972146502</v>
      </c>
      <c r="H3058" s="376">
        <v>0</v>
      </c>
      <c r="I3058" s="376">
        <v>1</v>
      </c>
    </row>
    <row r="3059" spans="1:9" x14ac:dyDescent="0.35">
      <c r="A3059" s="376" t="s">
        <v>1606</v>
      </c>
      <c r="B3059" s="376" t="s">
        <v>1609</v>
      </c>
      <c r="C3059" s="376" t="s">
        <v>644</v>
      </c>
      <c r="D3059" s="376">
        <v>2026</v>
      </c>
      <c r="E3059" s="376">
        <v>2028</v>
      </c>
      <c r="F3059" s="376">
        <v>1</v>
      </c>
      <c r="G3059" s="376">
        <v>5874.0932972146502</v>
      </c>
      <c r="H3059" s="376">
        <v>0</v>
      </c>
      <c r="I3059" s="376">
        <v>1</v>
      </c>
    </row>
    <row r="3060" spans="1:9" x14ac:dyDescent="0.35">
      <c r="A3060" s="376" t="s">
        <v>1606</v>
      </c>
      <c r="B3060" s="376" t="s">
        <v>1609</v>
      </c>
      <c r="C3060" s="376" t="s">
        <v>628</v>
      </c>
      <c r="D3060" s="376">
        <v>2026</v>
      </c>
      <c r="E3060" s="376">
        <v>2028</v>
      </c>
      <c r="F3060" s="376">
        <v>1</v>
      </c>
      <c r="G3060" s="376">
        <v>5874.0932972146502</v>
      </c>
      <c r="H3060" s="376">
        <v>0</v>
      </c>
      <c r="I3060" s="376">
        <v>1</v>
      </c>
    </row>
    <row r="3061" spans="1:9" x14ac:dyDescent="0.35">
      <c r="A3061" s="376" t="s">
        <v>1606</v>
      </c>
      <c r="B3061" s="376" t="s">
        <v>1609</v>
      </c>
      <c r="C3061" s="376" t="s">
        <v>1051</v>
      </c>
      <c r="D3061" s="376">
        <v>2026</v>
      </c>
      <c r="E3061" s="376">
        <v>2028</v>
      </c>
      <c r="F3061" s="376">
        <v>1</v>
      </c>
      <c r="G3061" s="376">
        <v>5874.0932972146502</v>
      </c>
      <c r="H3061" s="376">
        <v>0</v>
      </c>
      <c r="I3061" s="376">
        <v>1</v>
      </c>
    </row>
    <row r="3062" spans="1:9" x14ac:dyDescent="0.35">
      <c r="A3062" s="376" t="s">
        <v>1606</v>
      </c>
      <c r="B3062" s="376" t="s">
        <v>1609</v>
      </c>
      <c r="C3062" s="376" t="s">
        <v>1054</v>
      </c>
      <c r="D3062" s="376">
        <v>2026</v>
      </c>
      <c r="E3062" s="376">
        <v>2028</v>
      </c>
      <c r="F3062" s="376">
        <v>1</v>
      </c>
      <c r="G3062" s="376">
        <v>5874.0932972146502</v>
      </c>
      <c r="H3062" s="376">
        <v>0</v>
      </c>
      <c r="I3062" s="376">
        <v>1</v>
      </c>
    </row>
    <row r="3063" spans="1:9" x14ac:dyDescent="0.35">
      <c r="A3063" s="376" t="s">
        <v>1606</v>
      </c>
      <c r="B3063" s="376" t="s">
        <v>1609</v>
      </c>
      <c r="C3063" s="376" t="s">
        <v>1046</v>
      </c>
      <c r="D3063" s="376">
        <v>2026</v>
      </c>
      <c r="E3063" s="376">
        <v>2029</v>
      </c>
      <c r="F3063" s="376">
        <v>1</v>
      </c>
      <c r="G3063" s="376">
        <v>5874.0932972146502</v>
      </c>
      <c r="H3063" s="376">
        <v>0</v>
      </c>
      <c r="I3063" s="376">
        <v>1</v>
      </c>
    </row>
    <row r="3064" spans="1:9" x14ac:dyDescent="0.35">
      <c r="A3064" s="376" t="s">
        <v>1606</v>
      </c>
      <c r="B3064" s="376" t="s">
        <v>1609</v>
      </c>
      <c r="C3064" s="376" t="s">
        <v>644</v>
      </c>
      <c r="D3064" s="376">
        <v>2026</v>
      </c>
      <c r="E3064" s="376">
        <v>2029</v>
      </c>
      <c r="F3064" s="376">
        <v>1</v>
      </c>
      <c r="G3064" s="376">
        <v>5874.0932972146502</v>
      </c>
      <c r="H3064" s="376">
        <v>0</v>
      </c>
      <c r="I3064" s="376">
        <v>1</v>
      </c>
    </row>
    <row r="3065" spans="1:9" x14ac:dyDescent="0.35">
      <c r="A3065" s="376" t="s">
        <v>1606</v>
      </c>
      <c r="B3065" s="376" t="s">
        <v>1609</v>
      </c>
      <c r="C3065" s="376" t="s">
        <v>628</v>
      </c>
      <c r="D3065" s="376">
        <v>2026</v>
      </c>
      <c r="E3065" s="376">
        <v>2029</v>
      </c>
      <c r="F3065" s="376">
        <v>1</v>
      </c>
      <c r="G3065" s="376">
        <v>5874.0932972146502</v>
      </c>
      <c r="H3065" s="376">
        <v>0</v>
      </c>
      <c r="I3065" s="376">
        <v>1</v>
      </c>
    </row>
    <row r="3066" spans="1:9" x14ac:dyDescent="0.35">
      <c r="A3066" s="376" t="s">
        <v>1606</v>
      </c>
      <c r="B3066" s="376" t="s">
        <v>1609</v>
      </c>
      <c r="C3066" s="376" t="s">
        <v>1051</v>
      </c>
      <c r="D3066" s="376">
        <v>2026</v>
      </c>
      <c r="E3066" s="376">
        <v>2029</v>
      </c>
      <c r="F3066" s="376">
        <v>1</v>
      </c>
      <c r="G3066" s="376">
        <v>5874.0932972146502</v>
      </c>
      <c r="H3066" s="376">
        <v>0</v>
      </c>
      <c r="I3066" s="376">
        <v>1</v>
      </c>
    </row>
    <row r="3067" spans="1:9" x14ac:dyDescent="0.35">
      <c r="A3067" s="376" t="s">
        <v>1606</v>
      </c>
      <c r="B3067" s="376" t="s">
        <v>1609</v>
      </c>
      <c r="C3067" s="376" t="s">
        <v>1054</v>
      </c>
      <c r="D3067" s="376">
        <v>2026</v>
      </c>
      <c r="E3067" s="376">
        <v>2029</v>
      </c>
      <c r="F3067" s="376">
        <v>1</v>
      </c>
      <c r="G3067" s="376">
        <v>5874.0932972146502</v>
      </c>
      <c r="H3067" s="376">
        <v>0</v>
      </c>
      <c r="I3067" s="376">
        <v>1</v>
      </c>
    </row>
    <row r="3068" spans="1:9" x14ac:dyDescent="0.35">
      <c r="A3068" s="376" t="s">
        <v>1606</v>
      </c>
      <c r="B3068" s="376" t="s">
        <v>1609</v>
      </c>
      <c r="C3068" s="376" t="s">
        <v>1046</v>
      </c>
      <c r="D3068" s="376">
        <v>2026</v>
      </c>
      <c r="E3068" s="376">
        <v>2030</v>
      </c>
      <c r="F3068" s="376">
        <v>1</v>
      </c>
      <c r="G3068" s="376">
        <v>5874.0932972146502</v>
      </c>
      <c r="H3068" s="376">
        <v>0</v>
      </c>
      <c r="I3068" s="376">
        <v>1</v>
      </c>
    </row>
    <row r="3069" spans="1:9" x14ac:dyDescent="0.35">
      <c r="A3069" s="376" t="s">
        <v>1606</v>
      </c>
      <c r="B3069" s="376" t="s">
        <v>1609</v>
      </c>
      <c r="C3069" s="376" t="s">
        <v>644</v>
      </c>
      <c r="D3069" s="376">
        <v>2026</v>
      </c>
      <c r="E3069" s="376">
        <v>2030</v>
      </c>
      <c r="F3069" s="376">
        <v>1</v>
      </c>
      <c r="G3069" s="376">
        <v>5874.0932972146502</v>
      </c>
      <c r="H3069" s="376">
        <v>0</v>
      </c>
      <c r="I3069" s="376">
        <v>1</v>
      </c>
    </row>
    <row r="3070" spans="1:9" x14ac:dyDescent="0.35">
      <c r="A3070" s="376" t="s">
        <v>1606</v>
      </c>
      <c r="B3070" s="376" t="s">
        <v>1609</v>
      </c>
      <c r="C3070" s="376" t="s">
        <v>628</v>
      </c>
      <c r="D3070" s="376">
        <v>2026</v>
      </c>
      <c r="E3070" s="376">
        <v>2030</v>
      </c>
      <c r="F3070" s="376">
        <v>1</v>
      </c>
      <c r="G3070" s="376">
        <v>5874.0932972146502</v>
      </c>
      <c r="H3070" s="376">
        <v>0</v>
      </c>
      <c r="I3070" s="376">
        <v>1</v>
      </c>
    </row>
    <row r="3071" spans="1:9" x14ac:dyDescent="0.35">
      <c r="A3071" s="376" t="s">
        <v>1606</v>
      </c>
      <c r="B3071" s="376" t="s">
        <v>1609</v>
      </c>
      <c r="C3071" s="376" t="s">
        <v>1051</v>
      </c>
      <c r="D3071" s="376">
        <v>2026</v>
      </c>
      <c r="E3071" s="376">
        <v>2030</v>
      </c>
      <c r="F3071" s="376">
        <v>1</v>
      </c>
      <c r="G3071" s="376">
        <v>5874.0932972146502</v>
      </c>
      <c r="H3071" s="376">
        <v>0</v>
      </c>
      <c r="I3071" s="376">
        <v>1</v>
      </c>
    </row>
    <row r="3072" spans="1:9" x14ac:dyDescent="0.35">
      <c r="A3072" s="376" t="s">
        <v>1606</v>
      </c>
      <c r="B3072" s="376" t="s">
        <v>1609</v>
      </c>
      <c r="C3072" s="376" t="s">
        <v>1054</v>
      </c>
      <c r="D3072" s="376">
        <v>2026</v>
      </c>
      <c r="E3072" s="376">
        <v>2030</v>
      </c>
      <c r="F3072" s="376">
        <v>1</v>
      </c>
      <c r="G3072" s="376">
        <v>5874.0932972146502</v>
      </c>
      <c r="H3072" s="376">
        <v>0</v>
      </c>
      <c r="I3072" s="376">
        <v>1</v>
      </c>
    </row>
    <row r="3073" spans="1:9" x14ac:dyDescent="0.35">
      <c r="A3073" s="376" t="s">
        <v>1606</v>
      </c>
      <c r="B3073" s="376" t="s">
        <v>1609</v>
      </c>
      <c r="C3073" s="376" t="s">
        <v>1046</v>
      </c>
      <c r="D3073" s="376">
        <v>2026</v>
      </c>
      <c r="E3073" s="376">
        <v>2031</v>
      </c>
      <c r="F3073" s="376">
        <v>1</v>
      </c>
      <c r="G3073" s="376">
        <v>5874.0932972146502</v>
      </c>
      <c r="H3073" s="376">
        <v>0</v>
      </c>
      <c r="I3073" s="376">
        <v>1</v>
      </c>
    </row>
    <row r="3074" spans="1:9" x14ac:dyDescent="0.35">
      <c r="A3074" s="376" t="s">
        <v>1606</v>
      </c>
      <c r="B3074" s="376" t="s">
        <v>1609</v>
      </c>
      <c r="C3074" s="376" t="s">
        <v>644</v>
      </c>
      <c r="D3074" s="376">
        <v>2026</v>
      </c>
      <c r="E3074" s="376">
        <v>2031</v>
      </c>
      <c r="F3074" s="376">
        <v>1</v>
      </c>
      <c r="G3074" s="376">
        <v>5874.0932972146502</v>
      </c>
      <c r="H3074" s="376">
        <v>0</v>
      </c>
      <c r="I3074" s="376">
        <v>1</v>
      </c>
    </row>
    <row r="3075" spans="1:9" x14ac:dyDescent="0.35">
      <c r="A3075" s="376" t="s">
        <v>1606</v>
      </c>
      <c r="B3075" s="376" t="s">
        <v>1609</v>
      </c>
      <c r="C3075" s="376" t="s">
        <v>628</v>
      </c>
      <c r="D3075" s="376">
        <v>2026</v>
      </c>
      <c r="E3075" s="376">
        <v>2031</v>
      </c>
      <c r="F3075" s="376">
        <v>1</v>
      </c>
      <c r="G3075" s="376">
        <v>5874.0932972146502</v>
      </c>
      <c r="H3075" s="376">
        <v>0</v>
      </c>
      <c r="I3075" s="376">
        <v>1</v>
      </c>
    </row>
    <row r="3076" spans="1:9" x14ac:dyDescent="0.35">
      <c r="A3076" s="376" t="s">
        <v>1606</v>
      </c>
      <c r="B3076" s="376" t="s">
        <v>1609</v>
      </c>
      <c r="C3076" s="376" t="s">
        <v>1051</v>
      </c>
      <c r="D3076" s="376">
        <v>2026</v>
      </c>
      <c r="E3076" s="376">
        <v>2031</v>
      </c>
      <c r="F3076" s="376">
        <v>1</v>
      </c>
      <c r="G3076" s="376">
        <v>5874.0932972146502</v>
      </c>
      <c r="H3076" s="376">
        <v>0</v>
      </c>
      <c r="I3076" s="376">
        <v>1</v>
      </c>
    </row>
    <row r="3077" spans="1:9" x14ac:dyDescent="0.35">
      <c r="A3077" s="376" t="s">
        <v>1606</v>
      </c>
      <c r="B3077" s="376" t="s">
        <v>1609</v>
      </c>
      <c r="C3077" s="376" t="s">
        <v>1054</v>
      </c>
      <c r="D3077" s="376">
        <v>2026</v>
      </c>
      <c r="E3077" s="376">
        <v>2031</v>
      </c>
      <c r="F3077" s="376">
        <v>1</v>
      </c>
      <c r="G3077" s="376">
        <v>5874.0932972146502</v>
      </c>
      <c r="H3077" s="376">
        <v>0</v>
      </c>
      <c r="I3077" s="376">
        <v>1</v>
      </c>
    </row>
    <row r="3078" spans="1:9" x14ac:dyDescent="0.35">
      <c r="A3078" s="376" t="s">
        <v>1612</v>
      </c>
      <c r="B3078" s="376" t="s">
        <v>1609</v>
      </c>
      <c r="C3078" s="376" t="s">
        <v>1046</v>
      </c>
      <c r="D3078" s="376">
        <v>2027</v>
      </c>
      <c r="E3078" s="376">
        <v>2027</v>
      </c>
      <c r="F3078" s="376">
        <v>0.37384575124303709</v>
      </c>
      <c r="G3078" s="376">
        <v>9928.6887826901675</v>
      </c>
      <c r="H3078" s="376">
        <v>0.28062654711945834</v>
      </c>
      <c r="I3078" s="376">
        <v>0.85</v>
      </c>
    </row>
    <row r="3079" spans="1:9" x14ac:dyDescent="0.35">
      <c r="A3079" s="376" t="s">
        <v>1612</v>
      </c>
      <c r="B3079" s="376" t="s">
        <v>1609</v>
      </c>
      <c r="C3079" s="376" t="s">
        <v>644</v>
      </c>
      <c r="D3079" s="376">
        <v>2027</v>
      </c>
      <c r="E3079" s="376">
        <v>2027</v>
      </c>
      <c r="F3079" s="376">
        <v>0.37384575124303709</v>
      </c>
      <c r="G3079" s="376">
        <v>9928.6887826901675</v>
      </c>
      <c r="H3079" s="376">
        <v>0.28062654711945834</v>
      </c>
      <c r="I3079" s="376">
        <v>0.85</v>
      </c>
    </row>
    <row r="3080" spans="1:9" x14ac:dyDescent="0.35">
      <c r="A3080" s="376" t="s">
        <v>1612</v>
      </c>
      <c r="B3080" s="376" t="s">
        <v>1609</v>
      </c>
      <c r="C3080" s="376" t="s">
        <v>628</v>
      </c>
      <c r="D3080" s="376">
        <v>2027</v>
      </c>
      <c r="E3080" s="376">
        <v>2027</v>
      </c>
      <c r="F3080" s="376">
        <v>0.37384575124303709</v>
      </c>
      <c r="G3080" s="376">
        <v>9928.6887826901675</v>
      </c>
      <c r="H3080" s="376">
        <v>0.28062654711945834</v>
      </c>
      <c r="I3080" s="376">
        <v>0.85</v>
      </c>
    </row>
    <row r="3081" spans="1:9" x14ac:dyDescent="0.35">
      <c r="A3081" s="376" t="s">
        <v>1612</v>
      </c>
      <c r="B3081" s="376" t="s">
        <v>1609</v>
      </c>
      <c r="C3081" s="376" t="s">
        <v>1051</v>
      </c>
      <c r="D3081" s="376">
        <v>2027</v>
      </c>
      <c r="E3081" s="376">
        <v>2027</v>
      </c>
      <c r="F3081" s="376">
        <v>0.37384575124303709</v>
      </c>
      <c r="G3081" s="376">
        <v>9928.6887826901675</v>
      </c>
      <c r="H3081" s="376">
        <v>0.28062654711945834</v>
      </c>
      <c r="I3081" s="376">
        <v>0.85</v>
      </c>
    </row>
    <row r="3082" spans="1:9" x14ac:dyDescent="0.35">
      <c r="A3082" s="376" t="s">
        <v>1612</v>
      </c>
      <c r="B3082" s="376" t="s">
        <v>1609</v>
      </c>
      <c r="C3082" s="376" t="s">
        <v>1054</v>
      </c>
      <c r="D3082" s="376">
        <v>2027</v>
      </c>
      <c r="E3082" s="376">
        <v>2027</v>
      </c>
      <c r="F3082" s="376">
        <v>0.37384575124303709</v>
      </c>
      <c r="G3082" s="376">
        <v>9928.6887826901675</v>
      </c>
      <c r="H3082" s="376">
        <v>0.28062654711945834</v>
      </c>
      <c r="I3082" s="376">
        <v>0.85</v>
      </c>
    </row>
    <row r="3083" spans="1:9" x14ac:dyDescent="0.35">
      <c r="A3083" s="376" t="s">
        <v>1612</v>
      </c>
      <c r="B3083" s="376" t="s">
        <v>1609</v>
      </c>
      <c r="C3083" s="376" t="s">
        <v>1046</v>
      </c>
      <c r="D3083" s="376">
        <v>2027</v>
      </c>
      <c r="E3083" s="376">
        <v>2028</v>
      </c>
      <c r="F3083" s="376">
        <v>0.37384575124303709</v>
      </c>
      <c r="G3083" s="376">
        <v>9928.6887826901675</v>
      </c>
      <c r="H3083" s="376">
        <v>0.28062654711945834</v>
      </c>
      <c r="I3083" s="376">
        <v>0.85</v>
      </c>
    </row>
    <row r="3084" spans="1:9" x14ac:dyDescent="0.35">
      <c r="A3084" s="376" t="s">
        <v>1612</v>
      </c>
      <c r="B3084" s="376" t="s">
        <v>1609</v>
      </c>
      <c r="C3084" s="376" t="s">
        <v>644</v>
      </c>
      <c r="D3084" s="376">
        <v>2027</v>
      </c>
      <c r="E3084" s="376">
        <v>2028</v>
      </c>
      <c r="F3084" s="376">
        <v>0.37384575124303709</v>
      </c>
      <c r="G3084" s="376">
        <v>9928.6887826901675</v>
      </c>
      <c r="H3084" s="376">
        <v>0.28062654711945834</v>
      </c>
      <c r="I3084" s="376">
        <v>0.85</v>
      </c>
    </row>
    <row r="3085" spans="1:9" x14ac:dyDescent="0.35">
      <c r="A3085" s="376" t="s">
        <v>1612</v>
      </c>
      <c r="B3085" s="376" t="s">
        <v>1609</v>
      </c>
      <c r="C3085" s="376" t="s">
        <v>628</v>
      </c>
      <c r="D3085" s="376">
        <v>2027</v>
      </c>
      <c r="E3085" s="376">
        <v>2028</v>
      </c>
      <c r="F3085" s="376">
        <v>0.37384575124303709</v>
      </c>
      <c r="G3085" s="376">
        <v>9928.6887826901675</v>
      </c>
      <c r="H3085" s="376">
        <v>0.28062654711945834</v>
      </c>
      <c r="I3085" s="376">
        <v>0.85</v>
      </c>
    </row>
    <row r="3086" spans="1:9" x14ac:dyDescent="0.35">
      <c r="A3086" s="376" t="s">
        <v>1612</v>
      </c>
      <c r="B3086" s="376" t="s">
        <v>1609</v>
      </c>
      <c r="C3086" s="376" t="s">
        <v>1051</v>
      </c>
      <c r="D3086" s="376">
        <v>2027</v>
      </c>
      <c r="E3086" s="376">
        <v>2028</v>
      </c>
      <c r="F3086" s="376">
        <v>0.37384575124303709</v>
      </c>
      <c r="G3086" s="376">
        <v>9928.6887826901675</v>
      </c>
      <c r="H3086" s="376">
        <v>0.28062654711945834</v>
      </c>
      <c r="I3086" s="376">
        <v>0.85</v>
      </c>
    </row>
    <row r="3087" spans="1:9" x14ac:dyDescent="0.35">
      <c r="A3087" s="376" t="s">
        <v>1612</v>
      </c>
      <c r="B3087" s="376" t="s">
        <v>1609</v>
      </c>
      <c r="C3087" s="376" t="s">
        <v>1054</v>
      </c>
      <c r="D3087" s="376">
        <v>2027</v>
      </c>
      <c r="E3087" s="376">
        <v>2028</v>
      </c>
      <c r="F3087" s="376">
        <v>0.37384575124303709</v>
      </c>
      <c r="G3087" s="376">
        <v>9928.6887826901675</v>
      </c>
      <c r="H3087" s="376">
        <v>0.28062654711945834</v>
      </c>
      <c r="I3087" s="376">
        <v>0.85</v>
      </c>
    </row>
    <row r="3088" spans="1:9" x14ac:dyDescent="0.35">
      <c r="A3088" s="376" t="s">
        <v>1612</v>
      </c>
      <c r="B3088" s="376" t="s">
        <v>1609</v>
      </c>
      <c r="C3088" s="376" t="s">
        <v>1046</v>
      </c>
      <c r="D3088" s="376">
        <v>2027</v>
      </c>
      <c r="E3088" s="376">
        <v>2029</v>
      </c>
      <c r="F3088" s="376">
        <v>0.37384575124303709</v>
      </c>
      <c r="G3088" s="376">
        <v>9928.6887826901675</v>
      </c>
      <c r="H3088" s="376">
        <v>0.28062654711945834</v>
      </c>
      <c r="I3088" s="376">
        <v>0.85</v>
      </c>
    </row>
    <row r="3089" spans="1:9" x14ac:dyDescent="0.35">
      <c r="A3089" s="376" t="s">
        <v>1612</v>
      </c>
      <c r="B3089" s="376" t="s">
        <v>1609</v>
      </c>
      <c r="C3089" s="376" t="s">
        <v>644</v>
      </c>
      <c r="D3089" s="376">
        <v>2027</v>
      </c>
      <c r="E3089" s="376">
        <v>2029</v>
      </c>
      <c r="F3089" s="376">
        <v>0.37384575124303709</v>
      </c>
      <c r="G3089" s="376">
        <v>9928.6887826901675</v>
      </c>
      <c r="H3089" s="376">
        <v>0.28062654711945834</v>
      </c>
      <c r="I3089" s="376">
        <v>0.85</v>
      </c>
    </row>
    <row r="3090" spans="1:9" x14ac:dyDescent="0.35">
      <c r="A3090" s="376" t="s">
        <v>1612</v>
      </c>
      <c r="B3090" s="376" t="s">
        <v>1609</v>
      </c>
      <c r="C3090" s="376" t="s">
        <v>628</v>
      </c>
      <c r="D3090" s="376">
        <v>2027</v>
      </c>
      <c r="E3090" s="376">
        <v>2029</v>
      </c>
      <c r="F3090" s="376">
        <v>0.37384575124303709</v>
      </c>
      <c r="G3090" s="376">
        <v>9928.6887826901675</v>
      </c>
      <c r="H3090" s="376">
        <v>0.28062654711945834</v>
      </c>
      <c r="I3090" s="376">
        <v>0.85</v>
      </c>
    </row>
    <row r="3091" spans="1:9" x14ac:dyDescent="0.35">
      <c r="A3091" s="376" t="s">
        <v>1612</v>
      </c>
      <c r="B3091" s="376" t="s">
        <v>1609</v>
      </c>
      <c r="C3091" s="376" t="s">
        <v>1051</v>
      </c>
      <c r="D3091" s="376">
        <v>2027</v>
      </c>
      <c r="E3091" s="376">
        <v>2029</v>
      </c>
      <c r="F3091" s="376">
        <v>0.37384575124303709</v>
      </c>
      <c r="G3091" s="376">
        <v>9928.6887826901675</v>
      </c>
      <c r="H3091" s="376">
        <v>0.28062654711945834</v>
      </c>
      <c r="I3091" s="376">
        <v>0.85</v>
      </c>
    </row>
    <row r="3092" spans="1:9" x14ac:dyDescent="0.35">
      <c r="A3092" s="376" t="s">
        <v>1612</v>
      </c>
      <c r="B3092" s="376" t="s">
        <v>1609</v>
      </c>
      <c r="C3092" s="376" t="s">
        <v>1054</v>
      </c>
      <c r="D3092" s="376">
        <v>2027</v>
      </c>
      <c r="E3092" s="376">
        <v>2029</v>
      </c>
      <c r="F3092" s="376">
        <v>0.37384575124303709</v>
      </c>
      <c r="G3092" s="376">
        <v>9928.6887826901675</v>
      </c>
      <c r="H3092" s="376">
        <v>0.28062654711945834</v>
      </c>
      <c r="I3092" s="376">
        <v>0.85</v>
      </c>
    </row>
    <row r="3093" spans="1:9" x14ac:dyDescent="0.35">
      <c r="A3093" s="376" t="s">
        <v>1612</v>
      </c>
      <c r="B3093" s="376" t="s">
        <v>1609</v>
      </c>
      <c r="C3093" s="376" t="s">
        <v>1046</v>
      </c>
      <c r="D3093" s="376">
        <v>2027</v>
      </c>
      <c r="E3093" s="376">
        <v>2030</v>
      </c>
      <c r="F3093" s="376">
        <v>0.37384575124303709</v>
      </c>
      <c r="G3093" s="376">
        <v>9928.6887826901675</v>
      </c>
      <c r="H3093" s="376">
        <v>0.28062654711945834</v>
      </c>
      <c r="I3093" s="376">
        <v>0.85</v>
      </c>
    </row>
    <row r="3094" spans="1:9" x14ac:dyDescent="0.35">
      <c r="A3094" s="376" t="s">
        <v>1612</v>
      </c>
      <c r="B3094" s="376" t="s">
        <v>1609</v>
      </c>
      <c r="C3094" s="376" t="s">
        <v>644</v>
      </c>
      <c r="D3094" s="376">
        <v>2027</v>
      </c>
      <c r="E3094" s="376">
        <v>2030</v>
      </c>
      <c r="F3094" s="376">
        <v>0.37384575124303709</v>
      </c>
      <c r="G3094" s="376">
        <v>9928.6887826901675</v>
      </c>
      <c r="H3094" s="376">
        <v>0.28062654711945834</v>
      </c>
      <c r="I3094" s="376">
        <v>0.85</v>
      </c>
    </row>
    <row r="3095" spans="1:9" x14ac:dyDescent="0.35">
      <c r="A3095" s="376" t="s">
        <v>1612</v>
      </c>
      <c r="B3095" s="376" t="s">
        <v>1609</v>
      </c>
      <c r="C3095" s="376" t="s">
        <v>628</v>
      </c>
      <c r="D3095" s="376">
        <v>2027</v>
      </c>
      <c r="E3095" s="376">
        <v>2030</v>
      </c>
      <c r="F3095" s="376">
        <v>0.37384575124303709</v>
      </c>
      <c r="G3095" s="376">
        <v>9928.6887826901675</v>
      </c>
      <c r="H3095" s="376">
        <v>0.28062654711945834</v>
      </c>
      <c r="I3095" s="376">
        <v>0.85</v>
      </c>
    </row>
    <row r="3096" spans="1:9" x14ac:dyDescent="0.35">
      <c r="A3096" s="376" t="s">
        <v>1612</v>
      </c>
      <c r="B3096" s="376" t="s">
        <v>1609</v>
      </c>
      <c r="C3096" s="376" t="s">
        <v>1051</v>
      </c>
      <c r="D3096" s="376">
        <v>2027</v>
      </c>
      <c r="E3096" s="376">
        <v>2030</v>
      </c>
      <c r="F3096" s="376">
        <v>0.37384575124303709</v>
      </c>
      <c r="G3096" s="376">
        <v>9928.6887826901675</v>
      </c>
      <c r="H3096" s="376">
        <v>0.28062654711945834</v>
      </c>
      <c r="I3096" s="376">
        <v>0.85</v>
      </c>
    </row>
    <row r="3097" spans="1:9" x14ac:dyDescent="0.35">
      <c r="A3097" s="376" t="s">
        <v>1612</v>
      </c>
      <c r="B3097" s="376" t="s">
        <v>1609</v>
      </c>
      <c r="C3097" s="376" t="s">
        <v>1054</v>
      </c>
      <c r="D3097" s="376">
        <v>2027</v>
      </c>
      <c r="E3097" s="376">
        <v>2030</v>
      </c>
      <c r="F3097" s="376">
        <v>0.37384575124303709</v>
      </c>
      <c r="G3097" s="376">
        <v>9928.6887826901675</v>
      </c>
      <c r="H3097" s="376">
        <v>0.28062654711945834</v>
      </c>
      <c r="I3097" s="376">
        <v>0.85</v>
      </c>
    </row>
    <row r="3098" spans="1:9" x14ac:dyDescent="0.35">
      <c r="A3098" s="376" t="s">
        <v>1612</v>
      </c>
      <c r="B3098" s="376" t="s">
        <v>1609</v>
      </c>
      <c r="C3098" s="376" t="s">
        <v>1046</v>
      </c>
      <c r="D3098" s="376">
        <v>2027</v>
      </c>
      <c r="E3098" s="376">
        <v>2031</v>
      </c>
      <c r="F3098" s="376">
        <v>0.37384575124303709</v>
      </c>
      <c r="G3098" s="376">
        <v>9928.6887826901675</v>
      </c>
      <c r="H3098" s="376">
        <v>0.28062654711945834</v>
      </c>
      <c r="I3098" s="376">
        <v>0.85</v>
      </c>
    </row>
    <row r="3099" spans="1:9" x14ac:dyDescent="0.35">
      <c r="A3099" s="376" t="s">
        <v>1612</v>
      </c>
      <c r="B3099" s="376" t="s">
        <v>1609</v>
      </c>
      <c r="C3099" s="376" t="s">
        <v>644</v>
      </c>
      <c r="D3099" s="376">
        <v>2027</v>
      </c>
      <c r="E3099" s="376">
        <v>2031</v>
      </c>
      <c r="F3099" s="376">
        <v>0.37384575124303709</v>
      </c>
      <c r="G3099" s="376">
        <v>9928.6887826901675</v>
      </c>
      <c r="H3099" s="376">
        <v>0.28062654711945834</v>
      </c>
      <c r="I3099" s="376">
        <v>0.85</v>
      </c>
    </row>
    <row r="3100" spans="1:9" x14ac:dyDescent="0.35">
      <c r="A3100" s="376" t="s">
        <v>1612</v>
      </c>
      <c r="B3100" s="376" t="s">
        <v>1609</v>
      </c>
      <c r="C3100" s="376" t="s">
        <v>628</v>
      </c>
      <c r="D3100" s="376">
        <v>2027</v>
      </c>
      <c r="E3100" s="376">
        <v>2031</v>
      </c>
      <c r="F3100" s="376">
        <v>0.37384575124303709</v>
      </c>
      <c r="G3100" s="376">
        <v>9928.6887826901675</v>
      </c>
      <c r="H3100" s="376">
        <v>0.28062654711945834</v>
      </c>
      <c r="I3100" s="376">
        <v>0.85</v>
      </c>
    </row>
    <row r="3101" spans="1:9" x14ac:dyDescent="0.35">
      <c r="A3101" s="376" t="s">
        <v>1612</v>
      </c>
      <c r="B3101" s="376" t="s">
        <v>1609</v>
      </c>
      <c r="C3101" s="376" t="s">
        <v>1051</v>
      </c>
      <c r="D3101" s="376">
        <v>2027</v>
      </c>
      <c r="E3101" s="376">
        <v>2031</v>
      </c>
      <c r="F3101" s="376">
        <v>0.37384575124303709</v>
      </c>
      <c r="G3101" s="376">
        <v>9928.6887826901675</v>
      </c>
      <c r="H3101" s="376">
        <v>0.28062654711945834</v>
      </c>
      <c r="I3101" s="376">
        <v>0.85</v>
      </c>
    </row>
    <row r="3102" spans="1:9" x14ac:dyDescent="0.35">
      <c r="A3102" s="376" t="s">
        <v>1612</v>
      </c>
      <c r="B3102" s="376" t="s">
        <v>1609</v>
      </c>
      <c r="C3102" s="376" t="s">
        <v>1054</v>
      </c>
      <c r="D3102" s="376">
        <v>2027</v>
      </c>
      <c r="E3102" s="376">
        <v>2031</v>
      </c>
      <c r="F3102" s="376">
        <v>0.37384575124303709</v>
      </c>
      <c r="G3102" s="376">
        <v>9928.6887826901675</v>
      </c>
      <c r="H3102" s="376">
        <v>0.28062654711945834</v>
      </c>
      <c r="I3102" s="376">
        <v>0.85</v>
      </c>
    </row>
    <row r="3103" spans="1:9" x14ac:dyDescent="0.35">
      <c r="A3103" s="376" t="s">
        <v>1613</v>
      </c>
      <c r="B3103" s="376" t="s">
        <v>1609</v>
      </c>
      <c r="C3103" s="376" t="s">
        <v>1046</v>
      </c>
      <c r="D3103" s="376">
        <v>2027</v>
      </c>
      <c r="E3103" s="376">
        <v>2027</v>
      </c>
      <c r="F3103" s="376">
        <v>0.40444272241720852</v>
      </c>
      <c r="G3103" s="376">
        <v>8848.5269568257354</v>
      </c>
      <c r="H3103" s="376">
        <v>0.27170269425497151</v>
      </c>
      <c r="I3103" s="376">
        <v>0.85</v>
      </c>
    </row>
    <row r="3104" spans="1:9" x14ac:dyDescent="0.35">
      <c r="A3104" s="376" t="s">
        <v>1613</v>
      </c>
      <c r="B3104" s="376" t="s">
        <v>1609</v>
      </c>
      <c r="C3104" s="376" t="s">
        <v>644</v>
      </c>
      <c r="D3104" s="376">
        <v>2027</v>
      </c>
      <c r="E3104" s="376">
        <v>2027</v>
      </c>
      <c r="F3104" s="376">
        <v>0.40444272241720852</v>
      </c>
      <c r="G3104" s="376">
        <v>8848.5269568257354</v>
      </c>
      <c r="H3104" s="376">
        <v>0.27170269425497151</v>
      </c>
      <c r="I3104" s="376">
        <v>0.85</v>
      </c>
    </row>
    <row r="3105" spans="1:9" x14ac:dyDescent="0.35">
      <c r="A3105" s="376" t="s">
        <v>1613</v>
      </c>
      <c r="B3105" s="376" t="s">
        <v>1609</v>
      </c>
      <c r="C3105" s="376" t="s">
        <v>628</v>
      </c>
      <c r="D3105" s="376">
        <v>2027</v>
      </c>
      <c r="E3105" s="376">
        <v>2027</v>
      </c>
      <c r="F3105" s="376">
        <v>0.40444272241720852</v>
      </c>
      <c r="G3105" s="376">
        <v>8848.5269568257354</v>
      </c>
      <c r="H3105" s="376">
        <v>0.27170269425497151</v>
      </c>
      <c r="I3105" s="376">
        <v>0.85</v>
      </c>
    </row>
    <row r="3106" spans="1:9" x14ac:dyDescent="0.35">
      <c r="A3106" s="376" t="s">
        <v>1613</v>
      </c>
      <c r="B3106" s="376" t="s">
        <v>1609</v>
      </c>
      <c r="C3106" s="376" t="s">
        <v>1051</v>
      </c>
      <c r="D3106" s="376">
        <v>2027</v>
      </c>
      <c r="E3106" s="376">
        <v>2027</v>
      </c>
      <c r="F3106" s="376">
        <v>0.40444272241720852</v>
      </c>
      <c r="G3106" s="376">
        <v>8848.5269568257354</v>
      </c>
      <c r="H3106" s="376">
        <v>0.27170269425497151</v>
      </c>
      <c r="I3106" s="376">
        <v>0.85</v>
      </c>
    </row>
    <row r="3107" spans="1:9" x14ac:dyDescent="0.35">
      <c r="A3107" s="376" t="s">
        <v>1613</v>
      </c>
      <c r="B3107" s="376" t="s">
        <v>1609</v>
      </c>
      <c r="C3107" s="376" t="s">
        <v>1054</v>
      </c>
      <c r="D3107" s="376">
        <v>2027</v>
      </c>
      <c r="E3107" s="376">
        <v>2027</v>
      </c>
      <c r="F3107" s="376">
        <v>0.40444272241720852</v>
      </c>
      <c r="G3107" s="376">
        <v>8848.5269568257354</v>
      </c>
      <c r="H3107" s="376">
        <v>0.27170269425497151</v>
      </c>
      <c r="I3107" s="376">
        <v>0.85</v>
      </c>
    </row>
    <row r="3108" spans="1:9" x14ac:dyDescent="0.35">
      <c r="A3108" s="376" t="s">
        <v>1613</v>
      </c>
      <c r="B3108" s="376" t="s">
        <v>1609</v>
      </c>
      <c r="C3108" s="376" t="s">
        <v>1046</v>
      </c>
      <c r="D3108" s="376">
        <v>2027</v>
      </c>
      <c r="E3108" s="376">
        <v>2028</v>
      </c>
      <c r="F3108" s="376">
        <v>0.40444272241720852</v>
      </c>
      <c r="G3108" s="376">
        <v>8848.5269568257354</v>
      </c>
      <c r="H3108" s="376">
        <v>0.27170269425497151</v>
      </c>
      <c r="I3108" s="376">
        <v>0.85</v>
      </c>
    </row>
    <row r="3109" spans="1:9" x14ac:dyDescent="0.35">
      <c r="A3109" s="376" t="s">
        <v>1613</v>
      </c>
      <c r="B3109" s="376" t="s">
        <v>1609</v>
      </c>
      <c r="C3109" s="376" t="s">
        <v>644</v>
      </c>
      <c r="D3109" s="376">
        <v>2027</v>
      </c>
      <c r="E3109" s="376">
        <v>2028</v>
      </c>
      <c r="F3109" s="376">
        <v>0.40444272241720852</v>
      </c>
      <c r="G3109" s="376">
        <v>8848.5269568257354</v>
      </c>
      <c r="H3109" s="376">
        <v>0.27170269425497151</v>
      </c>
      <c r="I3109" s="376">
        <v>0.85</v>
      </c>
    </row>
    <row r="3110" spans="1:9" x14ac:dyDescent="0.35">
      <c r="A3110" s="376" t="s">
        <v>1613</v>
      </c>
      <c r="B3110" s="376" t="s">
        <v>1609</v>
      </c>
      <c r="C3110" s="376" t="s">
        <v>628</v>
      </c>
      <c r="D3110" s="376">
        <v>2027</v>
      </c>
      <c r="E3110" s="376">
        <v>2028</v>
      </c>
      <c r="F3110" s="376">
        <v>0.40444272241720852</v>
      </c>
      <c r="G3110" s="376">
        <v>8848.5269568257354</v>
      </c>
      <c r="H3110" s="376">
        <v>0.27170269425497151</v>
      </c>
      <c r="I3110" s="376">
        <v>0.85</v>
      </c>
    </row>
    <row r="3111" spans="1:9" x14ac:dyDescent="0.35">
      <c r="A3111" s="376" t="s">
        <v>1613</v>
      </c>
      <c r="B3111" s="376" t="s">
        <v>1609</v>
      </c>
      <c r="C3111" s="376" t="s">
        <v>1051</v>
      </c>
      <c r="D3111" s="376">
        <v>2027</v>
      </c>
      <c r="E3111" s="376">
        <v>2028</v>
      </c>
      <c r="F3111" s="376">
        <v>0.40444272241720852</v>
      </c>
      <c r="G3111" s="376">
        <v>8848.5269568257354</v>
      </c>
      <c r="H3111" s="376">
        <v>0.27170269425497151</v>
      </c>
      <c r="I3111" s="376">
        <v>0.85</v>
      </c>
    </row>
    <row r="3112" spans="1:9" x14ac:dyDescent="0.35">
      <c r="A3112" s="376" t="s">
        <v>1613</v>
      </c>
      <c r="B3112" s="376" t="s">
        <v>1609</v>
      </c>
      <c r="C3112" s="376" t="s">
        <v>1054</v>
      </c>
      <c r="D3112" s="376">
        <v>2027</v>
      </c>
      <c r="E3112" s="376">
        <v>2028</v>
      </c>
      <c r="F3112" s="376">
        <v>0.40444272241720852</v>
      </c>
      <c r="G3112" s="376">
        <v>8848.5269568257354</v>
      </c>
      <c r="H3112" s="376">
        <v>0.27170269425497151</v>
      </c>
      <c r="I3112" s="376">
        <v>0.85</v>
      </c>
    </row>
    <row r="3113" spans="1:9" x14ac:dyDescent="0.35">
      <c r="A3113" s="376" t="s">
        <v>1613</v>
      </c>
      <c r="B3113" s="376" t="s">
        <v>1609</v>
      </c>
      <c r="C3113" s="376" t="s">
        <v>1046</v>
      </c>
      <c r="D3113" s="376">
        <v>2027</v>
      </c>
      <c r="E3113" s="376">
        <v>2029</v>
      </c>
      <c r="F3113" s="376">
        <v>0.40444272241720852</v>
      </c>
      <c r="G3113" s="376">
        <v>8848.5269568257354</v>
      </c>
      <c r="H3113" s="376">
        <v>0.27170269425497151</v>
      </c>
      <c r="I3113" s="376">
        <v>0.85</v>
      </c>
    </row>
    <row r="3114" spans="1:9" x14ac:dyDescent="0.35">
      <c r="A3114" s="376" t="s">
        <v>1613</v>
      </c>
      <c r="B3114" s="376" t="s">
        <v>1609</v>
      </c>
      <c r="C3114" s="376" t="s">
        <v>644</v>
      </c>
      <c r="D3114" s="376">
        <v>2027</v>
      </c>
      <c r="E3114" s="376">
        <v>2029</v>
      </c>
      <c r="F3114" s="376">
        <v>0.40444272241720852</v>
      </c>
      <c r="G3114" s="376">
        <v>8848.5269568257354</v>
      </c>
      <c r="H3114" s="376">
        <v>0.27170269425497151</v>
      </c>
      <c r="I3114" s="376">
        <v>0.85</v>
      </c>
    </row>
    <row r="3115" spans="1:9" x14ac:dyDescent="0.35">
      <c r="A3115" s="376" t="s">
        <v>1613</v>
      </c>
      <c r="B3115" s="376" t="s">
        <v>1609</v>
      </c>
      <c r="C3115" s="376" t="s">
        <v>628</v>
      </c>
      <c r="D3115" s="376">
        <v>2027</v>
      </c>
      <c r="E3115" s="376">
        <v>2029</v>
      </c>
      <c r="F3115" s="376">
        <v>0.40444272241720852</v>
      </c>
      <c r="G3115" s="376">
        <v>8848.5269568257354</v>
      </c>
      <c r="H3115" s="376">
        <v>0.27170269425497151</v>
      </c>
      <c r="I3115" s="376">
        <v>0.85</v>
      </c>
    </row>
    <row r="3116" spans="1:9" x14ac:dyDescent="0.35">
      <c r="A3116" s="376" t="s">
        <v>1613</v>
      </c>
      <c r="B3116" s="376" t="s">
        <v>1609</v>
      </c>
      <c r="C3116" s="376" t="s">
        <v>1051</v>
      </c>
      <c r="D3116" s="376">
        <v>2027</v>
      </c>
      <c r="E3116" s="376">
        <v>2029</v>
      </c>
      <c r="F3116" s="376">
        <v>0.40444272241720852</v>
      </c>
      <c r="G3116" s="376">
        <v>8848.5269568257354</v>
      </c>
      <c r="H3116" s="376">
        <v>0.27170269425497151</v>
      </c>
      <c r="I3116" s="376">
        <v>0.85</v>
      </c>
    </row>
    <row r="3117" spans="1:9" x14ac:dyDescent="0.35">
      <c r="A3117" s="376" t="s">
        <v>1613</v>
      </c>
      <c r="B3117" s="376" t="s">
        <v>1609</v>
      </c>
      <c r="C3117" s="376" t="s">
        <v>1054</v>
      </c>
      <c r="D3117" s="376">
        <v>2027</v>
      </c>
      <c r="E3117" s="376">
        <v>2029</v>
      </c>
      <c r="F3117" s="376">
        <v>0.40444272241720852</v>
      </c>
      <c r="G3117" s="376">
        <v>8848.5269568257354</v>
      </c>
      <c r="H3117" s="376">
        <v>0.27170269425497151</v>
      </c>
      <c r="I3117" s="376">
        <v>0.85</v>
      </c>
    </row>
    <row r="3118" spans="1:9" x14ac:dyDescent="0.35">
      <c r="A3118" s="376" t="s">
        <v>1613</v>
      </c>
      <c r="B3118" s="376" t="s">
        <v>1609</v>
      </c>
      <c r="C3118" s="376" t="s">
        <v>1046</v>
      </c>
      <c r="D3118" s="376">
        <v>2027</v>
      </c>
      <c r="E3118" s="376">
        <v>2030</v>
      </c>
      <c r="F3118" s="376">
        <v>0.40444272241720852</v>
      </c>
      <c r="G3118" s="376">
        <v>8848.5269568257354</v>
      </c>
      <c r="H3118" s="376">
        <v>0.27170269425497151</v>
      </c>
      <c r="I3118" s="376">
        <v>0.85</v>
      </c>
    </row>
    <row r="3119" spans="1:9" x14ac:dyDescent="0.35">
      <c r="A3119" s="376" t="s">
        <v>1613</v>
      </c>
      <c r="B3119" s="376" t="s">
        <v>1609</v>
      </c>
      <c r="C3119" s="376" t="s">
        <v>644</v>
      </c>
      <c r="D3119" s="376">
        <v>2027</v>
      </c>
      <c r="E3119" s="376">
        <v>2030</v>
      </c>
      <c r="F3119" s="376">
        <v>0.40444272241720852</v>
      </c>
      <c r="G3119" s="376">
        <v>8848.5269568257354</v>
      </c>
      <c r="H3119" s="376">
        <v>0.27170269425497151</v>
      </c>
      <c r="I3119" s="376">
        <v>0.85</v>
      </c>
    </row>
    <row r="3120" spans="1:9" x14ac:dyDescent="0.35">
      <c r="A3120" s="376" t="s">
        <v>1613</v>
      </c>
      <c r="B3120" s="376" t="s">
        <v>1609</v>
      </c>
      <c r="C3120" s="376" t="s">
        <v>628</v>
      </c>
      <c r="D3120" s="376">
        <v>2027</v>
      </c>
      <c r="E3120" s="376">
        <v>2030</v>
      </c>
      <c r="F3120" s="376">
        <v>0.40444272241720852</v>
      </c>
      <c r="G3120" s="376">
        <v>8848.5269568257354</v>
      </c>
      <c r="H3120" s="376">
        <v>0.27170269425497151</v>
      </c>
      <c r="I3120" s="376">
        <v>0.85</v>
      </c>
    </row>
    <row r="3121" spans="1:9" x14ac:dyDescent="0.35">
      <c r="A3121" s="376" t="s">
        <v>1613</v>
      </c>
      <c r="B3121" s="376" t="s">
        <v>1609</v>
      </c>
      <c r="C3121" s="376" t="s">
        <v>1051</v>
      </c>
      <c r="D3121" s="376">
        <v>2027</v>
      </c>
      <c r="E3121" s="376">
        <v>2030</v>
      </c>
      <c r="F3121" s="376">
        <v>0.40444272241720852</v>
      </c>
      <c r="G3121" s="376">
        <v>8848.5269568257354</v>
      </c>
      <c r="H3121" s="376">
        <v>0.27170269425497151</v>
      </c>
      <c r="I3121" s="376">
        <v>0.85</v>
      </c>
    </row>
    <row r="3122" spans="1:9" x14ac:dyDescent="0.35">
      <c r="A3122" s="376" t="s">
        <v>1613</v>
      </c>
      <c r="B3122" s="376" t="s">
        <v>1609</v>
      </c>
      <c r="C3122" s="376" t="s">
        <v>1054</v>
      </c>
      <c r="D3122" s="376">
        <v>2027</v>
      </c>
      <c r="E3122" s="376">
        <v>2030</v>
      </c>
      <c r="F3122" s="376">
        <v>0.40444272241720852</v>
      </c>
      <c r="G3122" s="376">
        <v>8848.5269568257354</v>
      </c>
      <c r="H3122" s="376">
        <v>0.27170269425497151</v>
      </c>
      <c r="I3122" s="376">
        <v>0.85</v>
      </c>
    </row>
    <row r="3123" spans="1:9" x14ac:dyDescent="0.35">
      <c r="A3123" s="376" t="s">
        <v>1613</v>
      </c>
      <c r="B3123" s="376" t="s">
        <v>1609</v>
      </c>
      <c r="C3123" s="376" t="s">
        <v>1046</v>
      </c>
      <c r="D3123" s="376">
        <v>2027</v>
      </c>
      <c r="E3123" s="376">
        <v>2031</v>
      </c>
      <c r="F3123" s="376">
        <v>0.40444272241720852</v>
      </c>
      <c r="G3123" s="376">
        <v>8848.5269568257354</v>
      </c>
      <c r="H3123" s="376">
        <v>0.27170269425497151</v>
      </c>
      <c r="I3123" s="376">
        <v>0.85</v>
      </c>
    </row>
    <row r="3124" spans="1:9" x14ac:dyDescent="0.35">
      <c r="A3124" s="376" t="s">
        <v>1613</v>
      </c>
      <c r="B3124" s="376" t="s">
        <v>1609</v>
      </c>
      <c r="C3124" s="376" t="s">
        <v>644</v>
      </c>
      <c r="D3124" s="376">
        <v>2027</v>
      </c>
      <c r="E3124" s="376">
        <v>2031</v>
      </c>
      <c r="F3124" s="376">
        <v>0.40444272241720852</v>
      </c>
      <c r="G3124" s="376">
        <v>8848.5269568257354</v>
      </c>
      <c r="H3124" s="376">
        <v>0.27170269425497151</v>
      </c>
      <c r="I3124" s="376">
        <v>0.85</v>
      </c>
    </row>
    <row r="3125" spans="1:9" x14ac:dyDescent="0.35">
      <c r="A3125" s="376" t="s">
        <v>1613</v>
      </c>
      <c r="B3125" s="376" t="s">
        <v>1609</v>
      </c>
      <c r="C3125" s="376" t="s">
        <v>628</v>
      </c>
      <c r="D3125" s="376">
        <v>2027</v>
      </c>
      <c r="E3125" s="376">
        <v>2031</v>
      </c>
      <c r="F3125" s="376">
        <v>0.40444272241720852</v>
      </c>
      <c r="G3125" s="376">
        <v>8848.5269568257354</v>
      </c>
      <c r="H3125" s="376">
        <v>0.27170269425497151</v>
      </c>
      <c r="I3125" s="376">
        <v>0.85</v>
      </c>
    </row>
    <row r="3126" spans="1:9" x14ac:dyDescent="0.35">
      <c r="A3126" s="376" t="s">
        <v>1613</v>
      </c>
      <c r="B3126" s="376" t="s">
        <v>1609</v>
      </c>
      <c r="C3126" s="376" t="s">
        <v>1051</v>
      </c>
      <c r="D3126" s="376">
        <v>2027</v>
      </c>
      <c r="E3126" s="376">
        <v>2031</v>
      </c>
      <c r="F3126" s="376">
        <v>0.40444272241720852</v>
      </c>
      <c r="G3126" s="376">
        <v>8848.5269568257354</v>
      </c>
      <c r="H3126" s="376">
        <v>0.27170269425497151</v>
      </c>
      <c r="I3126" s="376">
        <v>0.85</v>
      </c>
    </row>
    <row r="3127" spans="1:9" x14ac:dyDescent="0.35">
      <c r="A3127" s="376" t="s">
        <v>1613</v>
      </c>
      <c r="B3127" s="376" t="s">
        <v>1609</v>
      </c>
      <c r="C3127" s="376" t="s">
        <v>1054</v>
      </c>
      <c r="D3127" s="376">
        <v>2027</v>
      </c>
      <c r="E3127" s="376">
        <v>2031</v>
      </c>
      <c r="F3127" s="376">
        <v>0.40444272241720852</v>
      </c>
      <c r="G3127" s="376">
        <v>8848.5269568257354</v>
      </c>
      <c r="H3127" s="376">
        <v>0.27170269425497151</v>
      </c>
      <c r="I3127" s="376">
        <v>0.85</v>
      </c>
    </row>
    <row r="3128" spans="1:9" x14ac:dyDescent="0.35">
      <c r="A3128" s="376" t="s">
        <v>1614</v>
      </c>
      <c r="B3128" s="376" t="s">
        <v>1609</v>
      </c>
      <c r="C3128" s="376" t="s">
        <v>1046</v>
      </c>
      <c r="D3128" s="376">
        <v>2027</v>
      </c>
      <c r="E3128" s="376">
        <v>2027</v>
      </c>
      <c r="F3128" s="376">
        <v>0.28070162831646173</v>
      </c>
      <c r="G3128" s="376">
        <v>6454.3984013550207</v>
      </c>
      <c r="H3128" s="376">
        <v>0.27170269425497151</v>
      </c>
      <c r="I3128" s="376">
        <v>0.85</v>
      </c>
    </row>
    <row r="3129" spans="1:9" x14ac:dyDescent="0.35">
      <c r="A3129" s="376" t="s">
        <v>1614</v>
      </c>
      <c r="B3129" s="376" t="s">
        <v>1609</v>
      </c>
      <c r="C3129" s="376" t="s">
        <v>644</v>
      </c>
      <c r="D3129" s="376">
        <v>2027</v>
      </c>
      <c r="E3129" s="376">
        <v>2027</v>
      </c>
      <c r="F3129" s="376">
        <v>0.28070162831646173</v>
      </c>
      <c r="G3129" s="376">
        <v>6454.3984013550207</v>
      </c>
      <c r="H3129" s="376">
        <v>0.27170269425497151</v>
      </c>
      <c r="I3129" s="376">
        <v>0.85</v>
      </c>
    </row>
    <row r="3130" spans="1:9" x14ac:dyDescent="0.35">
      <c r="A3130" s="376" t="s">
        <v>1614</v>
      </c>
      <c r="B3130" s="376" t="s">
        <v>1609</v>
      </c>
      <c r="C3130" s="376" t="s">
        <v>628</v>
      </c>
      <c r="D3130" s="376">
        <v>2027</v>
      </c>
      <c r="E3130" s="376">
        <v>2027</v>
      </c>
      <c r="F3130" s="376">
        <v>0.28070162831646173</v>
      </c>
      <c r="G3130" s="376">
        <v>6454.3984013550207</v>
      </c>
      <c r="H3130" s="376">
        <v>0.27170269425497151</v>
      </c>
      <c r="I3130" s="376">
        <v>0.85</v>
      </c>
    </row>
    <row r="3131" spans="1:9" x14ac:dyDescent="0.35">
      <c r="A3131" s="376" t="s">
        <v>1614</v>
      </c>
      <c r="B3131" s="376" t="s">
        <v>1609</v>
      </c>
      <c r="C3131" s="376" t="s">
        <v>1051</v>
      </c>
      <c r="D3131" s="376">
        <v>2027</v>
      </c>
      <c r="E3131" s="376">
        <v>2027</v>
      </c>
      <c r="F3131" s="376">
        <v>0.28070162831646173</v>
      </c>
      <c r="G3131" s="376">
        <v>6454.3984013550207</v>
      </c>
      <c r="H3131" s="376">
        <v>0.27170269425497151</v>
      </c>
      <c r="I3131" s="376">
        <v>0.85</v>
      </c>
    </row>
    <row r="3132" spans="1:9" x14ac:dyDescent="0.35">
      <c r="A3132" s="376" t="s">
        <v>1614</v>
      </c>
      <c r="B3132" s="376" t="s">
        <v>1609</v>
      </c>
      <c r="C3132" s="376" t="s">
        <v>1054</v>
      </c>
      <c r="D3132" s="376">
        <v>2027</v>
      </c>
      <c r="E3132" s="376">
        <v>2027</v>
      </c>
      <c r="F3132" s="376">
        <v>0.28070162831646173</v>
      </c>
      <c r="G3132" s="376">
        <v>6454.3984013550207</v>
      </c>
      <c r="H3132" s="376">
        <v>0.27170269425497151</v>
      </c>
      <c r="I3132" s="376">
        <v>0.85</v>
      </c>
    </row>
    <row r="3133" spans="1:9" x14ac:dyDescent="0.35">
      <c r="A3133" s="376" t="s">
        <v>1614</v>
      </c>
      <c r="B3133" s="376" t="s">
        <v>1609</v>
      </c>
      <c r="C3133" s="376" t="s">
        <v>1046</v>
      </c>
      <c r="D3133" s="376">
        <v>2027</v>
      </c>
      <c r="E3133" s="376">
        <v>2028</v>
      </c>
      <c r="F3133" s="376">
        <v>0.28070162831646173</v>
      </c>
      <c r="G3133" s="376">
        <v>6454.3984013550207</v>
      </c>
      <c r="H3133" s="376">
        <v>0.27170269425497151</v>
      </c>
      <c r="I3133" s="376">
        <v>0.85</v>
      </c>
    </row>
    <row r="3134" spans="1:9" x14ac:dyDescent="0.35">
      <c r="A3134" s="376" t="s">
        <v>1614</v>
      </c>
      <c r="B3134" s="376" t="s">
        <v>1609</v>
      </c>
      <c r="C3134" s="376" t="s">
        <v>644</v>
      </c>
      <c r="D3134" s="376">
        <v>2027</v>
      </c>
      <c r="E3134" s="376">
        <v>2028</v>
      </c>
      <c r="F3134" s="376">
        <v>0.28070162831646173</v>
      </c>
      <c r="G3134" s="376">
        <v>6454.3984013550207</v>
      </c>
      <c r="H3134" s="376">
        <v>0.27170269425497151</v>
      </c>
      <c r="I3134" s="376">
        <v>0.85</v>
      </c>
    </row>
    <row r="3135" spans="1:9" x14ac:dyDescent="0.35">
      <c r="A3135" s="376" t="s">
        <v>1614</v>
      </c>
      <c r="B3135" s="376" t="s">
        <v>1609</v>
      </c>
      <c r="C3135" s="376" t="s">
        <v>628</v>
      </c>
      <c r="D3135" s="376">
        <v>2027</v>
      </c>
      <c r="E3135" s="376">
        <v>2028</v>
      </c>
      <c r="F3135" s="376">
        <v>0.28070162831646173</v>
      </c>
      <c r="G3135" s="376">
        <v>6454.3984013550207</v>
      </c>
      <c r="H3135" s="376">
        <v>0.27170269425497151</v>
      </c>
      <c r="I3135" s="376">
        <v>0.85</v>
      </c>
    </row>
    <row r="3136" spans="1:9" x14ac:dyDescent="0.35">
      <c r="A3136" s="376" t="s">
        <v>1614</v>
      </c>
      <c r="B3136" s="376" t="s">
        <v>1609</v>
      </c>
      <c r="C3136" s="376" t="s">
        <v>1051</v>
      </c>
      <c r="D3136" s="376">
        <v>2027</v>
      </c>
      <c r="E3136" s="376">
        <v>2028</v>
      </c>
      <c r="F3136" s="376">
        <v>0.28070162831646173</v>
      </c>
      <c r="G3136" s="376">
        <v>6454.3984013550207</v>
      </c>
      <c r="H3136" s="376">
        <v>0.27170269425497151</v>
      </c>
      <c r="I3136" s="376">
        <v>0.85</v>
      </c>
    </row>
    <row r="3137" spans="1:9" x14ac:dyDescent="0.35">
      <c r="A3137" s="376" t="s">
        <v>1614</v>
      </c>
      <c r="B3137" s="376" t="s">
        <v>1609</v>
      </c>
      <c r="C3137" s="376" t="s">
        <v>1054</v>
      </c>
      <c r="D3137" s="376">
        <v>2027</v>
      </c>
      <c r="E3137" s="376">
        <v>2028</v>
      </c>
      <c r="F3137" s="376">
        <v>0.28070162831646173</v>
      </c>
      <c r="G3137" s="376">
        <v>6454.3984013550207</v>
      </c>
      <c r="H3137" s="376">
        <v>0.27170269425497151</v>
      </c>
      <c r="I3137" s="376">
        <v>0.85</v>
      </c>
    </row>
    <row r="3138" spans="1:9" x14ac:dyDescent="0.35">
      <c r="A3138" s="376" t="s">
        <v>1614</v>
      </c>
      <c r="B3138" s="376" t="s">
        <v>1609</v>
      </c>
      <c r="C3138" s="376" t="s">
        <v>1046</v>
      </c>
      <c r="D3138" s="376">
        <v>2027</v>
      </c>
      <c r="E3138" s="376">
        <v>2029</v>
      </c>
      <c r="F3138" s="376">
        <v>0.28070162831646173</v>
      </c>
      <c r="G3138" s="376">
        <v>6454.3984013550207</v>
      </c>
      <c r="H3138" s="376">
        <v>0.27170269425497151</v>
      </c>
      <c r="I3138" s="376">
        <v>0.85</v>
      </c>
    </row>
    <row r="3139" spans="1:9" x14ac:dyDescent="0.35">
      <c r="A3139" s="376" t="s">
        <v>1614</v>
      </c>
      <c r="B3139" s="376" t="s">
        <v>1609</v>
      </c>
      <c r="C3139" s="376" t="s">
        <v>644</v>
      </c>
      <c r="D3139" s="376">
        <v>2027</v>
      </c>
      <c r="E3139" s="376">
        <v>2029</v>
      </c>
      <c r="F3139" s="376">
        <v>0.28070162831646173</v>
      </c>
      <c r="G3139" s="376">
        <v>6454.3984013550207</v>
      </c>
      <c r="H3139" s="376">
        <v>0.27170269425497151</v>
      </c>
      <c r="I3139" s="376">
        <v>0.85</v>
      </c>
    </row>
    <row r="3140" spans="1:9" x14ac:dyDescent="0.35">
      <c r="A3140" s="376" t="s">
        <v>1614</v>
      </c>
      <c r="B3140" s="376" t="s">
        <v>1609</v>
      </c>
      <c r="C3140" s="376" t="s">
        <v>628</v>
      </c>
      <c r="D3140" s="376">
        <v>2027</v>
      </c>
      <c r="E3140" s="376">
        <v>2029</v>
      </c>
      <c r="F3140" s="376">
        <v>0.28070162831646173</v>
      </c>
      <c r="G3140" s="376">
        <v>6454.3984013550207</v>
      </c>
      <c r="H3140" s="376">
        <v>0.27170269425497151</v>
      </c>
      <c r="I3140" s="376">
        <v>0.85</v>
      </c>
    </row>
    <row r="3141" spans="1:9" x14ac:dyDescent="0.35">
      <c r="A3141" s="376" t="s">
        <v>1614</v>
      </c>
      <c r="B3141" s="376" t="s">
        <v>1609</v>
      </c>
      <c r="C3141" s="376" t="s">
        <v>1051</v>
      </c>
      <c r="D3141" s="376">
        <v>2027</v>
      </c>
      <c r="E3141" s="376">
        <v>2029</v>
      </c>
      <c r="F3141" s="376">
        <v>0.28070162831646173</v>
      </c>
      <c r="G3141" s="376">
        <v>6454.3984013550207</v>
      </c>
      <c r="H3141" s="376">
        <v>0.27170269425497151</v>
      </c>
      <c r="I3141" s="376">
        <v>0.85</v>
      </c>
    </row>
    <row r="3142" spans="1:9" x14ac:dyDescent="0.35">
      <c r="A3142" s="376" t="s">
        <v>1614</v>
      </c>
      <c r="B3142" s="376" t="s">
        <v>1609</v>
      </c>
      <c r="C3142" s="376" t="s">
        <v>1054</v>
      </c>
      <c r="D3142" s="376">
        <v>2027</v>
      </c>
      <c r="E3142" s="376">
        <v>2029</v>
      </c>
      <c r="F3142" s="376">
        <v>0.28070162831646173</v>
      </c>
      <c r="G3142" s="376">
        <v>6454.3984013550207</v>
      </c>
      <c r="H3142" s="376">
        <v>0.27170269425497151</v>
      </c>
      <c r="I3142" s="376">
        <v>0.85</v>
      </c>
    </row>
    <row r="3143" spans="1:9" x14ac:dyDescent="0.35">
      <c r="A3143" s="376" t="s">
        <v>1614</v>
      </c>
      <c r="B3143" s="376" t="s">
        <v>1609</v>
      </c>
      <c r="C3143" s="376" t="s">
        <v>1046</v>
      </c>
      <c r="D3143" s="376">
        <v>2027</v>
      </c>
      <c r="E3143" s="376">
        <v>2030</v>
      </c>
      <c r="F3143" s="376">
        <v>0.28070162831646173</v>
      </c>
      <c r="G3143" s="376">
        <v>6454.3984013550207</v>
      </c>
      <c r="H3143" s="376">
        <v>0.27170269425497151</v>
      </c>
      <c r="I3143" s="376">
        <v>0.85</v>
      </c>
    </row>
    <row r="3144" spans="1:9" x14ac:dyDescent="0.35">
      <c r="A3144" s="376" t="s">
        <v>1614</v>
      </c>
      <c r="B3144" s="376" t="s">
        <v>1609</v>
      </c>
      <c r="C3144" s="376" t="s">
        <v>644</v>
      </c>
      <c r="D3144" s="376">
        <v>2027</v>
      </c>
      <c r="E3144" s="376">
        <v>2030</v>
      </c>
      <c r="F3144" s="376">
        <v>0.28070162831646173</v>
      </c>
      <c r="G3144" s="376">
        <v>6454.3984013550207</v>
      </c>
      <c r="H3144" s="376">
        <v>0.27170269425497151</v>
      </c>
      <c r="I3144" s="376">
        <v>0.85</v>
      </c>
    </row>
    <row r="3145" spans="1:9" x14ac:dyDescent="0.35">
      <c r="A3145" s="376" t="s">
        <v>1614</v>
      </c>
      <c r="B3145" s="376" t="s">
        <v>1609</v>
      </c>
      <c r="C3145" s="376" t="s">
        <v>628</v>
      </c>
      <c r="D3145" s="376">
        <v>2027</v>
      </c>
      <c r="E3145" s="376">
        <v>2030</v>
      </c>
      <c r="F3145" s="376">
        <v>0.28070162831646173</v>
      </c>
      <c r="G3145" s="376">
        <v>6454.3984013550207</v>
      </c>
      <c r="H3145" s="376">
        <v>0.27170269425497151</v>
      </c>
      <c r="I3145" s="376">
        <v>0.85</v>
      </c>
    </row>
    <row r="3146" spans="1:9" x14ac:dyDescent="0.35">
      <c r="A3146" s="376" t="s">
        <v>1614</v>
      </c>
      <c r="B3146" s="376" t="s">
        <v>1609</v>
      </c>
      <c r="C3146" s="376" t="s">
        <v>1051</v>
      </c>
      <c r="D3146" s="376">
        <v>2027</v>
      </c>
      <c r="E3146" s="376">
        <v>2030</v>
      </c>
      <c r="F3146" s="376">
        <v>0.28070162831646173</v>
      </c>
      <c r="G3146" s="376">
        <v>6454.3984013550207</v>
      </c>
      <c r="H3146" s="376">
        <v>0.27170269425497151</v>
      </c>
      <c r="I3146" s="376">
        <v>0.85</v>
      </c>
    </row>
    <row r="3147" spans="1:9" x14ac:dyDescent="0.35">
      <c r="A3147" s="376" t="s">
        <v>1614</v>
      </c>
      <c r="B3147" s="376" t="s">
        <v>1609</v>
      </c>
      <c r="C3147" s="376" t="s">
        <v>1054</v>
      </c>
      <c r="D3147" s="376">
        <v>2027</v>
      </c>
      <c r="E3147" s="376">
        <v>2030</v>
      </c>
      <c r="F3147" s="376">
        <v>0.28070162831646173</v>
      </c>
      <c r="G3147" s="376">
        <v>6454.3984013550207</v>
      </c>
      <c r="H3147" s="376">
        <v>0.27170269425497151</v>
      </c>
      <c r="I3147" s="376">
        <v>0.85</v>
      </c>
    </row>
    <row r="3148" spans="1:9" x14ac:dyDescent="0.35">
      <c r="A3148" s="376" t="s">
        <v>1614</v>
      </c>
      <c r="B3148" s="376" t="s">
        <v>1609</v>
      </c>
      <c r="C3148" s="376" t="s">
        <v>1046</v>
      </c>
      <c r="D3148" s="376">
        <v>2027</v>
      </c>
      <c r="E3148" s="376">
        <v>2031</v>
      </c>
      <c r="F3148" s="376">
        <v>0.28070162831646173</v>
      </c>
      <c r="G3148" s="376">
        <v>6454.3984013550207</v>
      </c>
      <c r="H3148" s="376">
        <v>0.27170269425497151</v>
      </c>
      <c r="I3148" s="376">
        <v>0.85</v>
      </c>
    </row>
    <row r="3149" spans="1:9" x14ac:dyDescent="0.35">
      <c r="A3149" s="376" t="s">
        <v>1614</v>
      </c>
      <c r="B3149" s="376" t="s">
        <v>1609</v>
      </c>
      <c r="C3149" s="376" t="s">
        <v>644</v>
      </c>
      <c r="D3149" s="376">
        <v>2027</v>
      </c>
      <c r="E3149" s="376">
        <v>2031</v>
      </c>
      <c r="F3149" s="376">
        <v>0.28070162831646173</v>
      </c>
      <c r="G3149" s="376">
        <v>6454.3984013550207</v>
      </c>
      <c r="H3149" s="376">
        <v>0.27170269425497151</v>
      </c>
      <c r="I3149" s="376">
        <v>0.85</v>
      </c>
    </row>
    <row r="3150" spans="1:9" x14ac:dyDescent="0.35">
      <c r="A3150" s="376" t="s">
        <v>1614</v>
      </c>
      <c r="B3150" s="376" t="s">
        <v>1609</v>
      </c>
      <c r="C3150" s="376" t="s">
        <v>628</v>
      </c>
      <c r="D3150" s="376">
        <v>2027</v>
      </c>
      <c r="E3150" s="376">
        <v>2031</v>
      </c>
      <c r="F3150" s="376">
        <v>0.28070162831646173</v>
      </c>
      <c r="G3150" s="376">
        <v>6454.3984013550207</v>
      </c>
      <c r="H3150" s="376">
        <v>0.27170269425497151</v>
      </c>
      <c r="I3150" s="376">
        <v>0.85</v>
      </c>
    </row>
    <row r="3151" spans="1:9" x14ac:dyDescent="0.35">
      <c r="A3151" s="376" t="s">
        <v>1614</v>
      </c>
      <c r="B3151" s="376" t="s">
        <v>1609</v>
      </c>
      <c r="C3151" s="376" t="s">
        <v>1051</v>
      </c>
      <c r="D3151" s="376">
        <v>2027</v>
      </c>
      <c r="E3151" s="376">
        <v>2031</v>
      </c>
      <c r="F3151" s="376">
        <v>0.28070162831646173</v>
      </c>
      <c r="G3151" s="376">
        <v>6454.3984013550207</v>
      </c>
      <c r="H3151" s="376">
        <v>0.27170269425497151</v>
      </c>
      <c r="I3151" s="376">
        <v>0.85</v>
      </c>
    </row>
    <row r="3152" spans="1:9" x14ac:dyDescent="0.35">
      <c r="A3152" s="376" t="s">
        <v>1614</v>
      </c>
      <c r="B3152" s="376" t="s">
        <v>1609</v>
      </c>
      <c r="C3152" s="376" t="s">
        <v>1054</v>
      </c>
      <c r="D3152" s="376">
        <v>2027</v>
      </c>
      <c r="E3152" s="376">
        <v>2031</v>
      </c>
      <c r="F3152" s="376">
        <v>0.28070162831646173</v>
      </c>
      <c r="G3152" s="376">
        <v>6454.3984013550207</v>
      </c>
      <c r="H3152" s="376">
        <v>0.27170269425497151</v>
      </c>
      <c r="I3152" s="376">
        <v>0.85</v>
      </c>
    </row>
    <row r="3153" spans="1:9" x14ac:dyDescent="0.35">
      <c r="A3153" s="376" t="s">
        <v>1604</v>
      </c>
      <c r="B3153" s="376" t="s">
        <v>1609</v>
      </c>
      <c r="C3153" s="376" t="s">
        <v>1046</v>
      </c>
      <c r="D3153" s="376">
        <v>2027</v>
      </c>
      <c r="E3153" s="376">
        <v>2027</v>
      </c>
      <c r="F3153" s="376">
        <v>1</v>
      </c>
      <c r="G3153" s="376">
        <v>10872.741503138899</v>
      </c>
      <c r="H3153" s="376">
        <v>0</v>
      </c>
      <c r="I3153" s="376">
        <v>1</v>
      </c>
    </row>
    <row r="3154" spans="1:9" x14ac:dyDescent="0.35">
      <c r="A3154" s="376" t="s">
        <v>1604</v>
      </c>
      <c r="B3154" s="376" t="s">
        <v>1609</v>
      </c>
      <c r="C3154" s="376" t="s">
        <v>644</v>
      </c>
      <c r="D3154" s="376">
        <v>2027</v>
      </c>
      <c r="E3154" s="376">
        <v>2027</v>
      </c>
      <c r="F3154" s="376">
        <v>1</v>
      </c>
      <c r="G3154" s="376">
        <v>10872.741503138899</v>
      </c>
      <c r="H3154" s="376">
        <v>0</v>
      </c>
      <c r="I3154" s="376">
        <v>1</v>
      </c>
    </row>
    <row r="3155" spans="1:9" x14ac:dyDescent="0.35">
      <c r="A3155" s="376" t="s">
        <v>1604</v>
      </c>
      <c r="B3155" s="376" t="s">
        <v>1609</v>
      </c>
      <c r="C3155" s="376" t="s">
        <v>628</v>
      </c>
      <c r="D3155" s="376">
        <v>2027</v>
      </c>
      <c r="E3155" s="376">
        <v>2027</v>
      </c>
      <c r="F3155" s="376">
        <v>1</v>
      </c>
      <c r="G3155" s="376">
        <v>10872.741503138899</v>
      </c>
      <c r="H3155" s="376">
        <v>0</v>
      </c>
      <c r="I3155" s="376">
        <v>1</v>
      </c>
    </row>
    <row r="3156" spans="1:9" x14ac:dyDescent="0.35">
      <c r="A3156" s="376" t="s">
        <v>1604</v>
      </c>
      <c r="B3156" s="376" t="s">
        <v>1609</v>
      </c>
      <c r="C3156" s="376" t="s">
        <v>1051</v>
      </c>
      <c r="D3156" s="376">
        <v>2027</v>
      </c>
      <c r="E3156" s="376">
        <v>2027</v>
      </c>
      <c r="F3156" s="376">
        <v>1</v>
      </c>
      <c r="G3156" s="376">
        <v>10872.741503138899</v>
      </c>
      <c r="H3156" s="376">
        <v>0</v>
      </c>
      <c r="I3156" s="376">
        <v>1</v>
      </c>
    </row>
    <row r="3157" spans="1:9" x14ac:dyDescent="0.35">
      <c r="A3157" s="376" t="s">
        <v>1604</v>
      </c>
      <c r="B3157" s="376" t="s">
        <v>1609</v>
      </c>
      <c r="C3157" s="376" t="s">
        <v>1054</v>
      </c>
      <c r="D3157" s="376">
        <v>2027</v>
      </c>
      <c r="E3157" s="376">
        <v>2027</v>
      </c>
      <c r="F3157" s="376">
        <v>1</v>
      </c>
      <c r="G3157" s="376">
        <v>10872.741503138899</v>
      </c>
      <c r="H3157" s="376">
        <v>0</v>
      </c>
      <c r="I3157" s="376">
        <v>1</v>
      </c>
    </row>
    <row r="3158" spans="1:9" x14ac:dyDescent="0.35">
      <c r="A3158" s="376" t="s">
        <v>1604</v>
      </c>
      <c r="B3158" s="376" t="s">
        <v>1609</v>
      </c>
      <c r="C3158" s="376" t="s">
        <v>1046</v>
      </c>
      <c r="D3158" s="376">
        <v>2027</v>
      </c>
      <c r="E3158" s="376">
        <v>2028</v>
      </c>
      <c r="F3158" s="376">
        <v>1</v>
      </c>
      <c r="G3158" s="376">
        <v>10872.741503138899</v>
      </c>
      <c r="H3158" s="376">
        <v>0</v>
      </c>
      <c r="I3158" s="376">
        <v>1</v>
      </c>
    </row>
    <row r="3159" spans="1:9" x14ac:dyDescent="0.35">
      <c r="A3159" s="376" t="s">
        <v>1604</v>
      </c>
      <c r="B3159" s="376" t="s">
        <v>1609</v>
      </c>
      <c r="C3159" s="376" t="s">
        <v>644</v>
      </c>
      <c r="D3159" s="376">
        <v>2027</v>
      </c>
      <c r="E3159" s="376">
        <v>2028</v>
      </c>
      <c r="F3159" s="376">
        <v>1</v>
      </c>
      <c r="G3159" s="376">
        <v>10872.741503138899</v>
      </c>
      <c r="H3159" s="376">
        <v>0</v>
      </c>
      <c r="I3159" s="376">
        <v>1</v>
      </c>
    </row>
    <row r="3160" spans="1:9" x14ac:dyDescent="0.35">
      <c r="A3160" s="376" t="s">
        <v>1604</v>
      </c>
      <c r="B3160" s="376" t="s">
        <v>1609</v>
      </c>
      <c r="C3160" s="376" t="s">
        <v>628</v>
      </c>
      <c r="D3160" s="376">
        <v>2027</v>
      </c>
      <c r="E3160" s="376">
        <v>2028</v>
      </c>
      <c r="F3160" s="376">
        <v>1</v>
      </c>
      <c r="G3160" s="376">
        <v>10872.741503138899</v>
      </c>
      <c r="H3160" s="376">
        <v>0</v>
      </c>
      <c r="I3160" s="376">
        <v>1</v>
      </c>
    </row>
    <row r="3161" spans="1:9" x14ac:dyDescent="0.35">
      <c r="A3161" s="376" t="s">
        <v>1604</v>
      </c>
      <c r="B3161" s="376" t="s">
        <v>1609</v>
      </c>
      <c r="C3161" s="376" t="s">
        <v>1051</v>
      </c>
      <c r="D3161" s="376">
        <v>2027</v>
      </c>
      <c r="E3161" s="376">
        <v>2028</v>
      </c>
      <c r="F3161" s="376">
        <v>1</v>
      </c>
      <c r="G3161" s="376">
        <v>10872.741503138899</v>
      </c>
      <c r="H3161" s="376">
        <v>0</v>
      </c>
      <c r="I3161" s="376">
        <v>1</v>
      </c>
    </row>
    <row r="3162" spans="1:9" x14ac:dyDescent="0.35">
      <c r="A3162" s="376" t="s">
        <v>1604</v>
      </c>
      <c r="B3162" s="376" t="s">
        <v>1609</v>
      </c>
      <c r="C3162" s="376" t="s">
        <v>1054</v>
      </c>
      <c r="D3162" s="376">
        <v>2027</v>
      </c>
      <c r="E3162" s="376">
        <v>2028</v>
      </c>
      <c r="F3162" s="376">
        <v>1</v>
      </c>
      <c r="G3162" s="376">
        <v>10872.741503138899</v>
      </c>
      <c r="H3162" s="376">
        <v>0</v>
      </c>
      <c r="I3162" s="376">
        <v>1</v>
      </c>
    </row>
    <row r="3163" spans="1:9" x14ac:dyDescent="0.35">
      <c r="A3163" s="376" t="s">
        <v>1604</v>
      </c>
      <c r="B3163" s="376" t="s">
        <v>1609</v>
      </c>
      <c r="C3163" s="376" t="s">
        <v>1046</v>
      </c>
      <c r="D3163" s="376">
        <v>2027</v>
      </c>
      <c r="E3163" s="376">
        <v>2029</v>
      </c>
      <c r="F3163" s="376">
        <v>1</v>
      </c>
      <c r="G3163" s="376">
        <v>10872.741503138899</v>
      </c>
      <c r="H3163" s="376">
        <v>0</v>
      </c>
      <c r="I3163" s="376">
        <v>1</v>
      </c>
    </row>
    <row r="3164" spans="1:9" x14ac:dyDescent="0.35">
      <c r="A3164" s="376" t="s">
        <v>1604</v>
      </c>
      <c r="B3164" s="376" t="s">
        <v>1609</v>
      </c>
      <c r="C3164" s="376" t="s">
        <v>644</v>
      </c>
      <c r="D3164" s="376">
        <v>2027</v>
      </c>
      <c r="E3164" s="376">
        <v>2029</v>
      </c>
      <c r="F3164" s="376">
        <v>1</v>
      </c>
      <c r="G3164" s="376">
        <v>10872.741503138899</v>
      </c>
      <c r="H3164" s="376">
        <v>0</v>
      </c>
      <c r="I3164" s="376">
        <v>1</v>
      </c>
    </row>
    <row r="3165" spans="1:9" x14ac:dyDescent="0.35">
      <c r="A3165" s="376" t="s">
        <v>1604</v>
      </c>
      <c r="B3165" s="376" t="s">
        <v>1609</v>
      </c>
      <c r="C3165" s="376" t="s">
        <v>628</v>
      </c>
      <c r="D3165" s="376">
        <v>2027</v>
      </c>
      <c r="E3165" s="376">
        <v>2029</v>
      </c>
      <c r="F3165" s="376">
        <v>1</v>
      </c>
      <c r="G3165" s="376">
        <v>10872.741503138899</v>
      </c>
      <c r="H3165" s="376">
        <v>0</v>
      </c>
      <c r="I3165" s="376">
        <v>1</v>
      </c>
    </row>
    <row r="3166" spans="1:9" x14ac:dyDescent="0.35">
      <c r="A3166" s="376" t="s">
        <v>1604</v>
      </c>
      <c r="B3166" s="376" t="s">
        <v>1609</v>
      </c>
      <c r="C3166" s="376" t="s">
        <v>1051</v>
      </c>
      <c r="D3166" s="376">
        <v>2027</v>
      </c>
      <c r="E3166" s="376">
        <v>2029</v>
      </c>
      <c r="F3166" s="376">
        <v>1</v>
      </c>
      <c r="G3166" s="376">
        <v>10872.741503138899</v>
      </c>
      <c r="H3166" s="376">
        <v>0</v>
      </c>
      <c r="I3166" s="376">
        <v>1</v>
      </c>
    </row>
    <row r="3167" spans="1:9" x14ac:dyDescent="0.35">
      <c r="A3167" s="376" t="s">
        <v>1604</v>
      </c>
      <c r="B3167" s="376" t="s">
        <v>1609</v>
      </c>
      <c r="C3167" s="376" t="s">
        <v>1054</v>
      </c>
      <c r="D3167" s="376">
        <v>2027</v>
      </c>
      <c r="E3167" s="376">
        <v>2029</v>
      </c>
      <c r="F3167" s="376">
        <v>1</v>
      </c>
      <c r="G3167" s="376">
        <v>10872.741503138899</v>
      </c>
      <c r="H3167" s="376">
        <v>0</v>
      </c>
      <c r="I3167" s="376">
        <v>1</v>
      </c>
    </row>
    <row r="3168" spans="1:9" x14ac:dyDescent="0.35">
      <c r="A3168" s="376" t="s">
        <v>1604</v>
      </c>
      <c r="B3168" s="376" t="s">
        <v>1609</v>
      </c>
      <c r="C3168" s="376" t="s">
        <v>1046</v>
      </c>
      <c r="D3168" s="376">
        <v>2027</v>
      </c>
      <c r="E3168" s="376">
        <v>2030</v>
      </c>
      <c r="F3168" s="376">
        <v>1</v>
      </c>
      <c r="G3168" s="376">
        <v>10872.741503138899</v>
      </c>
      <c r="H3168" s="376">
        <v>0</v>
      </c>
      <c r="I3168" s="376">
        <v>1</v>
      </c>
    </row>
    <row r="3169" spans="1:9" x14ac:dyDescent="0.35">
      <c r="A3169" s="376" t="s">
        <v>1604</v>
      </c>
      <c r="B3169" s="376" t="s">
        <v>1609</v>
      </c>
      <c r="C3169" s="376" t="s">
        <v>644</v>
      </c>
      <c r="D3169" s="376">
        <v>2027</v>
      </c>
      <c r="E3169" s="376">
        <v>2030</v>
      </c>
      <c r="F3169" s="376">
        <v>1</v>
      </c>
      <c r="G3169" s="376">
        <v>10872.741503138899</v>
      </c>
      <c r="H3169" s="376">
        <v>0</v>
      </c>
      <c r="I3169" s="376">
        <v>1</v>
      </c>
    </row>
    <row r="3170" spans="1:9" x14ac:dyDescent="0.35">
      <c r="A3170" s="376" t="s">
        <v>1604</v>
      </c>
      <c r="B3170" s="376" t="s">
        <v>1609</v>
      </c>
      <c r="C3170" s="376" t="s">
        <v>628</v>
      </c>
      <c r="D3170" s="376">
        <v>2027</v>
      </c>
      <c r="E3170" s="376">
        <v>2030</v>
      </c>
      <c r="F3170" s="376">
        <v>1</v>
      </c>
      <c r="G3170" s="376">
        <v>10872.741503138899</v>
      </c>
      <c r="H3170" s="376">
        <v>0</v>
      </c>
      <c r="I3170" s="376">
        <v>1</v>
      </c>
    </row>
    <row r="3171" spans="1:9" x14ac:dyDescent="0.35">
      <c r="A3171" s="376" t="s">
        <v>1604</v>
      </c>
      <c r="B3171" s="376" t="s">
        <v>1609</v>
      </c>
      <c r="C3171" s="376" t="s">
        <v>1051</v>
      </c>
      <c r="D3171" s="376">
        <v>2027</v>
      </c>
      <c r="E3171" s="376">
        <v>2030</v>
      </c>
      <c r="F3171" s="376">
        <v>1</v>
      </c>
      <c r="G3171" s="376">
        <v>10872.741503138899</v>
      </c>
      <c r="H3171" s="376">
        <v>0</v>
      </c>
      <c r="I3171" s="376">
        <v>1</v>
      </c>
    </row>
    <row r="3172" spans="1:9" x14ac:dyDescent="0.35">
      <c r="A3172" s="376" t="s">
        <v>1604</v>
      </c>
      <c r="B3172" s="376" t="s">
        <v>1609</v>
      </c>
      <c r="C3172" s="376" t="s">
        <v>1054</v>
      </c>
      <c r="D3172" s="376">
        <v>2027</v>
      </c>
      <c r="E3172" s="376">
        <v>2030</v>
      </c>
      <c r="F3172" s="376">
        <v>1</v>
      </c>
      <c r="G3172" s="376">
        <v>10872.741503138899</v>
      </c>
      <c r="H3172" s="376">
        <v>0</v>
      </c>
      <c r="I3172" s="376">
        <v>1</v>
      </c>
    </row>
    <row r="3173" spans="1:9" x14ac:dyDescent="0.35">
      <c r="A3173" s="376" t="s">
        <v>1604</v>
      </c>
      <c r="B3173" s="376" t="s">
        <v>1609</v>
      </c>
      <c r="C3173" s="376" t="s">
        <v>1046</v>
      </c>
      <c r="D3173" s="376">
        <v>2027</v>
      </c>
      <c r="E3173" s="376">
        <v>2031</v>
      </c>
      <c r="F3173" s="376">
        <v>1</v>
      </c>
      <c r="G3173" s="376">
        <v>10872.741503138899</v>
      </c>
      <c r="H3173" s="376">
        <v>0</v>
      </c>
      <c r="I3173" s="376">
        <v>1</v>
      </c>
    </row>
    <row r="3174" spans="1:9" x14ac:dyDescent="0.35">
      <c r="A3174" s="376" t="s">
        <v>1604</v>
      </c>
      <c r="B3174" s="376" t="s">
        <v>1609</v>
      </c>
      <c r="C3174" s="376" t="s">
        <v>644</v>
      </c>
      <c r="D3174" s="376">
        <v>2027</v>
      </c>
      <c r="E3174" s="376">
        <v>2031</v>
      </c>
      <c r="F3174" s="376">
        <v>1</v>
      </c>
      <c r="G3174" s="376">
        <v>10872.741503138899</v>
      </c>
      <c r="H3174" s="376">
        <v>0</v>
      </c>
      <c r="I3174" s="376">
        <v>1</v>
      </c>
    </row>
    <row r="3175" spans="1:9" x14ac:dyDescent="0.35">
      <c r="A3175" s="376" t="s">
        <v>1604</v>
      </c>
      <c r="B3175" s="376" t="s">
        <v>1609</v>
      </c>
      <c r="C3175" s="376" t="s">
        <v>628</v>
      </c>
      <c r="D3175" s="376">
        <v>2027</v>
      </c>
      <c r="E3175" s="376">
        <v>2031</v>
      </c>
      <c r="F3175" s="376">
        <v>1</v>
      </c>
      <c r="G3175" s="376">
        <v>10872.741503138899</v>
      </c>
      <c r="H3175" s="376">
        <v>0</v>
      </c>
      <c r="I3175" s="376">
        <v>1</v>
      </c>
    </row>
    <row r="3176" spans="1:9" x14ac:dyDescent="0.35">
      <c r="A3176" s="376" t="s">
        <v>1604</v>
      </c>
      <c r="B3176" s="376" t="s">
        <v>1609</v>
      </c>
      <c r="C3176" s="376" t="s">
        <v>1051</v>
      </c>
      <c r="D3176" s="376">
        <v>2027</v>
      </c>
      <c r="E3176" s="376">
        <v>2031</v>
      </c>
      <c r="F3176" s="376">
        <v>1</v>
      </c>
      <c r="G3176" s="376">
        <v>10872.741503138899</v>
      </c>
      <c r="H3176" s="376">
        <v>0</v>
      </c>
      <c r="I3176" s="376">
        <v>1</v>
      </c>
    </row>
    <row r="3177" spans="1:9" x14ac:dyDescent="0.35">
      <c r="A3177" s="376" t="s">
        <v>1604</v>
      </c>
      <c r="B3177" s="376" t="s">
        <v>1609</v>
      </c>
      <c r="C3177" s="376" t="s">
        <v>1054</v>
      </c>
      <c r="D3177" s="376">
        <v>2027</v>
      </c>
      <c r="E3177" s="376">
        <v>2031</v>
      </c>
      <c r="F3177" s="376">
        <v>1</v>
      </c>
      <c r="G3177" s="376">
        <v>10872.741503138899</v>
      </c>
      <c r="H3177" s="376">
        <v>0</v>
      </c>
      <c r="I3177" s="376">
        <v>1</v>
      </c>
    </row>
    <row r="3178" spans="1:9" x14ac:dyDescent="0.35">
      <c r="A3178" s="376" t="s">
        <v>1615</v>
      </c>
      <c r="B3178" s="376" t="s">
        <v>1609</v>
      </c>
      <c r="C3178" s="376" t="s">
        <v>1046</v>
      </c>
      <c r="D3178" s="376">
        <v>2027</v>
      </c>
      <c r="E3178" s="376">
        <v>2027</v>
      </c>
      <c r="F3178" s="376">
        <v>1</v>
      </c>
      <c r="G3178" s="376">
        <v>20148.813739673951</v>
      </c>
      <c r="H3178" s="376">
        <v>0</v>
      </c>
      <c r="I3178" s="376">
        <v>0.65716939790195539</v>
      </c>
    </row>
    <row r="3179" spans="1:9" x14ac:dyDescent="0.35">
      <c r="A3179" s="376" t="s">
        <v>1615</v>
      </c>
      <c r="B3179" s="376" t="s">
        <v>1609</v>
      </c>
      <c r="C3179" s="376" t="s">
        <v>644</v>
      </c>
      <c r="D3179" s="376">
        <v>2027</v>
      </c>
      <c r="E3179" s="376">
        <v>2027</v>
      </c>
      <c r="F3179" s="376">
        <v>1</v>
      </c>
      <c r="G3179" s="376">
        <v>20148.813739673951</v>
      </c>
      <c r="H3179" s="376">
        <v>0</v>
      </c>
      <c r="I3179" s="376">
        <v>0.65716939790195539</v>
      </c>
    </row>
    <row r="3180" spans="1:9" x14ac:dyDescent="0.35">
      <c r="A3180" s="376" t="s">
        <v>1615</v>
      </c>
      <c r="B3180" s="376" t="s">
        <v>1609</v>
      </c>
      <c r="C3180" s="376" t="s">
        <v>628</v>
      </c>
      <c r="D3180" s="376">
        <v>2027</v>
      </c>
      <c r="E3180" s="376">
        <v>2027</v>
      </c>
      <c r="F3180" s="376">
        <v>1</v>
      </c>
      <c r="G3180" s="376">
        <v>20148.813739673951</v>
      </c>
      <c r="H3180" s="376">
        <v>0</v>
      </c>
      <c r="I3180" s="376">
        <v>0.65716939790195539</v>
      </c>
    </row>
    <row r="3181" spans="1:9" x14ac:dyDescent="0.35">
      <c r="A3181" s="376" t="s">
        <v>1615</v>
      </c>
      <c r="B3181" s="376" t="s">
        <v>1609</v>
      </c>
      <c r="C3181" s="376" t="s">
        <v>1051</v>
      </c>
      <c r="D3181" s="376">
        <v>2027</v>
      </c>
      <c r="E3181" s="376">
        <v>2027</v>
      </c>
      <c r="F3181" s="376">
        <v>1</v>
      </c>
      <c r="G3181" s="376">
        <v>20148.813739673951</v>
      </c>
      <c r="H3181" s="376">
        <v>0</v>
      </c>
      <c r="I3181" s="376">
        <v>0.65716939790195539</v>
      </c>
    </row>
    <row r="3182" spans="1:9" x14ac:dyDescent="0.35">
      <c r="A3182" s="376" t="s">
        <v>1615</v>
      </c>
      <c r="B3182" s="376" t="s">
        <v>1609</v>
      </c>
      <c r="C3182" s="376" t="s">
        <v>1054</v>
      </c>
      <c r="D3182" s="376">
        <v>2027</v>
      </c>
      <c r="E3182" s="376">
        <v>2027</v>
      </c>
      <c r="F3182" s="376">
        <v>1</v>
      </c>
      <c r="G3182" s="376">
        <v>20148.813739673951</v>
      </c>
      <c r="H3182" s="376">
        <v>0</v>
      </c>
      <c r="I3182" s="376">
        <v>0.65716939790195539</v>
      </c>
    </row>
    <row r="3183" spans="1:9" x14ac:dyDescent="0.35">
      <c r="A3183" s="376" t="s">
        <v>1615</v>
      </c>
      <c r="B3183" s="376" t="s">
        <v>1609</v>
      </c>
      <c r="C3183" s="376" t="s">
        <v>1046</v>
      </c>
      <c r="D3183" s="376">
        <v>2027</v>
      </c>
      <c r="E3183" s="376">
        <v>2028</v>
      </c>
      <c r="F3183" s="376">
        <v>1</v>
      </c>
      <c r="G3183" s="376">
        <v>20148.813739673951</v>
      </c>
      <c r="H3183" s="376">
        <v>0</v>
      </c>
      <c r="I3183" s="376">
        <v>0.65716939790195539</v>
      </c>
    </row>
    <row r="3184" spans="1:9" x14ac:dyDescent="0.35">
      <c r="A3184" s="376" t="s">
        <v>1615</v>
      </c>
      <c r="B3184" s="376" t="s">
        <v>1609</v>
      </c>
      <c r="C3184" s="376" t="s">
        <v>644</v>
      </c>
      <c r="D3184" s="376">
        <v>2027</v>
      </c>
      <c r="E3184" s="376">
        <v>2028</v>
      </c>
      <c r="F3184" s="376">
        <v>1</v>
      </c>
      <c r="G3184" s="376">
        <v>20148.813739673951</v>
      </c>
      <c r="H3184" s="376">
        <v>0</v>
      </c>
      <c r="I3184" s="376">
        <v>0.65716939790195539</v>
      </c>
    </row>
    <row r="3185" spans="1:9" x14ac:dyDescent="0.35">
      <c r="A3185" s="376" t="s">
        <v>1615</v>
      </c>
      <c r="B3185" s="376" t="s">
        <v>1609</v>
      </c>
      <c r="C3185" s="376" t="s">
        <v>628</v>
      </c>
      <c r="D3185" s="376">
        <v>2027</v>
      </c>
      <c r="E3185" s="376">
        <v>2028</v>
      </c>
      <c r="F3185" s="376">
        <v>1</v>
      </c>
      <c r="G3185" s="376">
        <v>20148.813739673951</v>
      </c>
      <c r="H3185" s="376">
        <v>0</v>
      </c>
      <c r="I3185" s="376">
        <v>0.65716939790195539</v>
      </c>
    </row>
    <row r="3186" spans="1:9" x14ac:dyDescent="0.35">
      <c r="A3186" s="376" t="s">
        <v>1615</v>
      </c>
      <c r="B3186" s="376" t="s">
        <v>1609</v>
      </c>
      <c r="C3186" s="376" t="s">
        <v>1051</v>
      </c>
      <c r="D3186" s="376">
        <v>2027</v>
      </c>
      <c r="E3186" s="376">
        <v>2028</v>
      </c>
      <c r="F3186" s="376">
        <v>1</v>
      </c>
      <c r="G3186" s="376">
        <v>20148.813739673951</v>
      </c>
      <c r="H3186" s="376">
        <v>0</v>
      </c>
      <c r="I3186" s="376">
        <v>0.65716939790195539</v>
      </c>
    </row>
    <row r="3187" spans="1:9" x14ac:dyDescent="0.35">
      <c r="A3187" s="376" t="s">
        <v>1615</v>
      </c>
      <c r="B3187" s="376" t="s">
        <v>1609</v>
      </c>
      <c r="C3187" s="376" t="s">
        <v>1054</v>
      </c>
      <c r="D3187" s="376">
        <v>2027</v>
      </c>
      <c r="E3187" s="376">
        <v>2028</v>
      </c>
      <c r="F3187" s="376">
        <v>1</v>
      </c>
      <c r="G3187" s="376">
        <v>20148.813739673951</v>
      </c>
      <c r="H3187" s="376">
        <v>0</v>
      </c>
      <c r="I3187" s="376">
        <v>0.65716939790195539</v>
      </c>
    </row>
    <row r="3188" spans="1:9" x14ac:dyDescent="0.35">
      <c r="A3188" s="376" t="s">
        <v>1615</v>
      </c>
      <c r="B3188" s="376" t="s">
        <v>1609</v>
      </c>
      <c r="C3188" s="376" t="s">
        <v>1046</v>
      </c>
      <c r="D3188" s="376">
        <v>2027</v>
      </c>
      <c r="E3188" s="376">
        <v>2029</v>
      </c>
      <c r="F3188" s="376">
        <v>1</v>
      </c>
      <c r="G3188" s="376">
        <v>20148.813739673951</v>
      </c>
      <c r="H3188" s="376">
        <v>0</v>
      </c>
      <c r="I3188" s="376">
        <v>0.65716939790195539</v>
      </c>
    </row>
    <row r="3189" spans="1:9" x14ac:dyDescent="0.35">
      <c r="A3189" s="376" t="s">
        <v>1615</v>
      </c>
      <c r="B3189" s="376" t="s">
        <v>1609</v>
      </c>
      <c r="C3189" s="376" t="s">
        <v>644</v>
      </c>
      <c r="D3189" s="376">
        <v>2027</v>
      </c>
      <c r="E3189" s="376">
        <v>2029</v>
      </c>
      <c r="F3189" s="376">
        <v>1</v>
      </c>
      <c r="G3189" s="376">
        <v>20148.813739673951</v>
      </c>
      <c r="H3189" s="376">
        <v>0</v>
      </c>
      <c r="I3189" s="376">
        <v>0.65716939790195539</v>
      </c>
    </row>
    <row r="3190" spans="1:9" x14ac:dyDescent="0.35">
      <c r="A3190" s="376" t="s">
        <v>1615</v>
      </c>
      <c r="B3190" s="376" t="s">
        <v>1609</v>
      </c>
      <c r="C3190" s="376" t="s">
        <v>628</v>
      </c>
      <c r="D3190" s="376">
        <v>2027</v>
      </c>
      <c r="E3190" s="376">
        <v>2029</v>
      </c>
      <c r="F3190" s="376">
        <v>1</v>
      </c>
      <c r="G3190" s="376">
        <v>20148.813739673951</v>
      </c>
      <c r="H3190" s="376">
        <v>0</v>
      </c>
      <c r="I3190" s="376">
        <v>0.65716939790195539</v>
      </c>
    </row>
    <row r="3191" spans="1:9" x14ac:dyDescent="0.35">
      <c r="A3191" s="376" t="s">
        <v>1615</v>
      </c>
      <c r="B3191" s="376" t="s">
        <v>1609</v>
      </c>
      <c r="C3191" s="376" t="s">
        <v>1051</v>
      </c>
      <c r="D3191" s="376">
        <v>2027</v>
      </c>
      <c r="E3191" s="376">
        <v>2029</v>
      </c>
      <c r="F3191" s="376">
        <v>1</v>
      </c>
      <c r="G3191" s="376">
        <v>20148.813739673951</v>
      </c>
      <c r="H3191" s="376">
        <v>0</v>
      </c>
      <c r="I3191" s="376">
        <v>0.65716939790195539</v>
      </c>
    </row>
    <row r="3192" spans="1:9" x14ac:dyDescent="0.35">
      <c r="A3192" s="376" t="s">
        <v>1615</v>
      </c>
      <c r="B3192" s="376" t="s">
        <v>1609</v>
      </c>
      <c r="C3192" s="376" t="s">
        <v>1054</v>
      </c>
      <c r="D3192" s="376">
        <v>2027</v>
      </c>
      <c r="E3192" s="376">
        <v>2029</v>
      </c>
      <c r="F3192" s="376">
        <v>1</v>
      </c>
      <c r="G3192" s="376">
        <v>20148.813739673951</v>
      </c>
      <c r="H3192" s="376">
        <v>0</v>
      </c>
      <c r="I3192" s="376">
        <v>0.65716939790195539</v>
      </c>
    </row>
    <row r="3193" spans="1:9" x14ac:dyDescent="0.35">
      <c r="A3193" s="376" t="s">
        <v>1615</v>
      </c>
      <c r="B3193" s="376" t="s">
        <v>1609</v>
      </c>
      <c r="C3193" s="376" t="s">
        <v>1046</v>
      </c>
      <c r="D3193" s="376">
        <v>2027</v>
      </c>
      <c r="E3193" s="376">
        <v>2030</v>
      </c>
      <c r="F3193" s="376">
        <v>1</v>
      </c>
      <c r="G3193" s="376">
        <v>20148.813739673951</v>
      </c>
      <c r="H3193" s="376">
        <v>0</v>
      </c>
      <c r="I3193" s="376">
        <v>0.65716939790195539</v>
      </c>
    </row>
    <row r="3194" spans="1:9" x14ac:dyDescent="0.35">
      <c r="A3194" s="376" t="s">
        <v>1615</v>
      </c>
      <c r="B3194" s="376" t="s">
        <v>1609</v>
      </c>
      <c r="C3194" s="376" t="s">
        <v>644</v>
      </c>
      <c r="D3194" s="376">
        <v>2027</v>
      </c>
      <c r="E3194" s="376">
        <v>2030</v>
      </c>
      <c r="F3194" s="376">
        <v>1</v>
      </c>
      <c r="G3194" s="376">
        <v>20148.813739673951</v>
      </c>
      <c r="H3194" s="376">
        <v>0</v>
      </c>
      <c r="I3194" s="376">
        <v>0.65716939790195539</v>
      </c>
    </row>
    <row r="3195" spans="1:9" x14ac:dyDescent="0.35">
      <c r="A3195" s="376" t="s">
        <v>1615</v>
      </c>
      <c r="B3195" s="376" t="s">
        <v>1609</v>
      </c>
      <c r="C3195" s="376" t="s">
        <v>628</v>
      </c>
      <c r="D3195" s="376">
        <v>2027</v>
      </c>
      <c r="E3195" s="376">
        <v>2030</v>
      </c>
      <c r="F3195" s="376">
        <v>1</v>
      </c>
      <c r="G3195" s="376">
        <v>20148.813739673951</v>
      </c>
      <c r="H3195" s="376">
        <v>0</v>
      </c>
      <c r="I3195" s="376">
        <v>0.65716939790195539</v>
      </c>
    </row>
    <row r="3196" spans="1:9" x14ac:dyDescent="0.35">
      <c r="A3196" s="376" t="s">
        <v>1615</v>
      </c>
      <c r="B3196" s="376" t="s">
        <v>1609</v>
      </c>
      <c r="C3196" s="376" t="s">
        <v>1051</v>
      </c>
      <c r="D3196" s="376">
        <v>2027</v>
      </c>
      <c r="E3196" s="376">
        <v>2030</v>
      </c>
      <c r="F3196" s="376">
        <v>1</v>
      </c>
      <c r="G3196" s="376">
        <v>20148.813739673951</v>
      </c>
      <c r="H3196" s="376">
        <v>0</v>
      </c>
      <c r="I3196" s="376">
        <v>0.65716939790195539</v>
      </c>
    </row>
    <row r="3197" spans="1:9" x14ac:dyDescent="0.35">
      <c r="A3197" s="376" t="s">
        <v>1615</v>
      </c>
      <c r="B3197" s="376" t="s">
        <v>1609</v>
      </c>
      <c r="C3197" s="376" t="s">
        <v>1054</v>
      </c>
      <c r="D3197" s="376">
        <v>2027</v>
      </c>
      <c r="E3197" s="376">
        <v>2030</v>
      </c>
      <c r="F3197" s="376">
        <v>1</v>
      </c>
      <c r="G3197" s="376">
        <v>20148.813739673951</v>
      </c>
      <c r="H3197" s="376">
        <v>0</v>
      </c>
      <c r="I3197" s="376">
        <v>0.65716939790195539</v>
      </c>
    </row>
    <row r="3198" spans="1:9" x14ac:dyDescent="0.35">
      <c r="A3198" s="376" t="s">
        <v>1615</v>
      </c>
      <c r="B3198" s="376" t="s">
        <v>1609</v>
      </c>
      <c r="C3198" s="376" t="s">
        <v>1046</v>
      </c>
      <c r="D3198" s="376">
        <v>2027</v>
      </c>
      <c r="E3198" s="376">
        <v>2031</v>
      </c>
      <c r="F3198" s="376">
        <v>1</v>
      </c>
      <c r="G3198" s="376">
        <v>20148.813739673951</v>
      </c>
      <c r="H3198" s="376">
        <v>0</v>
      </c>
      <c r="I3198" s="376">
        <v>0.65716939790195539</v>
      </c>
    </row>
    <row r="3199" spans="1:9" x14ac:dyDescent="0.35">
      <c r="A3199" s="376" t="s">
        <v>1615</v>
      </c>
      <c r="B3199" s="376" t="s">
        <v>1609</v>
      </c>
      <c r="C3199" s="376" t="s">
        <v>644</v>
      </c>
      <c r="D3199" s="376">
        <v>2027</v>
      </c>
      <c r="E3199" s="376">
        <v>2031</v>
      </c>
      <c r="F3199" s="376">
        <v>1</v>
      </c>
      <c r="G3199" s="376">
        <v>20148.813739673951</v>
      </c>
      <c r="H3199" s="376">
        <v>0</v>
      </c>
      <c r="I3199" s="376">
        <v>0.65716939790195539</v>
      </c>
    </row>
    <row r="3200" spans="1:9" x14ac:dyDescent="0.35">
      <c r="A3200" s="376" t="s">
        <v>1615</v>
      </c>
      <c r="B3200" s="376" t="s">
        <v>1609</v>
      </c>
      <c r="C3200" s="376" t="s">
        <v>628</v>
      </c>
      <c r="D3200" s="376">
        <v>2027</v>
      </c>
      <c r="E3200" s="376">
        <v>2031</v>
      </c>
      <c r="F3200" s="376">
        <v>1</v>
      </c>
      <c r="G3200" s="376">
        <v>20148.813739673951</v>
      </c>
      <c r="H3200" s="376">
        <v>0</v>
      </c>
      <c r="I3200" s="376">
        <v>0.65716939790195539</v>
      </c>
    </row>
    <row r="3201" spans="1:9" x14ac:dyDescent="0.35">
      <c r="A3201" s="376" t="s">
        <v>1615</v>
      </c>
      <c r="B3201" s="376" t="s">
        <v>1609</v>
      </c>
      <c r="C3201" s="376" t="s">
        <v>1051</v>
      </c>
      <c r="D3201" s="376">
        <v>2027</v>
      </c>
      <c r="E3201" s="376">
        <v>2031</v>
      </c>
      <c r="F3201" s="376">
        <v>1</v>
      </c>
      <c r="G3201" s="376">
        <v>20148.813739673951</v>
      </c>
      <c r="H3201" s="376">
        <v>0</v>
      </c>
      <c r="I3201" s="376">
        <v>0.65716939790195539</v>
      </c>
    </row>
    <row r="3202" spans="1:9" x14ac:dyDescent="0.35">
      <c r="A3202" s="376" t="s">
        <v>1615</v>
      </c>
      <c r="B3202" s="376" t="s">
        <v>1609</v>
      </c>
      <c r="C3202" s="376" t="s">
        <v>1054</v>
      </c>
      <c r="D3202" s="376">
        <v>2027</v>
      </c>
      <c r="E3202" s="376">
        <v>2031</v>
      </c>
      <c r="F3202" s="376">
        <v>1</v>
      </c>
      <c r="G3202" s="376">
        <v>20148.813739673951</v>
      </c>
      <c r="H3202" s="376">
        <v>0</v>
      </c>
      <c r="I3202" s="376">
        <v>0.65716939790195539</v>
      </c>
    </row>
    <row r="3203" spans="1:9" x14ac:dyDescent="0.35">
      <c r="A3203" s="376" t="s">
        <v>1603</v>
      </c>
      <c r="B3203" s="376" t="s">
        <v>1609</v>
      </c>
      <c r="C3203" s="376" t="s">
        <v>1046</v>
      </c>
      <c r="D3203" s="376">
        <v>2027</v>
      </c>
      <c r="E3203" s="376">
        <v>2027</v>
      </c>
      <c r="F3203" s="376">
        <v>1</v>
      </c>
      <c r="G3203" s="376">
        <v>6101.463203368502</v>
      </c>
      <c r="H3203" s="376">
        <v>0</v>
      </c>
      <c r="I3203" s="376">
        <v>1</v>
      </c>
    </row>
    <row r="3204" spans="1:9" x14ac:dyDescent="0.35">
      <c r="A3204" s="376" t="s">
        <v>1603</v>
      </c>
      <c r="B3204" s="376" t="s">
        <v>1609</v>
      </c>
      <c r="C3204" s="376" t="s">
        <v>644</v>
      </c>
      <c r="D3204" s="376">
        <v>2027</v>
      </c>
      <c r="E3204" s="376">
        <v>2027</v>
      </c>
      <c r="F3204" s="376">
        <v>1</v>
      </c>
      <c r="G3204" s="376">
        <v>6101.463203368502</v>
      </c>
      <c r="H3204" s="376">
        <v>0</v>
      </c>
      <c r="I3204" s="376">
        <v>1</v>
      </c>
    </row>
    <row r="3205" spans="1:9" x14ac:dyDescent="0.35">
      <c r="A3205" s="376" t="s">
        <v>1603</v>
      </c>
      <c r="B3205" s="376" t="s">
        <v>1609</v>
      </c>
      <c r="C3205" s="376" t="s">
        <v>628</v>
      </c>
      <c r="D3205" s="376">
        <v>2027</v>
      </c>
      <c r="E3205" s="376">
        <v>2027</v>
      </c>
      <c r="F3205" s="376">
        <v>1</v>
      </c>
      <c r="G3205" s="376">
        <v>6101.463203368502</v>
      </c>
      <c r="H3205" s="376">
        <v>0</v>
      </c>
      <c r="I3205" s="376">
        <v>1</v>
      </c>
    </row>
    <row r="3206" spans="1:9" x14ac:dyDescent="0.35">
      <c r="A3206" s="376" t="s">
        <v>1603</v>
      </c>
      <c r="B3206" s="376" t="s">
        <v>1609</v>
      </c>
      <c r="C3206" s="376" t="s">
        <v>1051</v>
      </c>
      <c r="D3206" s="376">
        <v>2027</v>
      </c>
      <c r="E3206" s="376">
        <v>2027</v>
      </c>
      <c r="F3206" s="376">
        <v>1</v>
      </c>
      <c r="G3206" s="376">
        <v>6101.463203368502</v>
      </c>
      <c r="H3206" s="376">
        <v>0</v>
      </c>
      <c r="I3206" s="376">
        <v>1</v>
      </c>
    </row>
    <row r="3207" spans="1:9" x14ac:dyDescent="0.35">
      <c r="A3207" s="376" t="s">
        <v>1603</v>
      </c>
      <c r="B3207" s="376" t="s">
        <v>1609</v>
      </c>
      <c r="C3207" s="376" t="s">
        <v>1054</v>
      </c>
      <c r="D3207" s="376">
        <v>2027</v>
      </c>
      <c r="E3207" s="376">
        <v>2027</v>
      </c>
      <c r="F3207" s="376">
        <v>1</v>
      </c>
      <c r="G3207" s="376">
        <v>6101.463203368502</v>
      </c>
      <c r="H3207" s="376">
        <v>0</v>
      </c>
      <c r="I3207" s="376">
        <v>1</v>
      </c>
    </row>
    <row r="3208" spans="1:9" x14ac:dyDescent="0.35">
      <c r="A3208" s="376" t="s">
        <v>1603</v>
      </c>
      <c r="B3208" s="376" t="s">
        <v>1609</v>
      </c>
      <c r="C3208" s="376" t="s">
        <v>1046</v>
      </c>
      <c r="D3208" s="376">
        <v>2027</v>
      </c>
      <c r="E3208" s="376">
        <v>2028</v>
      </c>
      <c r="F3208" s="376">
        <v>1</v>
      </c>
      <c r="G3208" s="376">
        <v>6101.463203368502</v>
      </c>
      <c r="H3208" s="376">
        <v>0</v>
      </c>
      <c r="I3208" s="376">
        <v>1</v>
      </c>
    </row>
    <row r="3209" spans="1:9" x14ac:dyDescent="0.35">
      <c r="A3209" s="376" t="s">
        <v>1603</v>
      </c>
      <c r="B3209" s="376" t="s">
        <v>1609</v>
      </c>
      <c r="C3209" s="376" t="s">
        <v>644</v>
      </c>
      <c r="D3209" s="376">
        <v>2027</v>
      </c>
      <c r="E3209" s="376">
        <v>2028</v>
      </c>
      <c r="F3209" s="376">
        <v>1</v>
      </c>
      <c r="G3209" s="376">
        <v>6101.463203368502</v>
      </c>
      <c r="H3209" s="376">
        <v>0</v>
      </c>
      <c r="I3209" s="376">
        <v>1</v>
      </c>
    </row>
    <row r="3210" spans="1:9" x14ac:dyDescent="0.35">
      <c r="A3210" s="376" t="s">
        <v>1603</v>
      </c>
      <c r="B3210" s="376" t="s">
        <v>1609</v>
      </c>
      <c r="C3210" s="376" t="s">
        <v>628</v>
      </c>
      <c r="D3210" s="376">
        <v>2027</v>
      </c>
      <c r="E3210" s="376">
        <v>2028</v>
      </c>
      <c r="F3210" s="376">
        <v>1</v>
      </c>
      <c r="G3210" s="376">
        <v>6101.463203368502</v>
      </c>
      <c r="H3210" s="376">
        <v>0</v>
      </c>
      <c r="I3210" s="376">
        <v>1</v>
      </c>
    </row>
    <row r="3211" spans="1:9" x14ac:dyDescent="0.35">
      <c r="A3211" s="376" t="s">
        <v>1603</v>
      </c>
      <c r="B3211" s="376" t="s">
        <v>1609</v>
      </c>
      <c r="C3211" s="376" t="s">
        <v>1051</v>
      </c>
      <c r="D3211" s="376">
        <v>2027</v>
      </c>
      <c r="E3211" s="376">
        <v>2028</v>
      </c>
      <c r="F3211" s="376">
        <v>1</v>
      </c>
      <c r="G3211" s="376">
        <v>6101.463203368502</v>
      </c>
      <c r="H3211" s="376">
        <v>0</v>
      </c>
      <c r="I3211" s="376">
        <v>1</v>
      </c>
    </row>
    <row r="3212" spans="1:9" x14ac:dyDescent="0.35">
      <c r="A3212" s="376" t="s">
        <v>1603</v>
      </c>
      <c r="B3212" s="376" t="s">
        <v>1609</v>
      </c>
      <c r="C3212" s="376" t="s">
        <v>1054</v>
      </c>
      <c r="D3212" s="376">
        <v>2027</v>
      </c>
      <c r="E3212" s="376">
        <v>2028</v>
      </c>
      <c r="F3212" s="376">
        <v>1</v>
      </c>
      <c r="G3212" s="376">
        <v>6101.463203368502</v>
      </c>
      <c r="H3212" s="376">
        <v>0</v>
      </c>
      <c r="I3212" s="376">
        <v>1</v>
      </c>
    </row>
    <row r="3213" spans="1:9" x14ac:dyDescent="0.35">
      <c r="A3213" s="376" t="s">
        <v>1603</v>
      </c>
      <c r="B3213" s="376" t="s">
        <v>1609</v>
      </c>
      <c r="C3213" s="376" t="s">
        <v>1046</v>
      </c>
      <c r="D3213" s="376">
        <v>2027</v>
      </c>
      <c r="E3213" s="376">
        <v>2029</v>
      </c>
      <c r="F3213" s="376">
        <v>1</v>
      </c>
      <c r="G3213" s="376">
        <v>6101.463203368502</v>
      </c>
      <c r="H3213" s="376">
        <v>0</v>
      </c>
      <c r="I3213" s="376">
        <v>1</v>
      </c>
    </row>
    <row r="3214" spans="1:9" x14ac:dyDescent="0.35">
      <c r="A3214" s="376" t="s">
        <v>1603</v>
      </c>
      <c r="B3214" s="376" t="s">
        <v>1609</v>
      </c>
      <c r="C3214" s="376" t="s">
        <v>644</v>
      </c>
      <c r="D3214" s="376">
        <v>2027</v>
      </c>
      <c r="E3214" s="376">
        <v>2029</v>
      </c>
      <c r="F3214" s="376">
        <v>1</v>
      </c>
      <c r="G3214" s="376">
        <v>6101.463203368502</v>
      </c>
      <c r="H3214" s="376">
        <v>0</v>
      </c>
      <c r="I3214" s="376">
        <v>1</v>
      </c>
    </row>
    <row r="3215" spans="1:9" x14ac:dyDescent="0.35">
      <c r="A3215" s="376" t="s">
        <v>1603</v>
      </c>
      <c r="B3215" s="376" t="s">
        <v>1609</v>
      </c>
      <c r="C3215" s="376" t="s">
        <v>628</v>
      </c>
      <c r="D3215" s="376">
        <v>2027</v>
      </c>
      <c r="E3215" s="376">
        <v>2029</v>
      </c>
      <c r="F3215" s="376">
        <v>1</v>
      </c>
      <c r="G3215" s="376">
        <v>6101.463203368502</v>
      </c>
      <c r="H3215" s="376">
        <v>0</v>
      </c>
      <c r="I3215" s="376">
        <v>1</v>
      </c>
    </row>
    <row r="3216" spans="1:9" x14ac:dyDescent="0.35">
      <c r="A3216" s="376" t="s">
        <v>1603</v>
      </c>
      <c r="B3216" s="376" t="s">
        <v>1609</v>
      </c>
      <c r="C3216" s="376" t="s">
        <v>1051</v>
      </c>
      <c r="D3216" s="376">
        <v>2027</v>
      </c>
      <c r="E3216" s="376">
        <v>2029</v>
      </c>
      <c r="F3216" s="376">
        <v>1</v>
      </c>
      <c r="G3216" s="376">
        <v>6101.463203368502</v>
      </c>
      <c r="H3216" s="376">
        <v>0</v>
      </c>
      <c r="I3216" s="376">
        <v>1</v>
      </c>
    </row>
    <row r="3217" spans="1:9" x14ac:dyDescent="0.35">
      <c r="A3217" s="376" t="s">
        <v>1603</v>
      </c>
      <c r="B3217" s="376" t="s">
        <v>1609</v>
      </c>
      <c r="C3217" s="376" t="s">
        <v>1054</v>
      </c>
      <c r="D3217" s="376">
        <v>2027</v>
      </c>
      <c r="E3217" s="376">
        <v>2029</v>
      </c>
      <c r="F3217" s="376">
        <v>1</v>
      </c>
      <c r="G3217" s="376">
        <v>6101.463203368502</v>
      </c>
      <c r="H3217" s="376">
        <v>0</v>
      </c>
      <c r="I3217" s="376">
        <v>1</v>
      </c>
    </row>
    <row r="3218" spans="1:9" x14ac:dyDescent="0.35">
      <c r="A3218" s="376" t="s">
        <v>1603</v>
      </c>
      <c r="B3218" s="376" t="s">
        <v>1609</v>
      </c>
      <c r="C3218" s="376" t="s">
        <v>1046</v>
      </c>
      <c r="D3218" s="376">
        <v>2027</v>
      </c>
      <c r="E3218" s="376">
        <v>2030</v>
      </c>
      <c r="F3218" s="376">
        <v>1</v>
      </c>
      <c r="G3218" s="376">
        <v>6101.463203368502</v>
      </c>
      <c r="H3218" s="376">
        <v>0</v>
      </c>
      <c r="I3218" s="376">
        <v>1</v>
      </c>
    </row>
    <row r="3219" spans="1:9" x14ac:dyDescent="0.35">
      <c r="A3219" s="376" t="s">
        <v>1603</v>
      </c>
      <c r="B3219" s="376" t="s">
        <v>1609</v>
      </c>
      <c r="C3219" s="376" t="s">
        <v>644</v>
      </c>
      <c r="D3219" s="376">
        <v>2027</v>
      </c>
      <c r="E3219" s="376">
        <v>2030</v>
      </c>
      <c r="F3219" s="376">
        <v>1</v>
      </c>
      <c r="G3219" s="376">
        <v>6101.463203368502</v>
      </c>
      <c r="H3219" s="376">
        <v>0</v>
      </c>
      <c r="I3219" s="376">
        <v>1</v>
      </c>
    </row>
    <row r="3220" spans="1:9" x14ac:dyDescent="0.35">
      <c r="A3220" s="376" t="s">
        <v>1603</v>
      </c>
      <c r="B3220" s="376" t="s">
        <v>1609</v>
      </c>
      <c r="C3220" s="376" t="s">
        <v>628</v>
      </c>
      <c r="D3220" s="376">
        <v>2027</v>
      </c>
      <c r="E3220" s="376">
        <v>2030</v>
      </c>
      <c r="F3220" s="376">
        <v>1</v>
      </c>
      <c r="G3220" s="376">
        <v>6101.463203368502</v>
      </c>
      <c r="H3220" s="376">
        <v>0</v>
      </c>
      <c r="I3220" s="376">
        <v>1</v>
      </c>
    </row>
    <row r="3221" spans="1:9" x14ac:dyDescent="0.35">
      <c r="A3221" s="376" t="s">
        <v>1603</v>
      </c>
      <c r="B3221" s="376" t="s">
        <v>1609</v>
      </c>
      <c r="C3221" s="376" t="s">
        <v>1051</v>
      </c>
      <c r="D3221" s="376">
        <v>2027</v>
      </c>
      <c r="E3221" s="376">
        <v>2030</v>
      </c>
      <c r="F3221" s="376">
        <v>1</v>
      </c>
      <c r="G3221" s="376">
        <v>6101.463203368502</v>
      </c>
      <c r="H3221" s="376">
        <v>0</v>
      </c>
      <c r="I3221" s="376">
        <v>1</v>
      </c>
    </row>
    <row r="3222" spans="1:9" x14ac:dyDescent="0.35">
      <c r="A3222" s="376" t="s">
        <v>1603</v>
      </c>
      <c r="B3222" s="376" t="s">
        <v>1609</v>
      </c>
      <c r="C3222" s="376" t="s">
        <v>1054</v>
      </c>
      <c r="D3222" s="376">
        <v>2027</v>
      </c>
      <c r="E3222" s="376">
        <v>2030</v>
      </c>
      <c r="F3222" s="376">
        <v>1</v>
      </c>
      <c r="G3222" s="376">
        <v>6101.463203368502</v>
      </c>
      <c r="H3222" s="376">
        <v>0</v>
      </c>
      <c r="I3222" s="376">
        <v>1</v>
      </c>
    </row>
    <row r="3223" spans="1:9" x14ac:dyDescent="0.35">
      <c r="A3223" s="376" t="s">
        <v>1603</v>
      </c>
      <c r="B3223" s="376" t="s">
        <v>1609</v>
      </c>
      <c r="C3223" s="376" t="s">
        <v>1046</v>
      </c>
      <c r="D3223" s="376">
        <v>2027</v>
      </c>
      <c r="E3223" s="376">
        <v>2031</v>
      </c>
      <c r="F3223" s="376">
        <v>1</v>
      </c>
      <c r="G3223" s="376">
        <v>6101.463203368502</v>
      </c>
      <c r="H3223" s="376">
        <v>0</v>
      </c>
      <c r="I3223" s="376">
        <v>1</v>
      </c>
    </row>
    <row r="3224" spans="1:9" x14ac:dyDescent="0.35">
      <c r="A3224" s="376" t="s">
        <v>1603</v>
      </c>
      <c r="B3224" s="376" t="s">
        <v>1609</v>
      </c>
      <c r="C3224" s="376" t="s">
        <v>644</v>
      </c>
      <c r="D3224" s="376">
        <v>2027</v>
      </c>
      <c r="E3224" s="376">
        <v>2031</v>
      </c>
      <c r="F3224" s="376">
        <v>1</v>
      </c>
      <c r="G3224" s="376">
        <v>6101.463203368502</v>
      </c>
      <c r="H3224" s="376">
        <v>0</v>
      </c>
      <c r="I3224" s="376">
        <v>1</v>
      </c>
    </row>
    <row r="3225" spans="1:9" x14ac:dyDescent="0.35">
      <c r="A3225" s="376" t="s">
        <v>1603</v>
      </c>
      <c r="B3225" s="376" t="s">
        <v>1609</v>
      </c>
      <c r="C3225" s="376" t="s">
        <v>628</v>
      </c>
      <c r="D3225" s="376">
        <v>2027</v>
      </c>
      <c r="E3225" s="376">
        <v>2031</v>
      </c>
      <c r="F3225" s="376">
        <v>1</v>
      </c>
      <c r="G3225" s="376">
        <v>6101.463203368502</v>
      </c>
      <c r="H3225" s="376">
        <v>0</v>
      </c>
      <c r="I3225" s="376">
        <v>1</v>
      </c>
    </row>
    <row r="3226" spans="1:9" x14ac:dyDescent="0.35">
      <c r="A3226" s="376" t="s">
        <v>1603</v>
      </c>
      <c r="B3226" s="376" t="s">
        <v>1609</v>
      </c>
      <c r="C3226" s="376" t="s">
        <v>1051</v>
      </c>
      <c r="D3226" s="376">
        <v>2027</v>
      </c>
      <c r="E3226" s="376">
        <v>2031</v>
      </c>
      <c r="F3226" s="376">
        <v>1</v>
      </c>
      <c r="G3226" s="376">
        <v>6101.463203368502</v>
      </c>
      <c r="H3226" s="376">
        <v>0</v>
      </c>
      <c r="I3226" s="376">
        <v>1</v>
      </c>
    </row>
    <row r="3227" spans="1:9" x14ac:dyDescent="0.35">
      <c r="A3227" s="376" t="s">
        <v>1603</v>
      </c>
      <c r="B3227" s="376" t="s">
        <v>1609</v>
      </c>
      <c r="C3227" s="376" t="s">
        <v>1054</v>
      </c>
      <c r="D3227" s="376">
        <v>2027</v>
      </c>
      <c r="E3227" s="376">
        <v>2031</v>
      </c>
      <c r="F3227" s="376">
        <v>1</v>
      </c>
      <c r="G3227" s="376">
        <v>6101.463203368502</v>
      </c>
      <c r="H3227" s="376">
        <v>0</v>
      </c>
      <c r="I3227" s="376">
        <v>1</v>
      </c>
    </row>
    <row r="3228" spans="1:9" x14ac:dyDescent="0.35">
      <c r="A3228" s="376" t="s">
        <v>1605</v>
      </c>
      <c r="B3228" s="376" t="s">
        <v>1609</v>
      </c>
      <c r="C3228" s="376" t="s">
        <v>1046</v>
      </c>
      <c r="D3228" s="376">
        <v>2027</v>
      </c>
      <c r="E3228" s="376">
        <v>2027</v>
      </c>
      <c r="F3228" s="376">
        <v>0.23884589662749595</v>
      </c>
      <c r="G3228" s="376">
        <v>10426.102375692073</v>
      </c>
      <c r="H3228" s="376">
        <v>0</v>
      </c>
      <c r="I3228" s="376">
        <v>1</v>
      </c>
    </row>
    <row r="3229" spans="1:9" x14ac:dyDescent="0.35">
      <c r="A3229" s="376" t="s">
        <v>1605</v>
      </c>
      <c r="B3229" s="376" t="s">
        <v>1609</v>
      </c>
      <c r="C3229" s="376" t="s">
        <v>644</v>
      </c>
      <c r="D3229" s="376">
        <v>2027</v>
      </c>
      <c r="E3229" s="376">
        <v>2027</v>
      </c>
      <c r="F3229" s="376">
        <v>0.23884589662749595</v>
      </c>
      <c r="G3229" s="376">
        <v>10426.102375692073</v>
      </c>
      <c r="H3229" s="376">
        <v>0</v>
      </c>
      <c r="I3229" s="376">
        <v>1</v>
      </c>
    </row>
    <row r="3230" spans="1:9" x14ac:dyDescent="0.35">
      <c r="A3230" s="376" t="s">
        <v>1605</v>
      </c>
      <c r="B3230" s="376" t="s">
        <v>1609</v>
      </c>
      <c r="C3230" s="376" t="s">
        <v>628</v>
      </c>
      <c r="D3230" s="376">
        <v>2027</v>
      </c>
      <c r="E3230" s="376">
        <v>2027</v>
      </c>
      <c r="F3230" s="376">
        <v>0.23884589662749595</v>
      </c>
      <c r="G3230" s="376">
        <v>10426.102375692073</v>
      </c>
      <c r="H3230" s="376">
        <v>0</v>
      </c>
      <c r="I3230" s="376">
        <v>1</v>
      </c>
    </row>
    <row r="3231" spans="1:9" x14ac:dyDescent="0.35">
      <c r="A3231" s="376" t="s">
        <v>1605</v>
      </c>
      <c r="B3231" s="376" t="s">
        <v>1609</v>
      </c>
      <c r="C3231" s="376" t="s">
        <v>1051</v>
      </c>
      <c r="D3231" s="376">
        <v>2027</v>
      </c>
      <c r="E3231" s="376">
        <v>2027</v>
      </c>
      <c r="F3231" s="376">
        <v>0.23884589662749595</v>
      </c>
      <c r="G3231" s="376">
        <v>10426.102375692073</v>
      </c>
      <c r="H3231" s="376">
        <v>0</v>
      </c>
      <c r="I3231" s="376">
        <v>1</v>
      </c>
    </row>
    <row r="3232" spans="1:9" x14ac:dyDescent="0.35">
      <c r="A3232" s="376" t="s">
        <v>1605</v>
      </c>
      <c r="B3232" s="376" t="s">
        <v>1609</v>
      </c>
      <c r="C3232" s="376" t="s">
        <v>1054</v>
      </c>
      <c r="D3232" s="376">
        <v>2027</v>
      </c>
      <c r="E3232" s="376">
        <v>2027</v>
      </c>
      <c r="F3232" s="376">
        <v>0.23884589662749595</v>
      </c>
      <c r="G3232" s="376">
        <v>10426.102375692073</v>
      </c>
      <c r="H3232" s="376">
        <v>0</v>
      </c>
      <c r="I3232" s="376">
        <v>1</v>
      </c>
    </row>
    <row r="3233" spans="1:9" x14ac:dyDescent="0.35">
      <c r="A3233" s="376" t="s">
        <v>1605</v>
      </c>
      <c r="B3233" s="376" t="s">
        <v>1609</v>
      </c>
      <c r="C3233" s="376" t="s">
        <v>1046</v>
      </c>
      <c r="D3233" s="376">
        <v>2027</v>
      </c>
      <c r="E3233" s="376">
        <v>2028</v>
      </c>
      <c r="F3233" s="376">
        <v>0.23884589662749595</v>
      </c>
      <c r="G3233" s="376">
        <v>10426.102375692073</v>
      </c>
      <c r="H3233" s="376">
        <v>0</v>
      </c>
      <c r="I3233" s="376">
        <v>1</v>
      </c>
    </row>
    <row r="3234" spans="1:9" x14ac:dyDescent="0.35">
      <c r="A3234" s="376" t="s">
        <v>1605</v>
      </c>
      <c r="B3234" s="376" t="s">
        <v>1609</v>
      </c>
      <c r="C3234" s="376" t="s">
        <v>644</v>
      </c>
      <c r="D3234" s="376">
        <v>2027</v>
      </c>
      <c r="E3234" s="376">
        <v>2028</v>
      </c>
      <c r="F3234" s="376">
        <v>0.23884589662749595</v>
      </c>
      <c r="G3234" s="376">
        <v>10426.102375692073</v>
      </c>
      <c r="H3234" s="376">
        <v>0</v>
      </c>
      <c r="I3234" s="376">
        <v>1</v>
      </c>
    </row>
    <row r="3235" spans="1:9" x14ac:dyDescent="0.35">
      <c r="A3235" s="376" t="s">
        <v>1605</v>
      </c>
      <c r="B3235" s="376" t="s">
        <v>1609</v>
      </c>
      <c r="C3235" s="376" t="s">
        <v>628</v>
      </c>
      <c r="D3235" s="376">
        <v>2027</v>
      </c>
      <c r="E3235" s="376">
        <v>2028</v>
      </c>
      <c r="F3235" s="376">
        <v>0.23884589662749595</v>
      </c>
      <c r="G3235" s="376">
        <v>10426.102375692073</v>
      </c>
      <c r="H3235" s="376">
        <v>0</v>
      </c>
      <c r="I3235" s="376">
        <v>1</v>
      </c>
    </row>
    <row r="3236" spans="1:9" x14ac:dyDescent="0.35">
      <c r="A3236" s="376" t="s">
        <v>1605</v>
      </c>
      <c r="B3236" s="376" t="s">
        <v>1609</v>
      </c>
      <c r="C3236" s="376" t="s">
        <v>1051</v>
      </c>
      <c r="D3236" s="376">
        <v>2027</v>
      </c>
      <c r="E3236" s="376">
        <v>2028</v>
      </c>
      <c r="F3236" s="376">
        <v>0.23884589662749595</v>
      </c>
      <c r="G3236" s="376">
        <v>10426.102375692073</v>
      </c>
      <c r="H3236" s="376">
        <v>0</v>
      </c>
      <c r="I3236" s="376">
        <v>1</v>
      </c>
    </row>
    <row r="3237" spans="1:9" x14ac:dyDescent="0.35">
      <c r="A3237" s="376" t="s">
        <v>1605</v>
      </c>
      <c r="B3237" s="376" t="s">
        <v>1609</v>
      </c>
      <c r="C3237" s="376" t="s">
        <v>1054</v>
      </c>
      <c r="D3237" s="376">
        <v>2027</v>
      </c>
      <c r="E3237" s="376">
        <v>2028</v>
      </c>
      <c r="F3237" s="376">
        <v>0.23884589662749595</v>
      </c>
      <c r="G3237" s="376">
        <v>10426.102375692073</v>
      </c>
      <c r="H3237" s="376">
        <v>0</v>
      </c>
      <c r="I3237" s="376">
        <v>1</v>
      </c>
    </row>
    <row r="3238" spans="1:9" x14ac:dyDescent="0.35">
      <c r="A3238" s="376" t="s">
        <v>1605</v>
      </c>
      <c r="B3238" s="376" t="s">
        <v>1609</v>
      </c>
      <c r="C3238" s="376" t="s">
        <v>1046</v>
      </c>
      <c r="D3238" s="376">
        <v>2027</v>
      </c>
      <c r="E3238" s="376">
        <v>2029</v>
      </c>
      <c r="F3238" s="376">
        <v>0.23884589662749595</v>
      </c>
      <c r="G3238" s="376">
        <v>10426.102375692073</v>
      </c>
      <c r="H3238" s="376">
        <v>0</v>
      </c>
      <c r="I3238" s="376">
        <v>1</v>
      </c>
    </row>
    <row r="3239" spans="1:9" x14ac:dyDescent="0.35">
      <c r="A3239" s="376" t="s">
        <v>1605</v>
      </c>
      <c r="B3239" s="376" t="s">
        <v>1609</v>
      </c>
      <c r="C3239" s="376" t="s">
        <v>644</v>
      </c>
      <c r="D3239" s="376">
        <v>2027</v>
      </c>
      <c r="E3239" s="376">
        <v>2029</v>
      </c>
      <c r="F3239" s="376">
        <v>0.23884589662749595</v>
      </c>
      <c r="G3239" s="376">
        <v>10426.102375692073</v>
      </c>
      <c r="H3239" s="376">
        <v>0</v>
      </c>
      <c r="I3239" s="376">
        <v>1</v>
      </c>
    </row>
    <row r="3240" spans="1:9" x14ac:dyDescent="0.35">
      <c r="A3240" s="376" t="s">
        <v>1605</v>
      </c>
      <c r="B3240" s="376" t="s">
        <v>1609</v>
      </c>
      <c r="C3240" s="376" t="s">
        <v>628</v>
      </c>
      <c r="D3240" s="376">
        <v>2027</v>
      </c>
      <c r="E3240" s="376">
        <v>2029</v>
      </c>
      <c r="F3240" s="376">
        <v>0.23884589662749595</v>
      </c>
      <c r="G3240" s="376">
        <v>10426.102375692073</v>
      </c>
      <c r="H3240" s="376">
        <v>0</v>
      </c>
      <c r="I3240" s="376">
        <v>1</v>
      </c>
    </row>
    <row r="3241" spans="1:9" x14ac:dyDescent="0.35">
      <c r="A3241" s="376" t="s">
        <v>1605</v>
      </c>
      <c r="B3241" s="376" t="s">
        <v>1609</v>
      </c>
      <c r="C3241" s="376" t="s">
        <v>1051</v>
      </c>
      <c r="D3241" s="376">
        <v>2027</v>
      </c>
      <c r="E3241" s="376">
        <v>2029</v>
      </c>
      <c r="F3241" s="376">
        <v>0.23884589662749595</v>
      </c>
      <c r="G3241" s="376">
        <v>10426.102375692073</v>
      </c>
      <c r="H3241" s="376">
        <v>0</v>
      </c>
      <c r="I3241" s="376">
        <v>1</v>
      </c>
    </row>
    <row r="3242" spans="1:9" x14ac:dyDescent="0.35">
      <c r="A3242" s="376" t="s">
        <v>1605</v>
      </c>
      <c r="B3242" s="376" t="s">
        <v>1609</v>
      </c>
      <c r="C3242" s="376" t="s">
        <v>1054</v>
      </c>
      <c r="D3242" s="376">
        <v>2027</v>
      </c>
      <c r="E3242" s="376">
        <v>2029</v>
      </c>
      <c r="F3242" s="376">
        <v>0.23884589662749595</v>
      </c>
      <c r="G3242" s="376">
        <v>10426.102375692073</v>
      </c>
      <c r="H3242" s="376">
        <v>0</v>
      </c>
      <c r="I3242" s="376">
        <v>1</v>
      </c>
    </row>
    <row r="3243" spans="1:9" x14ac:dyDescent="0.35">
      <c r="A3243" s="376" t="s">
        <v>1605</v>
      </c>
      <c r="B3243" s="376" t="s">
        <v>1609</v>
      </c>
      <c r="C3243" s="376" t="s">
        <v>1046</v>
      </c>
      <c r="D3243" s="376">
        <v>2027</v>
      </c>
      <c r="E3243" s="376">
        <v>2030</v>
      </c>
      <c r="F3243" s="376">
        <v>0.23884589662749595</v>
      </c>
      <c r="G3243" s="376">
        <v>10426.102375692073</v>
      </c>
      <c r="H3243" s="376">
        <v>0</v>
      </c>
      <c r="I3243" s="376">
        <v>1</v>
      </c>
    </row>
    <row r="3244" spans="1:9" x14ac:dyDescent="0.35">
      <c r="A3244" s="376" t="s">
        <v>1605</v>
      </c>
      <c r="B3244" s="376" t="s">
        <v>1609</v>
      </c>
      <c r="C3244" s="376" t="s">
        <v>644</v>
      </c>
      <c r="D3244" s="376">
        <v>2027</v>
      </c>
      <c r="E3244" s="376">
        <v>2030</v>
      </c>
      <c r="F3244" s="376">
        <v>0.23884589662749595</v>
      </c>
      <c r="G3244" s="376">
        <v>10426.102375692073</v>
      </c>
      <c r="H3244" s="376">
        <v>0</v>
      </c>
      <c r="I3244" s="376">
        <v>1</v>
      </c>
    </row>
    <row r="3245" spans="1:9" x14ac:dyDescent="0.35">
      <c r="A3245" s="376" t="s">
        <v>1605</v>
      </c>
      <c r="B3245" s="376" t="s">
        <v>1609</v>
      </c>
      <c r="C3245" s="376" t="s">
        <v>628</v>
      </c>
      <c r="D3245" s="376">
        <v>2027</v>
      </c>
      <c r="E3245" s="376">
        <v>2030</v>
      </c>
      <c r="F3245" s="376">
        <v>0.23884589662749595</v>
      </c>
      <c r="G3245" s="376">
        <v>10426.102375692073</v>
      </c>
      <c r="H3245" s="376">
        <v>0</v>
      </c>
      <c r="I3245" s="376">
        <v>1</v>
      </c>
    </row>
    <row r="3246" spans="1:9" x14ac:dyDescent="0.35">
      <c r="A3246" s="376" t="s">
        <v>1605</v>
      </c>
      <c r="B3246" s="376" t="s">
        <v>1609</v>
      </c>
      <c r="C3246" s="376" t="s">
        <v>1051</v>
      </c>
      <c r="D3246" s="376">
        <v>2027</v>
      </c>
      <c r="E3246" s="376">
        <v>2030</v>
      </c>
      <c r="F3246" s="376">
        <v>0.23884589662749595</v>
      </c>
      <c r="G3246" s="376">
        <v>10426.102375692073</v>
      </c>
      <c r="H3246" s="376">
        <v>0</v>
      </c>
      <c r="I3246" s="376">
        <v>1</v>
      </c>
    </row>
    <row r="3247" spans="1:9" x14ac:dyDescent="0.35">
      <c r="A3247" s="376" t="s">
        <v>1605</v>
      </c>
      <c r="B3247" s="376" t="s">
        <v>1609</v>
      </c>
      <c r="C3247" s="376" t="s">
        <v>1054</v>
      </c>
      <c r="D3247" s="376">
        <v>2027</v>
      </c>
      <c r="E3247" s="376">
        <v>2030</v>
      </c>
      <c r="F3247" s="376">
        <v>0.23884589662749595</v>
      </c>
      <c r="G3247" s="376">
        <v>10426.102375692073</v>
      </c>
      <c r="H3247" s="376">
        <v>0</v>
      </c>
      <c r="I3247" s="376">
        <v>1</v>
      </c>
    </row>
    <row r="3248" spans="1:9" x14ac:dyDescent="0.35">
      <c r="A3248" s="376" t="s">
        <v>1605</v>
      </c>
      <c r="B3248" s="376" t="s">
        <v>1609</v>
      </c>
      <c r="C3248" s="376" t="s">
        <v>1046</v>
      </c>
      <c r="D3248" s="376">
        <v>2027</v>
      </c>
      <c r="E3248" s="376">
        <v>2031</v>
      </c>
      <c r="F3248" s="376">
        <v>0.23884589662749595</v>
      </c>
      <c r="G3248" s="376">
        <v>10426.102375692073</v>
      </c>
      <c r="H3248" s="376">
        <v>0</v>
      </c>
      <c r="I3248" s="376">
        <v>1</v>
      </c>
    </row>
    <row r="3249" spans="1:9" x14ac:dyDescent="0.35">
      <c r="A3249" s="376" t="s">
        <v>1605</v>
      </c>
      <c r="B3249" s="376" t="s">
        <v>1609</v>
      </c>
      <c r="C3249" s="376" t="s">
        <v>644</v>
      </c>
      <c r="D3249" s="376">
        <v>2027</v>
      </c>
      <c r="E3249" s="376">
        <v>2031</v>
      </c>
      <c r="F3249" s="376">
        <v>0.23884589662749595</v>
      </c>
      <c r="G3249" s="376">
        <v>10426.102375692073</v>
      </c>
      <c r="H3249" s="376">
        <v>0</v>
      </c>
      <c r="I3249" s="376">
        <v>1</v>
      </c>
    </row>
    <row r="3250" spans="1:9" x14ac:dyDescent="0.35">
      <c r="A3250" s="376" t="s">
        <v>1605</v>
      </c>
      <c r="B3250" s="376" t="s">
        <v>1609</v>
      </c>
      <c r="C3250" s="376" t="s">
        <v>628</v>
      </c>
      <c r="D3250" s="376">
        <v>2027</v>
      </c>
      <c r="E3250" s="376">
        <v>2031</v>
      </c>
      <c r="F3250" s="376">
        <v>0.23884589662749595</v>
      </c>
      <c r="G3250" s="376">
        <v>10426.102375692073</v>
      </c>
      <c r="H3250" s="376">
        <v>0</v>
      </c>
      <c r="I3250" s="376">
        <v>1</v>
      </c>
    </row>
    <row r="3251" spans="1:9" x14ac:dyDescent="0.35">
      <c r="A3251" s="376" t="s">
        <v>1605</v>
      </c>
      <c r="B3251" s="376" t="s">
        <v>1609</v>
      </c>
      <c r="C3251" s="376" t="s">
        <v>1051</v>
      </c>
      <c r="D3251" s="376">
        <v>2027</v>
      </c>
      <c r="E3251" s="376">
        <v>2031</v>
      </c>
      <c r="F3251" s="376">
        <v>0.23884589662749595</v>
      </c>
      <c r="G3251" s="376">
        <v>10426.102375692073</v>
      </c>
      <c r="H3251" s="376">
        <v>0</v>
      </c>
      <c r="I3251" s="376">
        <v>1</v>
      </c>
    </row>
    <row r="3252" spans="1:9" x14ac:dyDescent="0.35">
      <c r="A3252" s="376" t="s">
        <v>1605</v>
      </c>
      <c r="B3252" s="376" t="s">
        <v>1609</v>
      </c>
      <c r="C3252" s="376" t="s">
        <v>1054</v>
      </c>
      <c r="D3252" s="376">
        <v>2027</v>
      </c>
      <c r="E3252" s="376">
        <v>2031</v>
      </c>
      <c r="F3252" s="376">
        <v>0.23884589662749595</v>
      </c>
      <c r="G3252" s="376">
        <v>10426.102375692073</v>
      </c>
      <c r="H3252" s="376">
        <v>0</v>
      </c>
      <c r="I3252" s="376">
        <v>1</v>
      </c>
    </row>
    <row r="3253" spans="1:9" x14ac:dyDescent="0.35">
      <c r="A3253" s="376" t="s">
        <v>1636</v>
      </c>
      <c r="B3253" s="376" t="s">
        <v>1609</v>
      </c>
      <c r="C3253" s="376" t="s">
        <v>1046</v>
      </c>
      <c r="D3253" s="376">
        <v>2027</v>
      </c>
      <c r="E3253" s="376">
        <v>2027</v>
      </c>
      <c r="F3253" s="376">
        <v>1</v>
      </c>
      <c r="G3253" s="376">
        <v>3381.3025762555003</v>
      </c>
      <c r="H3253" s="376">
        <v>0</v>
      </c>
      <c r="I3253" s="376">
        <v>1</v>
      </c>
    </row>
    <row r="3254" spans="1:9" x14ac:dyDescent="0.35">
      <c r="A3254" s="376" t="s">
        <v>1636</v>
      </c>
      <c r="B3254" s="376" t="s">
        <v>1609</v>
      </c>
      <c r="C3254" s="376" t="s">
        <v>644</v>
      </c>
      <c r="D3254" s="376">
        <v>2027</v>
      </c>
      <c r="E3254" s="376">
        <v>2027</v>
      </c>
      <c r="F3254" s="376">
        <v>1</v>
      </c>
      <c r="G3254" s="376">
        <v>3381.3025762555003</v>
      </c>
      <c r="H3254" s="376">
        <v>0</v>
      </c>
      <c r="I3254" s="376">
        <v>1</v>
      </c>
    </row>
    <row r="3255" spans="1:9" x14ac:dyDescent="0.35">
      <c r="A3255" s="376" t="s">
        <v>1636</v>
      </c>
      <c r="B3255" s="376" t="s">
        <v>1609</v>
      </c>
      <c r="C3255" s="376" t="s">
        <v>628</v>
      </c>
      <c r="D3255" s="376">
        <v>2027</v>
      </c>
      <c r="E3255" s="376">
        <v>2027</v>
      </c>
      <c r="F3255" s="376">
        <v>1</v>
      </c>
      <c r="G3255" s="376">
        <v>3381.3025762555003</v>
      </c>
      <c r="H3255" s="376">
        <v>0</v>
      </c>
      <c r="I3255" s="376">
        <v>1</v>
      </c>
    </row>
    <row r="3256" spans="1:9" x14ac:dyDescent="0.35">
      <c r="A3256" s="376" t="s">
        <v>1636</v>
      </c>
      <c r="B3256" s="376" t="s">
        <v>1609</v>
      </c>
      <c r="C3256" s="376" t="s">
        <v>1051</v>
      </c>
      <c r="D3256" s="376">
        <v>2027</v>
      </c>
      <c r="E3256" s="376">
        <v>2027</v>
      </c>
      <c r="F3256" s="376">
        <v>1</v>
      </c>
      <c r="G3256" s="376">
        <v>3381.3025762555003</v>
      </c>
      <c r="H3256" s="376">
        <v>0</v>
      </c>
      <c r="I3256" s="376">
        <v>1</v>
      </c>
    </row>
    <row r="3257" spans="1:9" x14ac:dyDescent="0.35">
      <c r="A3257" s="376" t="s">
        <v>1636</v>
      </c>
      <c r="B3257" s="376" t="s">
        <v>1609</v>
      </c>
      <c r="C3257" s="376" t="s">
        <v>1054</v>
      </c>
      <c r="D3257" s="376">
        <v>2027</v>
      </c>
      <c r="E3257" s="376">
        <v>2027</v>
      </c>
      <c r="F3257" s="376">
        <v>1</v>
      </c>
      <c r="G3257" s="376">
        <v>3381.3025762555003</v>
      </c>
      <c r="H3257" s="376">
        <v>0</v>
      </c>
      <c r="I3257" s="376">
        <v>1</v>
      </c>
    </row>
    <row r="3258" spans="1:9" x14ac:dyDescent="0.35">
      <c r="A3258" s="376" t="s">
        <v>1636</v>
      </c>
      <c r="B3258" s="376" t="s">
        <v>1609</v>
      </c>
      <c r="C3258" s="376" t="s">
        <v>1046</v>
      </c>
      <c r="D3258" s="376">
        <v>2027</v>
      </c>
      <c r="E3258" s="376">
        <v>2028</v>
      </c>
      <c r="F3258" s="376">
        <v>1</v>
      </c>
      <c r="G3258" s="376">
        <v>3381.3025762555003</v>
      </c>
      <c r="H3258" s="376">
        <v>0</v>
      </c>
      <c r="I3258" s="376">
        <v>1</v>
      </c>
    </row>
    <row r="3259" spans="1:9" x14ac:dyDescent="0.35">
      <c r="A3259" s="376" t="s">
        <v>1636</v>
      </c>
      <c r="B3259" s="376" t="s">
        <v>1609</v>
      </c>
      <c r="C3259" s="376" t="s">
        <v>644</v>
      </c>
      <c r="D3259" s="376">
        <v>2027</v>
      </c>
      <c r="E3259" s="376">
        <v>2028</v>
      </c>
      <c r="F3259" s="376">
        <v>1</v>
      </c>
      <c r="G3259" s="376">
        <v>3381.3025762555003</v>
      </c>
      <c r="H3259" s="376">
        <v>0</v>
      </c>
      <c r="I3259" s="376">
        <v>1</v>
      </c>
    </row>
    <row r="3260" spans="1:9" x14ac:dyDescent="0.35">
      <c r="A3260" s="376" t="s">
        <v>1636</v>
      </c>
      <c r="B3260" s="376" t="s">
        <v>1609</v>
      </c>
      <c r="C3260" s="376" t="s">
        <v>628</v>
      </c>
      <c r="D3260" s="376">
        <v>2027</v>
      </c>
      <c r="E3260" s="376">
        <v>2028</v>
      </c>
      <c r="F3260" s="376">
        <v>1</v>
      </c>
      <c r="G3260" s="376">
        <v>3381.3025762555003</v>
      </c>
      <c r="H3260" s="376">
        <v>0</v>
      </c>
      <c r="I3260" s="376">
        <v>1</v>
      </c>
    </row>
    <row r="3261" spans="1:9" x14ac:dyDescent="0.35">
      <c r="A3261" s="376" t="s">
        <v>1636</v>
      </c>
      <c r="B3261" s="376" t="s">
        <v>1609</v>
      </c>
      <c r="C3261" s="376" t="s">
        <v>1051</v>
      </c>
      <c r="D3261" s="376">
        <v>2027</v>
      </c>
      <c r="E3261" s="376">
        <v>2028</v>
      </c>
      <c r="F3261" s="376">
        <v>1</v>
      </c>
      <c r="G3261" s="376">
        <v>3381.3025762555003</v>
      </c>
      <c r="H3261" s="376">
        <v>0</v>
      </c>
      <c r="I3261" s="376">
        <v>1</v>
      </c>
    </row>
    <row r="3262" spans="1:9" x14ac:dyDescent="0.35">
      <c r="A3262" s="376" t="s">
        <v>1636</v>
      </c>
      <c r="B3262" s="376" t="s">
        <v>1609</v>
      </c>
      <c r="C3262" s="376" t="s">
        <v>1054</v>
      </c>
      <c r="D3262" s="376">
        <v>2027</v>
      </c>
      <c r="E3262" s="376">
        <v>2028</v>
      </c>
      <c r="F3262" s="376">
        <v>1</v>
      </c>
      <c r="G3262" s="376">
        <v>3381.3025762555003</v>
      </c>
      <c r="H3262" s="376">
        <v>0</v>
      </c>
      <c r="I3262" s="376">
        <v>1</v>
      </c>
    </row>
    <row r="3263" spans="1:9" x14ac:dyDescent="0.35">
      <c r="A3263" s="376" t="s">
        <v>1636</v>
      </c>
      <c r="B3263" s="376" t="s">
        <v>1609</v>
      </c>
      <c r="C3263" s="376" t="s">
        <v>1046</v>
      </c>
      <c r="D3263" s="376">
        <v>2027</v>
      </c>
      <c r="E3263" s="376">
        <v>2029</v>
      </c>
      <c r="F3263" s="376">
        <v>1</v>
      </c>
      <c r="G3263" s="376">
        <v>3381.3025762555003</v>
      </c>
      <c r="H3263" s="376">
        <v>0</v>
      </c>
      <c r="I3263" s="376">
        <v>1</v>
      </c>
    </row>
    <row r="3264" spans="1:9" x14ac:dyDescent="0.35">
      <c r="A3264" s="376" t="s">
        <v>1636</v>
      </c>
      <c r="B3264" s="376" t="s">
        <v>1609</v>
      </c>
      <c r="C3264" s="376" t="s">
        <v>644</v>
      </c>
      <c r="D3264" s="376">
        <v>2027</v>
      </c>
      <c r="E3264" s="376">
        <v>2029</v>
      </c>
      <c r="F3264" s="376">
        <v>1</v>
      </c>
      <c r="G3264" s="376">
        <v>3381.3025762555003</v>
      </c>
      <c r="H3264" s="376">
        <v>0</v>
      </c>
      <c r="I3264" s="376">
        <v>1</v>
      </c>
    </row>
    <row r="3265" spans="1:9" x14ac:dyDescent="0.35">
      <c r="A3265" s="376" t="s">
        <v>1636</v>
      </c>
      <c r="B3265" s="376" t="s">
        <v>1609</v>
      </c>
      <c r="C3265" s="376" t="s">
        <v>628</v>
      </c>
      <c r="D3265" s="376">
        <v>2027</v>
      </c>
      <c r="E3265" s="376">
        <v>2029</v>
      </c>
      <c r="F3265" s="376">
        <v>1</v>
      </c>
      <c r="G3265" s="376">
        <v>3381.3025762555003</v>
      </c>
      <c r="H3265" s="376">
        <v>0</v>
      </c>
      <c r="I3265" s="376">
        <v>1</v>
      </c>
    </row>
    <row r="3266" spans="1:9" x14ac:dyDescent="0.35">
      <c r="A3266" s="376" t="s">
        <v>1636</v>
      </c>
      <c r="B3266" s="376" t="s">
        <v>1609</v>
      </c>
      <c r="C3266" s="376" t="s">
        <v>1051</v>
      </c>
      <c r="D3266" s="376">
        <v>2027</v>
      </c>
      <c r="E3266" s="376">
        <v>2029</v>
      </c>
      <c r="F3266" s="376">
        <v>1</v>
      </c>
      <c r="G3266" s="376">
        <v>3381.3025762555003</v>
      </c>
      <c r="H3266" s="376">
        <v>0</v>
      </c>
      <c r="I3266" s="376">
        <v>1</v>
      </c>
    </row>
    <row r="3267" spans="1:9" x14ac:dyDescent="0.35">
      <c r="A3267" s="376" t="s">
        <v>1636</v>
      </c>
      <c r="B3267" s="376" t="s">
        <v>1609</v>
      </c>
      <c r="C3267" s="376" t="s">
        <v>1054</v>
      </c>
      <c r="D3267" s="376">
        <v>2027</v>
      </c>
      <c r="E3267" s="376">
        <v>2029</v>
      </c>
      <c r="F3267" s="376">
        <v>1</v>
      </c>
      <c r="G3267" s="376">
        <v>3381.3025762555003</v>
      </c>
      <c r="H3267" s="376">
        <v>0</v>
      </c>
      <c r="I3267" s="376">
        <v>1</v>
      </c>
    </row>
    <row r="3268" spans="1:9" x14ac:dyDescent="0.35">
      <c r="A3268" s="376" t="s">
        <v>1636</v>
      </c>
      <c r="B3268" s="376" t="s">
        <v>1609</v>
      </c>
      <c r="C3268" s="376" t="s">
        <v>1046</v>
      </c>
      <c r="D3268" s="376">
        <v>2027</v>
      </c>
      <c r="E3268" s="376">
        <v>2030</v>
      </c>
      <c r="F3268" s="376">
        <v>1</v>
      </c>
      <c r="G3268" s="376">
        <v>3381.3025762555003</v>
      </c>
      <c r="H3268" s="376">
        <v>0</v>
      </c>
      <c r="I3268" s="376">
        <v>1</v>
      </c>
    </row>
    <row r="3269" spans="1:9" x14ac:dyDescent="0.35">
      <c r="A3269" s="376" t="s">
        <v>1636</v>
      </c>
      <c r="B3269" s="376" t="s">
        <v>1609</v>
      </c>
      <c r="C3269" s="376" t="s">
        <v>644</v>
      </c>
      <c r="D3269" s="376">
        <v>2027</v>
      </c>
      <c r="E3269" s="376">
        <v>2030</v>
      </c>
      <c r="F3269" s="376">
        <v>1</v>
      </c>
      <c r="G3269" s="376">
        <v>3381.3025762555003</v>
      </c>
      <c r="H3269" s="376">
        <v>0</v>
      </c>
      <c r="I3269" s="376">
        <v>1</v>
      </c>
    </row>
    <row r="3270" spans="1:9" x14ac:dyDescent="0.35">
      <c r="A3270" s="376" t="s">
        <v>1636</v>
      </c>
      <c r="B3270" s="376" t="s">
        <v>1609</v>
      </c>
      <c r="C3270" s="376" t="s">
        <v>628</v>
      </c>
      <c r="D3270" s="376">
        <v>2027</v>
      </c>
      <c r="E3270" s="376">
        <v>2030</v>
      </c>
      <c r="F3270" s="376">
        <v>1</v>
      </c>
      <c r="G3270" s="376">
        <v>3381.3025762555003</v>
      </c>
      <c r="H3270" s="376">
        <v>0</v>
      </c>
      <c r="I3270" s="376">
        <v>1</v>
      </c>
    </row>
    <row r="3271" spans="1:9" x14ac:dyDescent="0.35">
      <c r="A3271" s="376" t="s">
        <v>1636</v>
      </c>
      <c r="B3271" s="376" t="s">
        <v>1609</v>
      </c>
      <c r="C3271" s="376" t="s">
        <v>1051</v>
      </c>
      <c r="D3271" s="376">
        <v>2027</v>
      </c>
      <c r="E3271" s="376">
        <v>2030</v>
      </c>
      <c r="F3271" s="376">
        <v>1</v>
      </c>
      <c r="G3271" s="376">
        <v>3381.3025762555003</v>
      </c>
      <c r="H3271" s="376">
        <v>0</v>
      </c>
      <c r="I3271" s="376">
        <v>1</v>
      </c>
    </row>
    <row r="3272" spans="1:9" x14ac:dyDescent="0.35">
      <c r="A3272" s="376" t="s">
        <v>1636</v>
      </c>
      <c r="B3272" s="376" t="s">
        <v>1609</v>
      </c>
      <c r="C3272" s="376" t="s">
        <v>1054</v>
      </c>
      <c r="D3272" s="376">
        <v>2027</v>
      </c>
      <c r="E3272" s="376">
        <v>2030</v>
      </c>
      <c r="F3272" s="376">
        <v>1</v>
      </c>
      <c r="G3272" s="376">
        <v>3381.3025762555003</v>
      </c>
      <c r="H3272" s="376">
        <v>0</v>
      </c>
      <c r="I3272" s="376">
        <v>1</v>
      </c>
    </row>
    <row r="3273" spans="1:9" x14ac:dyDescent="0.35">
      <c r="A3273" s="376" t="s">
        <v>1636</v>
      </c>
      <c r="B3273" s="376" t="s">
        <v>1609</v>
      </c>
      <c r="C3273" s="376" t="s">
        <v>1046</v>
      </c>
      <c r="D3273" s="376">
        <v>2027</v>
      </c>
      <c r="E3273" s="376">
        <v>2031</v>
      </c>
      <c r="F3273" s="376">
        <v>1</v>
      </c>
      <c r="G3273" s="376">
        <v>3381.3025762555003</v>
      </c>
      <c r="H3273" s="376">
        <v>0</v>
      </c>
      <c r="I3273" s="376">
        <v>1</v>
      </c>
    </row>
    <row r="3274" spans="1:9" x14ac:dyDescent="0.35">
      <c r="A3274" s="376" t="s">
        <v>1636</v>
      </c>
      <c r="B3274" s="376" t="s">
        <v>1609</v>
      </c>
      <c r="C3274" s="376" t="s">
        <v>644</v>
      </c>
      <c r="D3274" s="376">
        <v>2027</v>
      </c>
      <c r="E3274" s="376">
        <v>2031</v>
      </c>
      <c r="F3274" s="376">
        <v>1</v>
      </c>
      <c r="G3274" s="376">
        <v>3381.3025762555003</v>
      </c>
      <c r="H3274" s="376">
        <v>0</v>
      </c>
      <c r="I3274" s="376">
        <v>1</v>
      </c>
    </row>
    <row r="3275" spans="1:9" x14ac:dyDescent="0.35">
      <c r="A3275" s="376" t="s">
        <v>1636</v>
      </c>
      <c r="B3275" s="376" t="s">
        <v>1609</v>
      </c>
      <c r="C3275" s="376" t="s">
        <v>628</v>
      </c>
      <c r="D3275" s="376">
        <v>2027</v>
      </c>
      <c r="E3275" s="376">
        <v>2031</v>
      </c>
      <c r="F3275" s="376">
        <v>1</v>
      </c>
      <c r="G3275" s="376">
        <v>3381.3025762555003</v>
      </c>
      <c r="H3275" s="376">
        <v>0</v>
      </c>
      <c r="I3275" s="376">
        <v>1</v>
      </c>
    </row>
    <row r="3276" spans="1:9" x14ac:dyDescent="0.35">
      <c r="A3276" s="376" t="s">
        <v>1636</v>
      </c>
      <c r="B3276" s="376" t="s">
        <v>1609</v>
      </c>
      <c r="C3276" s="376" t="s">
        <v>1051</v>
      </c>
      <c r="D3276" s="376">
        <v>2027</v>
      </c>
      <c r="E3276" s="376">
        <v>2031</v>
      </c>
      <c r="F3276" s="376">
        <v>1</v>
      </c>
      <c r="G3276" s="376">
        <v>3381.3025762555003</v>
      </c>
      <c r="H3276" s="376">
        <v>0</v>
      </c>
      <c r="I3276" s="376">
        <v>1</v>
      </c>
    </row>
    <row r="3277" spans="1:9" x14ac:dyDescent="0.35">
      <c r="A3277" s="376" t="s">
        <v>1636</v>
      </c>
      <c r="B3277" s="376" t="s">
        <v>1609</v>
      </c>
      <c r="C3277" s="376" t="s">
        <v>1054</v>
      </c>
      <c r="D3277" s="376">
        <v>2027</v>
      </c>
      <c r="E3277" s="376">
        <v>2031</v>
      </c>
      <c r="F3277" s="376">
        <v>1</v>
      </c>
      <c r="G3277" s="376">
        <v>3381.3025762555003</v>
      </c>
      <c r="H3277" s="376">
        <v>0</v>
      </c>
      <c r="I3277" s="376">
        <v>1</v>
      </c>
    </row>
    <row r="3278" spans="1:9" x14ac:dyDescent="0.35">
      <c r="A3278" s="376" t="s">
        <v>1606</v>
      </c>
      <c r="B3278" s="376" t="s">
        <v>1609</v>
      </c>
      <c r="C3278" s="376" t="s">
        <v>1046</v>
      </c>
      <c r="D3278" s="376">
        <v>2027</v>
      </c>
      <c r="E3278" s="376">
        <v>2027</v>
      </c>
      <c r="F3278" s="376">
        <v>1</v>
      </c>
      <c r="G3278" s="376">
        <v>5815.3523642425034</v>
      </c>
      <c r="H3278" s="376">
        <v>0</v>
      </c>
      <c r="I3278" s="376">
        <v>1</v>
      </c>
    </row>
    <row r="3279" spans="1:9" x14ac:dyDescent="0.35">
      <c r="A3279" s="376" t="s">
        <v>1606</v>
      </c>
      <c r="B3279" s="376" t="s">
        <v>1609</v>
      </c>
      <c r="C3279" s="376" t="s">
        <v>644</v>
      </c>
      <c r="D3279" s="376">
        <v>2027</v>
      </c>
      <c r="E3279" s="376">
        <v>2027</v>
      </c>
      <c r="F3279" s="376">
        <v>1</v>
      </c>
      <c r="G3279" s="376">
        <v>5815.3523642425034</v>
      </c>
      <c r="H3279" s="376">
        <v>0</v>
      </c>
      <c r="I3279" s="376">
        <v>1</v>
      </c>
    </row>
    <row r="3280" spans="1:9" x14ac:dyDescent="0.35">
      <c r="A3280" s="376" t="s">
        <v>1606</v>
      </c>
      <c r="B3280" s="376" t="s">
        <v>1609</v>
      </c>
      <c r="C3280" s="376" t="s">
        <v>628</v>
      </c>
      <c r="D3280" s="376">
        <v>2027</v>
      </c>
      <c r="E3280" s="376">
        <v>2027</v>
      </c>
      <c r="F3280" s="376">
        <v>1</v>
      </c>
      <c r="G3280" s="376">
        <v>5815.3523642425034</v>
      </c>
      <c r="H3280" s="376">
        <v>0</v>
      </c>
      <c r="I3280" s="376">
        <v>1</v>
      </c>
    </row>
    <row r="3281" spans="1:9" x14ac:dyDescent="0.35">
      <c r="A3281" s="376" t="s">
        <v>1606</v>
      </c>
      <c r="B3281" s="376" t="s">
        <v>1609</v>
      </c>
      <c r="C3281" s="376" t="s">
        <v>1051</v>
      </c>
      <c r="D3281" s="376">
        <v>2027</v>
      </c>
      <c r="E3281" s="376">
        <v>2027</v>
      </c>
      <c r="F3281" s="376">
        <v>1</v>
      </c>
      <c r="G3281" s="376">
        <v>5815.3523642425034</v>
      </c>
      <c r="H3281" s="376">
        <v>0</v>
      </c>
      <c r="I3281" s="376">
        <v>1</v>
      </c>
    </row>
    <row r="3282" spans="1:9" x14ac:dyDescent="0.35">
      <c r="A3282" s="376" t="s">
        <v>1606</v>
      </c>
      <c r="B3282" s="376" t="s">
        <v>1609</v>
      </c>
      <c r="C3282" s="376" t="s">
        <v>1054</v>
      </c>
      <c r="D3282" s="376">
        <v>2027</v>
      </c>
      <c r="E3282" s="376">
        <v>2027</v>
      </c>
      <c r="F3282" s="376">
        <v>1</v>
      </c>
      <c r="G3282" s="376">
        <v>5815.3523642425034</v>
      </c>
      <c r="H3282" s="376">
        <v>0</v>
      </c>
      <c r="I3282" s="376">
        <v>1</v>
      </c>
    </row>
    <row r="3283" spans="1:9" x14ac:dyDescent="0.35">
      <c r="A3283" s="376" t="s">
        <v>1606</v>
      </c>
      <c r="B3283" s="376" t="s">
        <v>1609</v>
      </c>
      <c r="C3283" s="376" t="s">
        <v>1046</v>
      </c>
      <c r="D3283" s="376">
        <v>2027</v>
      </c>
      <c r="E3283" s="376">
        <v>2028</v>
      </c>
      <c r="F3283" s="376">
        <v>1</v>
      </c>
      <c r="G3283" s="376">
        <v>5815.3523642425034</v>
      </c>
      <c r="H3283" s="376">
        <v>0</v>
      </c>
      <c r="I3283" s="376">
        <v>1</v>
      </c>
    </row>
    <row r="3284" spans="1:9" x14ac:dyDescent="0.35">
      <c r="A3284" s="376" t="s">
        <v>1606</v>
      </c>
      <c r="B3284" s="376" t="s">
        <v>1609</v>
      </c>
      <c r="C3284" s="376" t="s">
        <v>644</v>
      </c>
      <c r="D3284" s="376">
        <v>2027</v>
      </c>
      <c r="E3284" s="376">
        <v>2028</v>
      </c>
      <c r="F3284" s="376">
        <v>1</v>
      </c>
      <c r="G3284" s="376">
        <v>5815.3523642425034</v>
      </c>
      <c r="H3284" s="376">
        <v>0</v>
      </c>
      <c r="I3284" s="376">
        <v>1</v>
      </c>
    </row>
    <row r="3285" spans="1:9" x14ac:dyDescent="0.35">
      <c r="A3285" s="376" t="s">
        <v>1606</v>
      </c>
      <c r="B3285" s="376" t="s">
        <v>1609</v>
      </c>
      <c r="C3285" s="376" t="s">
        <v>628</v>
      </c>
      <c r="D3285" s="376">
        <v>2027</v>
      </c>
      <c r="E3285" s="376">
        <v>2028</v>
      </c>
      <c r="F3285" s="376">
        <v>1</v>
      </c>
      <c r="G3285" s="376">
        <v>5815.3523642425034</v>
      </c>
      <c r="H3285" s="376">
        <v>0</v>
      </c>
      <c r="I3285" s="376">
        <v>1</v>
      </c>
    </row>
    <row r="3286" spans="1:9" x14ac:dyDescent="0.35">
      <c r="A3286" s="376" t="s">
        <v>1606</v>
      </c>
      <c r="B3286" s="376" t="s">
        <v>1609</v>
      </c>
      <c r="C3286" s="376" t="s">
        <v>1051</v>
      </c>
      <c r="D3286" s="376">
        <v>2027</v>
      </c>
      <c r="E3286" s="376">
        <v>2028</v>
      </c>
      <c r="F3286" s="376">
        <v>1</v>
      </c>
      <c r="G3286" s="376">
        <v>5815.3523642425034</v>
      </c>
      <c r="H3286" s="376">
        <v>0</v>
      </c>
      <c r="I3286" s="376">
        <v>1</v>
      </c>
    </row>
    <row r="3287" spans="1:9" x14ac:dyDescent="0.35">
      <c r="A3287" s="376" t="s">
        <v>1606</v>
      </c>
      <c r="B3287" s="376" t="s">
        <v>1609</v>
      </c>
      <c r="C3287" s="376" t="s">
        <v>1054</v>
      </c>
      <c r="D3287" s="376">
        <v>2027</v>
      </c>
      <c r="E3287" s="376">
        <v>2028</v>
      </c>
      <c r="F3287" s="376">
        <v>1</v>
      </c>
      <c r="G3287" s="376">
        <v>5815.3523642425034</v>
      </c>
      <c r="H3287" s="376">
        <v>0</v>
      </c>
      <c r="I3287" s="376">
        <v>1</v>
      </c>
    </row>
    <row r="3288" spans="1:9" x14ac:dyDescent="0.35">
      <c r="A3288" s="376" t="s">
        <v>1606</v>
      </c>
      <c r="B3288" s="376" t="s">
        <v>1609</v>
      </c>
      <c r="C3288" s="376" t="s">
        <v>1046</v>
      </c>
      <c r="D3288" s="376">
        <v>2027</v>
      </c>
      <c r="E3288" s="376">
        <v>2029</v>
      </c>
      <c r="F3288" s="376">
        <v>1</v>
      </c>
      <c r="G3288" s="376">
        <v>5815.3523642425034</v>
      </c>
      <c r="H3288" s="376">
        <v>0</v>
      </c>
      <c r="I3288" s="376">
        <v>1</v>
      </c>
    </row>
    <row r="3289" spans="1:9" x14ac:dyDescent="0.35">
      <c r="A3289" s="376" t="s">
        <v>1606</v>
      </c>
      <c r="B3289" s="376" t="s">
        <v>1609</v>
      </c>
      <c r="C3289" s="376" t="s">
        <v>644</v>
      </c>
      <c r="D3289" s="376">
        <v>2027</v>
      </c>
      <c r="E3289" s="376">
        <v>2029</v>
      </c>
      <c r="F3289" s="376">
        <v>1</v>
      </c>
      <c r="G3289" s="376">
        <v>5815.3523642425034</v>
      </c>
      <c r="H3289" s="376">
        <v>0</v>
      </c>
      <c r="I3289" s="376">
        <v>1</v>
      </c>
    </row>
    <row r="3290" spans="1:9" x14ac:dyDescent="0.35">
      <c r="A3290" s="376" t="s">
        <v>1606</v>
      </c>
      <c r="B3290" s="376" t="s">
        <v>1609</v>
      </c>
      <c r="C3290" s="376" t="s">
        <v>628</v>
      </c>
      <c r="D3290" s="376">
        <v>2027</v>
      </c>
      <c r="E3290" s="376">
        <v>2029</v>
      </c>
      <c r="F3290" s="376">
        <v>1</v>
      </c>
      <c r="G3290" s="376">
        <v>5815.3523642425034</v>
      </c>
      <c r="H3290" s="376">
        <v>0</v>
      </c>
      <c r="I3290" s="376">
        <v>1</v>
      </c>
    </row>
    <row r="3291" spans="1:9" x14ac:dyDescent="0.35">
      <c r="A3291" s="376" t="s">
        <v>1606</v>
      </c>
      <c r="B3291" s="376" t="s">
        <v>1609</v>
      </c>
      <c r="C3291" s="376" t="s">
        <v>1051</v>
      </c>
      <c r="D3291" s="376">
        <v>2027</v>
      </c>
      <c r="E3291" s="376">
        <v>2029</v>
      </c>
      <c r="F3291" s="376">
        <v>1</v>
      </c>
      <c r="G3291" s="376">
        <v>5815.3523642425034</v>
      </c>
      <c r="H3291" s="376">
        <v>0</v>
      </c>
      <c r="I3291" s="376">
        <v>1</v>
      </c>
    </row>
    <row r="3292" spans="1:9" x14ac:dyDescent="0.35">
      <c r="A3292" s="376" t="s">
        <v>1606</v>
      </c>
      <c r="B3292" s="376" t="s">
        <v>1609</v>
      </c>
      <c r="C3292" s="376" t="s">
        <v>1054</v>
      </c>
      <c r="D3292" s="376">
        <v>2027</v>
      </c>
      <c r="E3292" s="376">
        <v>2029</v>
      </c>
      <c r="F3292" s="376">
        <v>1</v>
      </c>
      <c r="G3292" s="376">
        <v>5815.3523642425034</v>
      </c>
      <c r="H3292" s="376">
        <v>0</v>
      </c>
      <c r="I3292" s="376">
        <v>1</v>
      </c>
    </row>
    <row r="3293" spans="1:9" x14ac:dyDescent="0.35">
      <c r="A3293" s="376" t="s">
        <v>1606</v>
      </c>
      <c r="B3293" s="376" t="s">
        <v>1609</v>
      </c>
      <c r="C3293" s="376" t="s">
        <v>1046</v>
      </c>
      <c r="D3293" s="376">
        <v>2027</v>
      </c>
      <c r="E3293" s="376">
        <v>2030</v>
      </c>
      <c r="F3293" s="376">
        <v>1</v>
      </c>
      <c r="G3293" s="376">
        <v>5815.3523642425034</v>
      </c>
      <c r="H3293" s="376">
        <v>0</v>
      </c>
      <c r="I3293" s="376">
        <v>1</v>
      </c>
    </row>
    <row r="3294" spans="1:9" x14ac:dyDescent="0.35">
      <c r="A3294" s="376" t="s">
        <v>1606</v>
      </c>
      <c r="B3294" s="376" t="s">
        <v>1609</v>
      </c>
      <c r="C3294" s="376" t="s">
        <v>644</v>
      </c>
      <c r="D3294" s="376">
        <v>2027</v>
      </c>
      <c r="E3294" s="376">
        <v>2030</v>
      </c>
      <c r="F3294" s="376">
        <v>1</v>
      </c>
      <c r="G3294" s="376">
        <v>5815.3523642425034</v>
      </c>
      <c r="H3294" s="376">
        <v>0</v>
      </c>
      <c r="I3294" s="376">
        <v>1</v>
      </c>
    </row>
    <row r="3295" spans="1:9" x14ac:dyDescent="0.35">
      <c r="A3295" s="376" t="s">
        <v>1606</v>
      </c>
      <c r="B3295" s="376" t="s">
        <v>1609</v>
      </c>
      <c r="C3295" s="376" t="s">
        <v>628</v>
      </c>
      <c r="D3295" s="376">
        <v>2027</v>
      </c>
      <c r="E3295" s="376">
        <v>2030</v>
      </c>
      <c r="F3295" s="376">
        <v>1</v>
      </c>
      <c r="G3295" s="376">
        <v>5815.3523642425034</v>
      </c>
      <c r="H3295" s="376">
        <v>0</v>
      </c>
      <c r="I3295" s="376">
        <v>1</v>
      </c>
    </row>
    <row r="3296" spans="1:9" x14ac:dyDescent="0.35">
      <c r="A3296" s="376" t="s">
        <v>1606</v>
      </c>
      <c r="B3296" s="376" t="s">
        <v>1609</v>
      </c>
      <c r="C3296" s="376" t="s">
        <v>1051</v>
      </c>
      <c r="D3296" s="376">
        <v>2027</v>
      </c>
      <c r="E3296" s="376">
        <v>2030</v>
      </c>
      <c r="F3296" s="376">
        <v>1</v>
      </c>
      <c r="G3296" s="376">
        <v>5815.3523642425034</v>
      </c>
      <c r="H3296" s="376">
        <v>0</v>
      </c>
      <c r="I3296" s="376">
        <v>1</v>
      </c>
    </row>
    <row r="3297" spans="1:9" x14ac:dyDescent="0.35">
      <c r="A3297" s="376" t="s">
        <v>1606</v>
      </c>
      <c r="B3297" s="376" t="s">
        <v>1609</v>
      </c>
      <c r="C3297" s="376" t="s">
        <v>1054</v>
      </c>
      <c r="D3297" s="376">
        <v>2027</v>
      </c>
      <c r="E3297" s="376">
        <v>2030</v>
      </c>
      <c r="F3297" s="376">
        <v>1</v>
      </c>
      <c r="G3297" s="376">
        <v>5815.3523642425034</v>
      </c>
      <c r="H3297" s="376">
        <v>0</v>
      </c>
      <c r="I3297" s="376">
        <v>1</v>
      </c>
    </row>
    <row r="3298" spans="1:9" x14ac:dyDescent="0.35">
      <c r="A3298" s="376" t="s">
        <v>1606</v>
      </c>
      <c r="B3298" s="376" t="s">
        <v>1609</v>
      </c>
      <c r="C3298" s="376" t="s">
        <v>1046</v>
      </c>
      <c r="D3298" s="376">
        <v>2027</v>
      </c>
      <c r="E3298" s="376">
        <v>2031</v>
      </c>
      <c r="F3298" s="376">
        <v>1</v>
      </c>
      <c r="G3298" s="376">
        <v>5815.3523642425034</v>
      </c>
      <c r="H3298" s="376">
        <v>0</v>
      </c>
      <c r="I3298" s="376">
        <v>1</v>
      </c>
    </row>
    <row r="3299" spans="1:9" x14ac:dyDescent="0.35">
      <c r="A3299" s="376" t="s">
        <v>1606</v>
      </c>
      <c r="B3299" s="376" t="s">
        <v>1609</v>
      </c>
      <c r="C3299" s="376" t="s">
        <v>644</v>
      </c>
      <c r="D3299" s="376">
        <v>2027</v>
      </c>
      <c r="E3299" s="376">
        <v>2031</v>
      </c>
      <c r="F3299" s="376">
        <v>1</v>
      </c>
      <c r="G3299" s="376">
        <v>5815.3523642425034</v>
      </c>
      <c r="H3299" s="376">
        <v>0</v>
      </c>
      <c r="I3299" s="376">
        <v>1</v>
      </c>
    </row>
    <row r="3300" spans="1:9" x14ac:dyDescent="0.35">
      <c r="A3300" s="376" t="s">
        <v>1606</v>
      </c>
      <c r="B3300" s="376" t="s">
        <v>1609</v>
      </c>
      <c r="C3300" s="376" t="s">
        <v>628</v>
      </c>
      <c r="D3300" s="376">
        <v>2027</v>
      </c>
      <c r="E3300" s="376">
        <v>2031</v>
      </c>
      <c r="F3300" s="376">
        <v>1</v>
      </c>
      <c r="G3300" s="376">
        <v>5815.3523642425034</v>
      </c>
      <c r="H3300" s="376">
        <v>0</v>
      </c>
      <c r="I3300" s="376">
        <v>1</v>
      </c>
    </row>
    <row r="3301" spans="1:9" x14ac:dyDescent="0.35">
      <c r="A3301" s="376" t="s">
        <v>1606</v>
      </c>
      <c r="B3301" s="376" t="s">
        <v>1609</v>
      </c>
      <c r="C3301" s="376" t="s">
        <v>1051</v>
      </c>
      <c r="D3301" s="376">
        <v>2027</v>
      </c>
      <c r="E3301" s="376">
        <v>2031</v>
      </c>
      <c r="F3301" s="376">
        <v>1</v>
      </c>
      <c r="G3301" s="376">
        <v>5815.3523642425034</v>
      </c>
      <c r="H3301" s="376">
        <v>0</v>
      </c>
      <c r="I3301" s="376">
        <v>1</v>
      </c>
    </row>
    <row r="3302" spans="1:9" x14ac:dyDescent="0.35">
      <c r="A3302" s="376" t="s">
        <v>1606</v>
      </c>
      <c r="B3302" s="376" t="s">
        <v>1609</v>
      </c>
      <c r="C3302" s="376" t="s">
        <v>1054</v>
      </c>
      <c r="D3302" s="376">
        <v>2027</v>
      </c>
      <c r="E3302" s="376">
        <v>2031</v>
      </c>
      <c r="F3302" s="376">
        <v>1</v>
      </c>
      <c r="G3302" s="376">
        <v>5815.3523642425034</v>
      </c>
      <c r="H3302" s="376">
        <v>0</v>
      </c>
      <c r="I3302" s="376">
        <v>1</v>
      </c>
    </row>
    <row r="3303" spans="1:9" x14ac:dyDescent="0.35">
      <c r="A3303" s="376" t="s">
        <v>1612</v>
      </c>
      <c r="B3303" s="376" t="s">
        <v>1609</v>
      </c>
      <c r="C3303" s="376" t="s">
        <v>1046</v>
      </c>
      <c r="D3303" s="376">
        <v>2028</v>
      </c>
      <c r="E3303" s="376">
        <v>2028</v>
      </c>
      <c r="F3303" s="376">
        <v>0.37384575124303709</v>
      </c>
      <c r="G3303" s="376">
        <v>9928.6887826901675</v>
      </c>
      <c r="H3303" s="376">
        <v>0.28529789887173318</v>
      </c>
      <c r="I3303" s="376">
        <v>0.85</v>
      </c>
    </row>
    <row r="3304" spans="1:9" x14ac:dyDescent="0.35">
      <c r="A3304" s="376" t="s">
        <v>1612</v>
      </c>
      <c r="B3304" s="376" t="s">
        <v>1609</v>
      </c>
      <c r="C3304" s="376" t="s">
        <v>644</v>
      </c>
      <c r="D3304" s="376">
        <v>2028</v>
      </c>
      <c r="E3304" s="376">
        <v>2028</v>
      </c>
      <c r="F3304" s="376">
        <v>0.37384575124303709</v>
      </c>
      <c r="G3304" s="376">
        <v>9928.6887826901675</v>
      </c>
      <c r="H3304" s="376">
        <v>0.28529789887173318</v>
      </c>
      <c r="I3304" s="376">
        <v>0.85</v>
      </c>
    </row>
    <row r="3305" spans="1:9" x14ac:dyDescent="0.35">
      <c r="A3305" s="376" t="s">
        <v>1612</v>
      </c>
      <c r="B3305" s="376" t="s">
        <v>1609</v>
      </c>
      <c r="C3305" s="376" t="s">
        <v>628</v>
      </c>
      <c r="D3305" s="376">
        <v>2028</v>
      </c>
      <c r="E3305" s="376">
        <v>2028</v>
      </c>
      <c r="F3305" s="376">
        <v>0.37384575124303709</v>
      </c>
      <c r="G3305" s="376">
        <v>9928.6887826901675</v>
      </c>
      <c r="H3305" s="376">
        <v>0.28529789887173318</v>
      </c>
      <c r="I3305" s="376">
        <v>0.85</v>
      </c>
    </row>
    <row r="3306" spans="1:9" x14ac:dyDescent="0.35">
      <c r="A3306" s="376" t="s">
        <v>1612</v>
      </c>
      <c r="B3306" s="376" t="s">
        <v>1609</v>
      </c>
      <c r="C3306" s="376" t="s">
        <v>1051</v>
      </c>
      <c r="D3306" s="376">
        <v>2028</v>
      </c>
      <c r="E3306" s="376">
        <v>2028</v>
      </c>
      <c r="F3306" s="376">
        <v>0.37384575124303709</v>
      </c>
      <c r="G3306" s="376">
        <v>9928.6887826901675</v>
      </c>
      <c r="H3306" s="376">
        <v>0.28529789887173318</v>
      </c>
      <c r="I3306" s="376">
        <v>0.85</v>
      </c>
    </row>
    <row r="3307" spans="1:9" x14ac:dyDescent="0.35">
      <c r="A3307" s="376" t="s">
        <v>1612</v>
      </c>
      <c r="B3307" s="376" t="s">
        <v>1609</v>
      </c>
      <c r="C3307" s="376" t="s">
        <v>1054</v>
      </c>
      <c r="D3307" s="376">
        <v>2028</v>
      </c>
      <c r="E3307" s="376">
        <v>2028</v>
      </c>
      <c r="F3307" s="376">
        <v>0.37384575124303709</v>
      </c>
      <c r="G3307" s="376">
        <v>9928.6887826901675</v>
      </c>
      <c r="H3307" s="376">
        <v>0.28529789887173318</v>
      </c>
      <c r="I3307" s="376">
        <v>0.85</v>
      </c>
    </row>
    <row r="3308" spans="1:9" x14ac:dyDescent="0.35">
      <c r="A3308" s="376" t="s">
        <v>1612</v>
      </c>
      <c r="B3308" s="376" t="s">
        <v>1609</v>
      </c>
      <c r="C3308" s="376" t="s">
        <v>1046</v>
      </c>
      <c r="D3308" s="376">
        <v>2028</v>
      </c>
      <c r="E3308" s="376">
        <v>2029</v>
      </c>
      <c r="F3308" s="376">
        <v>0.37384575124303709</v>
      </c>
      <c r="G3308" s="376">
        <v>9928.6887826901675</v>
      </c>
      <c r="H3308" s="376">
        <v>0.28529789887173318</v>
      </c>
      <c r="I3308" s="376">
        <v>0.85</v>
      </c>
    </row>
    <row r="3309" spans="1:9" x14ac:dyDescent="0.35">
      <c r="A3309" s="376" t="s">
        <v>1612</v>
      </c>
      <c r="B3309" s="376" t="s">
        <v>1609</v>
      </c>
      <c r="C3309" s="376" t="s">
        <v>644</v>
      </c>
      <c r="D3309" s="376">
        <v>2028</v>
      </c>
      <c r="E3309" s="376">
        <v>2029</v>
      </c>
      <c r="F3309" s="376">
        <v>0.37384575124303709</v>
      </c>
      <c r="G3309" s="376">
        <v>9928.6887826901675</v>
      </c>
      <c r="H3309" s="376">
        <v>0.28529789887173318</v>
      </c>
      <c r="I3309" s="376">
        <v>0.85</v>
      </c>
    </row>
    <row r="3310" spans="1:9" x14ac:dyDescent="0.35">
      <c r="A3310" s="376" t="s">
        <v>1612</v>
      </c>
      <c r="B3310" s="376" t="s">
        <v>1609</v>
      </c>
      <c r="C3310" s="376" t="s">
        <v>628</v>
      </c>
      <c r="D3310" s="376">
        <v>2028</v>
      </c>
      <c r="E3310" s="376">
        <v>2029</v>
      </c>
      <c r="F3310" s="376">
        <v>0.37384575124303709</v>
      </c>
      <c r="G3310" s="376">
        <v>9928.6887826901675</v>
      </c>
      <c r="H3310" s="376">
        <v>0.28529789887173318</v>
      </c>
      <c r="I3310" s="376">
        <v>0.85</v>
      </c>
    </row>
    <row r="3311" spans="1:9" x14ac:dyDescent="0.35">
      <c r="A3311" s="376" t="s">
        <v>1612</v>
      </c>
      <c r="B3311" s="376" t="s">
        <v>1609</v>
      </c>
      <c r="C3311" s="376" t="s">
        <v>1051</v>
      </c>
      <c r="D3311" s="376">
        <v>2028</v>
      </c>
      <c r="E3311" s="376">
        <v>2029</v>
      </c>
      <c r="F3311" s="376">
        <v>0.37384575124303709</v>
      </c>
      <c r="G3311" s="376">
        <v>9928.6887826901675</v>
      </c>
      <c r="H3311" s="376">
        <v>0.28529789887173318</v>
      </c>
      <c r="I3311" s="376">
        <v>0.85</v>
      </c>
    </row>
    <row r="3312" spans="1:9" x14ac:dyDescent="0.35">
      <c r="A3312" s="376" t="s">
        <v>1612</v>
      </c>
      <c r="B3312" s="376" t="s">
        <v>1609</v>
      </c>
      <c r="C3312" s="376" t="s">
        <v>1054</v>
      </c>
      <c r="D3312" s="376">
        <v>2028</v>
      </c>
      <c r="E3312" s="376">
        <v>2029</v>
      </c>
      <c r="F3312" s="376">
        <v>0.37384575124303709</v>
      </c>
      <c r="G3312" s="376">
        <v>9928.6887826901675</v>
      </c>
      <c r="H3312" s="376">
        <v>0.28529789887173318</v>
      </c>
      <c r="I3312" s="376">
        <v>0.85</v>
      </c>
    </row>
    <row r="3313" spans="1:9" x14ac:dyDescent="0.35">
      <c r="A3313" s="376" t="s">
        <v>1612</v>
      </c>
      <c r="B3313" s="376" t="s">
        <v>1609</v>
      </c>
      <c r="C3313" s="376" t="s">
        <v>1046</v>
      </c>
      <c r="D3313" s="376">
        <v>2028</v>
      </c>
      <c r="E3313" s="376">
        <v>2030</v>
      </c>
      <c r="F3313" s="376">
        <v>0.37384575124303709</v>
      </c>
      <c r="G3313" s="376">
        <v>9928.6887826901675</v>
      </c>
      <c r="H3313" s="376">
        <v>0.28529789887173318</v>
      </c>
      <c r="I3313" s="376">
        <v>0.85</v>
      </c>
    </row>
    <row r="3314" spans="1:9" x14ac:dyDescent="0.35">
      <c r="A3314" s="376" t="s">
        <v>1612</v>
      </c>
      <c r="B3314" s="376" t="s">
        <v>1609</v>
      </c>
      <c r="C3314" s="376" t="s">
        <v>644</v>
      </c>
      <c r="D3314" s="376">
        <v>2028</v>
      </c>
      <c r="E3314" s="376">
        <v>2030</v>
      </c>
      <c r="F3314" s="376">
        <v>0.37384575124303709</v>
      </c>
      <c r="G3314" s="376">
        <v>9928.6887826901675</v>
      </c>
      <c r="H3314" s="376">
        <v>0.28529789887173318</v>
      </c>
      <c r="I3314" s="376">
        <v>0.85</v>
      </c>
    </row>
    <row r="3315" spans="1:9" x14ac:dyDescent="0.35">
      <c r="A3315" s="376" t="s">
        <v>1612</v>
      </c>
      <c r="B3315" s="376" t="s">
        <v>1609</v>
      </c>
      <c r="C3315" s="376" t="s">
        <v>628</v>
      </c>
      <c r="D3315" s="376">
        <v>2028</v>
      </c>
      <c r="E3315" s="376">
        <v>2030</v>
      </c>
      <c r="F3315" s="376">
        <v>0.37384575124303709</v>
      </c>
      <c r="G3315" s="376">
        <v>9928.6887826901675</v>
      </c>
      <c r="H3315" s="376">
        <v>0.28529789887173318</v>
      </c>
      <c r="I3315" s="376">
        <v>0.85</v>
      </c>
    </row>
    <row r="3316" spans="1:9" x14ac:dyDescent="0.35">
      <c r="A3316" s="376" t="s">
        <v>1612</v>
      </c>
      <c r="B3316" s="376" t="s">
        <v>1609</v>
      </c>
      <c r="C3316" s="376" t="s">
        <v>1051</v>
      </c>
      <c r="D3316" s="376">
        <v>2028</v>
      </c>
      <c r="E3316" s="376">
        <v>2030</v>
      </c>
      <c r="F3316" s="376">
        <v>0.37384575124303709</v>
      </c>
      <c r="G3316" s="376">
        <v>9928.6887826901675</v>
      </c>
      <c r="H3316" s="376">
        <v>0.28529789887173318</v>
      </c>
      <c r="I3316" s="376">
        <v>0.85</v>
      </c>
    </row>
    <row r="3317" spans="1:9" x14ac:dyDescent="0.35">
      <c r="A3317" s="376" t="s">
        <v>1612</v>
      </c>
      <c r="B3317" s="376" t="s">
        <v>1609</v>
      </c>
      <c r="C3317" s="376" t="s">
        <v>1054</v>
      </c>
      <c r="D3317" s="376">
        <v>2028</v>
      </c>
      <c r="E3317" s="376">
        <v>2030</v>
      </c>
      <c r="F3317" s="376">
        <v>0.37384575124303709</v>
      </c>
      <c r="G3317" s="376">
        <v>9928.6887826901675</v>
      </c>
      <c r="H3317" s="376">
        <v>0.28529789887173318</v>
      </c>
      <c r="I3317" s="376">
        <v>0.85</v>
      </c>
    </row>
    <row r="3318" spans="1:9" x14ac:dyDescent="0.35">
      <c r="A3318" s="376" t="s">
        <v>1612</v>
      </c>
      <c r="B3318" s="376" t="s">
        <v>1609</v>
      </c>
      <c r="C3318" s="376" t="s">
        <v>1046</v>
      </c>
      <c r="D3318" s="376">
        <v>2028</v>
      </c>
      <c r="E3318" s="376">
        <v>2031</v>
      </c>
      <c r="F3318" s="376">
        <v>0.37384575124303709</v>
      </c>
      <c r="G3318" s="376">
        <v>9928.6887826901675</v>
      </c>
      <c r="H3318" s="376">
        <v>0.28529789887173318</v>
      </c>
      <c r="I3318" s="376">
        <v>0.85</v>
      </c>
    </row>
    <row r="3319" spans="1:9" x14ac:dyDescent="0.35">
      <c r="A3319" s="376" t="s">
        <v>1612</v>
      </c>
      <c r="B3319" s="376" t="s">
        <v>1609</v>
      </c>
      <c r="C3319" s="376" t="s">
        <v>644</v>
      </c>
      <c r="D3319" s="376">
        <v>2028</v>
      </c>
      <c r="E3319" s="376">
        <v>2031</v>
      </c>
      <c r="F3319" s="376">
        <v>0.37384575124303709</v>
      </c>
      <c r="G3319" s="376">
        <v>9928.6887826901675</v>
      </c>
      <c r="H3319" s="376">
        <v>0.28529789887173318</v>
      </c>
      <c r="I3319" s="376">
        <v>0.85</v>
      </c>
    </row>
    <row r="3320" spans="1:9" x14ac:dyDescent="0.35">
      <c r="A3320" s="376" t="s">
        <v>1612</v>
      </c>
      <c r="B3320" s="376" t="s">
        <v>1609</v>
      </c>
      <c r="C3320" s="376" t="s">
        <v>628</v>
      </c>
      <c r="D3320" s="376">
        <v>2028</v>
      </c>
      <c r="E3320" s="376">
        <v>2031</v>
      </c>
      <c r="F3320" s="376">
        <v>0.37384575124303709</v>
      </c>
      <c r="G3320" s="376">
        <v>9928.6887826901675</v>
      </c>
      <c r="H3320" s="376">
        <v>0.28529789887173318</v>
      </c>
      <c r="I3320" s="376">
        <v>0.85</v>
      </c>
    </row>
    <row r="3321" spans="1:9" x14ac:dyDescent="0.35">
      <c r="A3321" s="376" t="s">
        <v>1612</v>
      </c>
      <c r="B3321" s="376" t="s">
        <v>1609</v>
      </c>
      <c r="C3321" s="376" t="s">
        <v>1051</v>
      </c>
      <c r="D3321" s="376">
        <v>2028</v>
      </c>
      <c r="E3321" s="376">
        <v>2031</v>
      </c>
      <c r="F3321" s="376">
        <v>0.37384575124303709</v>
      </c>
      <c r="G3321" s="376">
        <v>9928.6887826901675</v>
      </c>
      <c r="H3321" s="376">
        <v>0.28529789887173318</v>
      </c>
      <c r="I3321" s="376">
        <v>0.85</v>
      </c>
    </row>
    <row r="3322" spans="1:9" x14ac:dyDescent="0.35">
      <c r="A3322" s="376" t="s">
        <v>1612</v>
      </c>
      <c r="B3322" s="376" t="s">
        <v>1609</v>
      </c>
      <c r="C3322" s="376" t="s">
        <v>1054</v>
      </c>
      <c r="D3322" s="376">
        <v>2028</v>
      </c>
      <c r="E3322" s="376">
        <v>2031</v>
      </c>
      <c r="F3322" s="376">
        <v>0.37384575124303709</v>
      </c>
      <c r="G3322" s="376">
        <v>9928.6887826901675</v>
      </c>
      <c r="H3322" s="376">
        <v>0.28529789887173318</v>
      </c>
      <c r="I3322" s="376">
        <v>0.85</v>
      </c>
    </row>
    <row r="3323" spans="1:9" x14ac:dyDescent="0.35">
      <c r="A3323" s="376" t="s">
        <v>1613</v>
      </c>
      <c r="B3323" s="376" t="s">
        <v>1609</v>
      </c>
      <c r="C3323" s="376" t="s">
        <v>1046</v>
      </c>
      <c r="D3323" s="376">
        <v>2028</v>
      </c>
      <c r="E3323" s="376">
        <v>2028</v>
      </c>
      <c r="F3323" s="376">
        <v>0.40444272241720852</v>
      </c>
      <c r="G3323" s="376">
        <v>8848.5269568257354</v>
      </c>
      <c r="H3323" s="376">
        <v>0.27495320918862265</v>
      </c>
      <c r="I3323" s="376">
        <v>0.85</v>
      </c>
    </row>
    <row r="3324" spans="1:9" x14ac:dyDescent="0.35">
      <c r="A3324" s="376" t="s">
        <v>1613</v>
      </c>
      <c r="B3324" s="376" t="s">
        <v>1609</v>
      </c>
      <c r="C3324" s="376" t="s">
        <v>644</v>
      </c>
      <c r="D3324" s="376">
        <v>2028</v>
      </c>
      <c r="E3324" s="376">
        <v>2028</v>
      </c>
      <c r="F3324" s="376">
        <v>0.40444272241720852</v>
      </c>
      <c r="G3324" s="376">
        <v>8848.5269568257354</v>
      </c>
      <c r="H3324" s="376">
        <v>0.27495320918862265</v>
      </c>
      <c r="I3324" s="376">
        <v>0.85</v>
      </c>
    </row>
    <row r="3325" spans="1:9" x14ac:dyDescent="0.35">
      <c r="A3325" s="376" t="s">
        <v>1613</v>
      </c>
      <c r="B3325" s="376" t="s">
        <v>1609</v>
      </c>
      <c r="C3325" s="376" t="s">
        <v>628</v>
      </c>
      <c r="D3325" s="376">
        <v>2028</v>
      </c>
      <c r="E3325" s="376">
        <v>2028</v>
      </c>
      <c r="F3325" s="376">
        <v>0.40444272241720852</v>
      </c>
      <c r="G3325" s="376">
        <v>8848.5269568257354</v>
      </c>
      <c r="H3325" s="376">
        <v>0.27495320918862265</v>
      </c>
      <c r="I3325" s="376">
        <v>0.85</v>
      </c>
    </row>
    <row r="3326" spans="1:9" x14ac:dyDescent="0.35">
      <c r="A3326" s="376" t="s">
        <v>1613</v>
      </c>
      <c r="B3326" s="376" t="s">
        <v>1609</v>
      </c>
      <c r="C3326" s="376" t="s">
        <v>1051</v>
      </c>
      <c r="D3326" s="376">
        <v>2028</v>
      </c>
      <c r="E3326" s="376">
        <v>2028</v>
      </c>
      <c r="F3326" s="376">
        <v>0.40444272241720852</v>
      </c>
      <c r="G3326" s="376">
        <v>8848.5269568257354</v>
      </c>
      <c r="H3326" s="376">
        <v>0.27495320918862265</v>
      </c>
      <c r="I3326" s="376">
        <v>0.85</v>
      </c>
    </row>
    <row r="3327" spans="1:9" x14ac:dyDescent="0.35">
      <c r="A3327" s="376" t="s">
        <v>1613</v>
      </c>
      <c r="B3327" s="376" t="s">
        <v>1609</v>
      </c>
      <c r="C3327" s="376" t="s">
        <v>1054</v>
      </c>
      <c r="D3327" s="376">
        <v>2028</v>
      </c>
      <c r="E3327" s="376">
        <v>2028</v>
      </c>
      <c r="F3327" s="376">
        <v>0.40444272241720852</v>
      </c>
      <c r="G3327" s="376">
        <v>8848.5269568257354</v>
      </c>
      <c r="H3327" s="376">
        <v>0.27495320918862265</v>
      </c>
      <c r="I3327" s="376">
        <v>0.85</v>
      </c>
    </row>
    <row r="3328" spans="1:9" x14ac:dyDescent="0.35">
      <c r="A3328" s="376" t="s">
        <v>1613</v>
      </c>
      <c r="B3328" s="376" t="s">
        <v>1609</v>
      </c>
      <c r="C3328" s="376" t="s">
        <v>1046</v>
      </c>
      <c r="D3328" s="376">
        <v>2028</v>
      </c>
      <c r="E3328" s="376">
        <v>2029</v>
      </c>
      <c r="F3328" s="376">
        <v>0.40444272241720852</v>
      </c>
      <c r="G3328" s="376">
        <v>8848.5269568257354</v>
      </c>
      <c r="H3328" s="376">
        <v>0.27495320918862265</v>
      </c>
      <c r="I3328" s="376">
        <v>0.85</v>
      </c>
    </row>
    <row r="3329" spans="1:9" x14ac:dyDescent="0.35">
      <c r="A3329" s="376" t="s">
        <v>1613</v>
      </c>
      <c r="B3329" s="376" t="s">
        <v>1609</v>
      </c>
      <c r="C3329" s="376" t="s">
        <v>644</v>
      </c>
      <c r="D3329" s="376">
        <v>2028</v>
      </c>
      <c r="E3329" s="376">
        <v>2029</v>
      </c>
      <c r="F3329" s="376">
        <v>0.40444272241720852</v>
      </c>
      <c r="G3329" s="376">
        <v>8848.5269568257354</v>
      </c>
      <c r="H3329" s="376">
        <v>0.27495320918862265</v>
      </c>
      <c r="I3329" s="376">
        <v>0.85</v>
      </c>
    </row>
    <row r="3330" spans="1:9" x14ac:dyDescent="0.35">
      <c r="A3330" s="376" t="s">
        <v>1613</v>
      </c>
      <c r="B3330" s="376" t="s">
        <v>1609</v>
      </c>
      <c r="C3330" s="376" t="s">
        <v>628</v>
      </c>
      <c r="D3330" s="376">
        <v>2028</v>
      </c>
      <c r="E3330" s="376">
        <v>2029</v>
      </c>
      <c r="F3330" s="376">
        <v>0.40444272241720852</v>
      </c>
      <c r="G3330" s="376">
        <v>8848.5269568257354</v>
      </c>
      <c r="H3330" s="376">
        <v>0.27495320918862265</v>
      </c>
      <c r="I3330" s="376">
        <v>0.85</v>
      </c>
    </row>
    <row r="3331" spans="1:9" x14ac:dyDescent="0.35">
      <c r="A3331" s="376" t="s">
        <v>1613</v>
      </c>
      <c r="B3331" s="376" t="s">
        <v>1609</v>
      </c>
      <c r="C3331" s="376" t="s">
        <v>1051</v>
      </c>
      <c r="D3331" s="376">
        <v>2028</v>
      </c>
      <c r="E3331" s="376">
        <v>2029</v>
      </c>
      <c r="F3331" s="376">
        <v>0.40444272241720852</v>
      </c>
      <c r="G3331" s="376">
        <v>8848.5269568257354</v>
      </c>
      <c r="H3331" s="376">
        <v>0.27495320918862265</v>
      </c>
      <c r="I3331" s="376">
        <v>0.85</v>
      </c>
    </row>
    <row r="3332" spans="1:9" x14ac:dyDescent="0.35">
      <c r="A3332" s="376" t="s">
        <v>1613</v>
      </c>
      <c r="B3332" s="376" t="s">
        <v>1609</v>
      </c>
      <c r="C3332" s="376" t="s">
        <v>1054</v>
      </c>
      <c r="D3332" s="376">
        <v>2028</v>
      </c>
      <c r="E3332" s="376">
        <v>2029</v>
      </c>
      <c r="F3332" s="376">
        <v>0.40444272241720852</v>
      </c>
      <c r="G3332" s="376">
        <v>8848.5269568257354</v>
      </c>
      <c r="H3332" s="376">
        <v>0.27495320918862265</v>
      </c>
      <c r="I3332" s="376">
        <v>0.85</v>
      </c>
    </row>
    <row r="3333" spans="1:9" x14ac:dyDescent="0.35">
      <c r="A3333" s="376" t="s">
        <v>1613</v>
      </c>
      <c r="B3333" s="376" t="s">
        <v>1609</v>
      </c>
      <c r="C3333" s="376" t="s">
        <v>1046</v>
      </c>
      <c r="D3333" s="376">
        <v>2028</v>
      </c>
      <c r="E3333" s="376">
        <v>2030</v>
      </c>
      <c r="F3333" s="376">
        <v>0.40444272241720852</v>
      </c>
      <c r="G3333" s="376">
        <v>8848.5269568257354</v>
      </c>
      <c r="H3333" s="376">
        <v>0.27495320918862265</v>
      </c>
      <c r="I3333" s="376">
        <v>0.85</v>
      </c>
    </row>
    <row r="3334" spans="1:9" x14ac:dyDescent="0.35">
      <c r="A3334" s="376" t="s">
        <v>1613</v>
      </c>
      <c r="B3334" s="376" t="s">
        <v>1609</v>
      </c>
      <c r="C3334" s="376" t="s">
        <v>644</v>
      </c>
      <c r="D3334" s="376">
        <v>2028</v>
      </c>
      <c r="E3334" s="376">
        <v>2030</v>
      </c>
      <c r="F3334" s="376">
        <v>0.40444272241720852</v>
      </c>
      <c r="G3334" s="376">
        <v>8848.5269568257354</v>
      </c>
      <c r="H3334" s="376">
        <v>0.27495320918862265</v>
      </c>
      <c r="I3334" s="376">
        <v>0.85</v>
      </c>
    </row>
    <row r="3335" spans="1:9" x14ac:dyDescent="0.35">
      <c r="A3335" s="376" t="s">
        <v>1613</v>
      </c>
      <c r="B3335" s="376" t="s">
        <v>1609</v>
      </c>
      <c r="C3335" s="376" t="s">
        <v>628</v>
      </c>
      <c r="D3335" s="376">
        <v>2028</v>
      </c>
      <c r="E3335" s="376">
        <v>2030</v>
      </c>
      <c r="F3335" s="376">
        <v>0.40444272241720852</v>
      </c>
      <c r="G3335" s="376">
        <v>8848.5269568257354</v>
      </c>
      <c r="H3335" s="376">
        <v>0.27495320918862265</v>
      </c>
      <c r="I3335" s="376">
        <v>0.85</v>
      </c>
    </row>
    <row r="3336" spans="1:9" x14ac:dyDescent="0.35">
      <c r="A3336" s="376" t="s">
        <v>1613</v>
      </c>
      <c r="B3336" s="376" t="s">
        <v>1609</v>
      </c>
      <c r="C3336" s="376" t="s">
        <v>1051</v>
      </c>
      <c r="D3336" s="376">
        <v>2028</v>
      </c>
      <c r="E3336" s="376">
        <v>2030</v>
      </c>
      <c r="F3336" s="376">
        <v>0.40444272241720852</v>
      </c>
      <c r="G3336" s="376">
        <v>8848.5269568257354</v>
      </c>
      <c r="H3336" s="376">
        <v>0.27495320918862265</v>
      </c>
      <c r="I3336" s="376">
        <v>0.85</v>
      </c>
    </row>
    <row r="3337" spans="1:9" x14ac:dyDescent="0.35">
      <c r="A3337" s="376" t="s">
        <v>1613</v>
      </c>
      <c r="B3337" s="376" t="s">
        <v>1609</v>
      </c>
      <c r="C3337" s="376" t="s">
        <v>1054</v>
      </c>
      <c r="D3337" s="376">
        <v>2028</v>
      </c>
      <c r="E3337" s="376">
        <v>2030</v>
      </c>
      <c r="F3337" s="376">
        <v>0.40444272241720852</v>
      </c>
      <c r="G3337" s="376">
        <v>8848.5269568257354</v>
      </c>
      <c r="H3337" s="376">
        <v>0.27495320918862265</v>
      </c>
      <c r="I3337" s="376">
        <v>0.85</v>
      </c>
    </row>
    <row r="3338" spans="1:9" x14ac:dyDescent="0.35">
      <c r="A3338" s="376" t="s">
        <v>1613</v>
      </c>
      <c r="B3338" s="376" t="s">
        <v>1609</v>
      </c>
      <c r="C3338" s="376" t="s">
        <v>1046</v>
      </c>
      <c r="D3338" s="376">
        <v>2028</v>
      </c>
      <c r="E3338" s="376">
        <v>2031</v>
      </c>
      <c r="F3338" s="376">
        <v>0.40444272241720852</v>
      </c>
      <c r="G3338" s="376">
        <v>8848.5269568257354</v>
      </c>
      <c r="H3338" s="376">
        <v>0.27495320918862265</v>
      </c>
      <c r="I3338" s="376">
        <v>0.85</v>
      </c>
    </row>
    <row r="3339" spans="1:9" x14ac:dyDescent="0.35">
      <c r="A3339" s="376" t="s">
        <v>1613</v>
      </c>
      <c r="B3339" s="376" t="s">
        <v>1609</v>
      </c>
      <c r="C3339" s="376" t="s">
        <v>644</v>
      </c>
      <c r="D3339" s="376">
        <v>2028</v>
      </c>
      <c r="E3339" s="376">
        <v>2031</v>
      </c>
      <c r="F3339" s="376">
        <v>0.40444272241720852</v>
      </c>
      <c r="G3339" s="376">
        <v>8848.5269568257354</v>
      </c>
      <c r="H3339" s="376">
        <v>0.27495320918862265</v>
      </c>
      <c r="I3339" s="376">
        <v>0.85</v>
      </c>
    </row>
    <row r="3340" spans="1:9" x14ac:dyDescent="0.35">
      <c r="A3340" s="376" t="s">
        <v>1613</v>
      </c>
      <c r="B3340" s="376" t="s">
        <v>1609</v>
      </c>
      <c r="C3340" s="376" t="s">
        <v>628</v>
      </c>
      <c r="D3340" s="376">
        <v>2028</v>
      </c>
      <c r="E3340" s="376">
        <v>2031</v>
      </c>
      <c r="F3340" s="376">
        <v>0.40444272241720852</v>
      </c>
      <c r="G3340" s="376">
        <v>8848.5269568257354</v>
      </c>
      <c r="H3340" s="376">
        <v>0.27495320918862265</v>
      </c>
      <c r="I3340" s="376">
        <v>0.85</v>
      </c>
    </row>
    <row r="3341" spans="1:9" x14ac:dyDescent="0.35">
      <c r="A3341" s="376" t="s">
        <v>1613</v>
      </c>
      <c r="B3341" s="376" t="s">
        <v>1609</v>
      </c>
      <c r="C3341" s="376" t="s">
        <v>1051</v>
      </c>
      <c r="D3341" s="376">
        <v>2028</v>
      </c>
      <c r="E3341" s="376">
        <v>2031</v>
      </c>
      <c r="F3341" s="376">
        <v>0.40444272241720852</v>
      </c>
      <c r="G3341" s="376">
        <v>8848.5269568257354</v>
      </c>
      <c r="H3341" s="376">
        <v>0.27495320918862265</v>
      </c>
      <c r="I3341" s="376">
        <v>0.85</v>
      </c>
    </row>
    <row r="3342" spans="1:9" x14ac:dyDescent="0.35">
      <c r="A3342" s="376" t="s">
        <v>1613</v>
      </c>
      <c r="B3342" s="376" t="s">
        <v>1609</v>
      </c>
      <c r="C3342" s="376" t="s">
        <v>1054</v>
      </c>
      <c r="D3342" s="376">
        <v>2028</v>
      </c>
      <c r="E3342" s="376">
        <v>2031</v>
      </c>
      <c r="F3342" s="376">
        <v>0.40444272241720852</v>
      </c>
      <c r="G3342" s="376">
        <v>8848.5269568257354</v>
      </c>
      <c r="H3342" s="376">
        <v>0.27495320918862265</v>
      </c>
      <c r="I3342" s="376">
        <v>0.85</v>
      </c>
    </row>
    <row r="3343" spans="1:9" x14ac:dyDescent="0.35">
      <c r="A3343" s="376" t="s">
        <v>1614</v>
      </c>
      <c r="B3343" s="376" t="s">
        <v>1609</v>
      </c>
      <c r="C3343" s="376" t="s">
        <v>1046</v>
      </c>
      <c r="D3343" s="376">
        <v>2028</v>
      </c>
      <c r="E3343" s="376">
        <v>2028</v>
      </c>
      <c r="F3343" s="376">
        <v>0.28070162831646173</v>
      </c>
      <c r="G3343" s="376">
        <v>6454.3984013550207</v>
      </c>
      <c r="H3343" s="376">
        <v>0.27495320918862265</v>
      </c>
      <c r="I3343" s="376">
        <v>0.85</v>
      </c>
    </row>
    <row r="3344" spans="1:9" x14ac:dyDescent="0.35">
      <c r="A3344" s="376" t="s">
        <v>1614</v>
      </c>
      <c r="B3344" s="376" t="s">
        <v>1609</v>
      </c>
      <c r="C3344" s="376" t="s">
        <v>644</v>
      </c>
      <c r="D3344" s="376">
        <v>2028</v>
      </c>
      <c r="E3344" s="376">
        <v>2028</v>
      </c>
      <c r="F3344" s="376">
        <v>0.28070162831646173</v>
      </c>
      <c r="G3344" s="376">
        <v>6454.3984013550207</v>
      </c>
      <c r="H3344" s="376">
        <v>0.27495320918862265</v>
      </c>
      <c r="I3344" s="376">
        <v>0.85</v>
      </c>
    </row>
    <row r="3345" spans="1:9" x14ac:dyDescent="0.35">
      <c r="A3345" s="376" t="s">
        <v>1614</v>
      </c>
      <c r="B3345" s="376" t="s">
        <v>1609</v>
      </c>
      <c r="C3345" s="376" t="s">
        <v>628</v>
      </c>
      <c r="D3345" s="376">
        <v>2028</v>
      </c>
      <c r="E3345" s="376">
        <v>2028</v>
      </c>
      <c r="F3345" s="376">
        <v>0.28070162831646173</v>
      </c>
      <c r="G3345" s="376">
        <v>6454.3984013550207</v>
      </c>
      <c r="H3345" s="376">
        <v>0.27495320918862265</v>
      </c>
      <c r="I3345" s="376">
        <v>0.85</v>
      </c>
    </row>
    <row r="3346" spans="1:9" x14ac:dyDescent="0.35">
      <c r="A3346" s="376" t="s">
        <v>1614</v>
      </c>
      <c r="B3346" s="376" t="s">
        <v>1609</v>
      </c>
      <c r="C3346" s="376" t="s">
        <v>1051</v>
      </c>
      <c r="D3346" s="376">
        <v>2028</v>
      </c>
      <c r="E3346" s="376">
        <v>2028</v>
      </c>
      <c r="F3346" s="376">
        <v>0.28070162831646173</v>
      </c>
      <c r="G3346" s="376">
        <v>6454.3984013550207</v>
      </c>
      <c r="H3346" s="376">
        <v>0.27495320918862265</v>
      </c>
      <c r="I3346" s="376">
        <v>0.85</v>
      </c>
    </row>
    <row r="3347" spans="1:9" x14ac:dyDescent="0.35">
      <c r="A3347" s="376" t="s">
        <v>1614</v>
      </c>
      <c r="B3347" s="376" t="s">
        <v>1609</v>
      </c>
      <c r="C3347" s="376" t="s">
        <v>1054</v>
      </c>
      <c r="D3347" s="376">
        <v>2028</v>
      </c>
      <c r="E3347" s="376">
        <v>2028</v>
      </c>
      <c r="F3347" s="376">
        <v>0.28070162831646173</v>
      </c>
      <c r="G3347" s="376">
        <v>6454.3984013550207</v>
      </c>
      <c r="H3347" s="376">
        <v>0.27495320918862265</v>
      </c>
      <c r="I3347" s="376">
        <v>0.85</v>
      </c>
    </row>
    <row r="3348" spans="1:9" x14ac:dyDescent="0.35">
      <c r="A3348" s="376" t="s">
        <v>1614</v>
      </c>
      <c r="B3348" s="376" t="s">
        <v>1609</v>
      </c>
      <c r="C3348" s="376" t="s">
        <v>1046</v>
      </c>
      <c r="D3348" s="376">
        <v>2028</v>
      </c>
      <c r="E3348" s="376">
        <v>2029</v>
      </c>
      <c r="F3348" s="376">
        <v>0.28070162831646173</v>
      </c>
      <c r="G3348" s="376">
        <v>6454.3984013550207</v>
      </c>
      <c r="H3348" s="376">
        <v>0.27495320918862265</v>
      </c>
      <c r="I3348" s="376">
        <v>0.85</v>
      </c>
    </row>
    <row r="3349" spans="1:9" x14ac:dyDescent="0.35">
      <c r="A3349" s="376" t="s">
        <v>1614</v>
      </c>
      <c r="B3349" s="376" t="s">
        <v>1609</v>
      </c>
      <c r="C3349" s="376" t="s">
        <v>644</v>
      </c>
      <c r="D3349" s="376">
        <v>2028</v>
      </c>
      <c r="E3349" s="376">
        <v>2029</v>
      </c>
      <c r="F3349" s="376">
        <v>0.28070162831646173</v>
      </c>
      <c r="G3349" s="376">
        <v>6454.3984013550207</v>
      </c>
      <c r="H3349" s="376">
        <v>0.27495320918862265</v>
      </c>
      <c r="I3349" s="376">
        <v>0.85</v>
      </c>
    </row>
    <row r="3350" spans="1:9" x14ac:dyDescent="0.35">
      <c r="A3350" s="376" t="s">
        <v>1614</v>
      </c>
      <c r="B3350" s="376" t="s">
        <v>1609</v>
      </c>
      <c r="C3350" s="376" t="s">
        <v>628</v>
      </c>
      <c r="D3350" s="376">
        <v>2028</v>
      </c>
      <c r="E3350" s="376">
        <v>2029</v>
      </c>
      <c r="F3350" s="376">
        <v>0.28070162831646173</v>
      </c>
      <c r="G3350" s="376">
        <v>6454.3984013550207</v>
      </c>
      <c r="H3350" s="376">
        <v>0.27495320918862265</v>
      </c>
      <c r="I3350" s="376">
        <v>0.85</v>
      </c>
    </row>
    <row r="3351" spans="1:9" x14ac:dyDescent="0.35">
      <c r="A3351" s="376" t="s">
        <v>1614</v>
      </c>
      <c r="B3351" s="376" t="s">
        <v>1609</v>
      </c>
      <c r="C3351" s="376" t="s">
        <v>1051</v>
      </c>
      <c r="D3351" s="376">
        <v>2028</v>
      </c>
      <c r="E3351" s="376">
        <v>2029</v>
      </c>
      <c r="F3351" s="376">
        <v>0.28070162831646173</v>
      </c>
      <c r="G3351" s="376">
        <v>6454.3984013550207</v>
      </c>
      <c r="H3351" s="376">
        <v>0.27495320918862265</v>
      </c>
      <c r="I3351" s="376">
        <v>0.85</v>
      </c>
    </row>
    <row r="3352" spans="1:9" x14ac:dyDescent="0.35">
      <c r="A3352" s="376" t="s">
        <v>1614</v>
      </c>
      <c r="B3352" s="376" t="s">
        <v>1609</v>
      </c>
      <c r="C3352" s="376" t="s">
        <v>1054</v>
      </c>
      <c r="D3352" s="376">
        <v>2028</v>
      </c>
      <c r="E3352" s="376">
        <v>2029</v>
      </c>
      <c r="F3352" s="376">
        <v>0.28070162831646173</v>
      </c>
      <c r="G3352" s="376">
        <v>6454.3984013550207</v>
      </c>
      <c r="H3352" s="376">
        <v>0.27495320918862265</v>
      </c>
      <c r="I3352" s="376">
        <v>0.85</v>
      </c>
    </row>
    <row r="3353" spans="1:9" x14ac:dyDescent="0.35">
      <c r="A3353" s="376" t="s">
        <v>1614</v>
      </c>
      <c r="B3353" s="376" t="s">
        <v>1609</v>
      </c>
      <c r="C3353" s="376" t="s">
        <v>1046</v>
      </c>
      <c r="D3353" s="376">
        <v>2028</v>
      </c>
      <c r="E3353" s="376">
        <v>2030</v>
      </c>
      <c r="F3353" s="376">
        <v>0.28070162831646173</v>
      </c>
      <c r="G3353" s="376">
        <v>6454.3984013550207</v>
      </c>
      <c r="H3353" s="376">
        <v>0.27495320918862265</v>
      </c>
      <c r="I3353" s="376">
        <v>0.85</v>
      </c>
    </row>
    <row r="3354" spans="1:9" x14ac:dyDescent="0.35">
      <c r="A3354" s="376" t="s">
        <v>1614</v>
      </c>
      <c r="B3354" s="376" t="s">
        <v>1609</v>
      </c>
      <c r="C3354" s="376" t="s">
        <v>644</v>
      </c>
      <c r="D3354" s="376">
        <v>2028</v>
      </c>
      <c r="E3354" s="376">
        <v>2030</v>
      </c>
      <c r="F3354" s="376">
        <v>0.28070162831646173</v>
      </c>
      <c r="G3354" s="376">
        <v>6454.3984013550207</v>
      </c>
      <c r="H3354" s="376">
        <v>0.27495320918862265</v>
      </c>
      <c r="I3354" s="376">
        <v>0.85</v>
      </c>
    </row>
    <row r="3355" spans="1:9" x14ac:dyDescent="0.35">
      <c r="A3355" s="376" t="s">
        <v>1614</v>
      </c>
      <c r="B3355" s="376" t="s">
        <v>1609</v>
      </c>
      <c r="C3355" s="376" t="s">
        <v>628</v>
      </c>
      <c r="D3355" s="376">
        <v>2028</v>
      </c>
      <c r="E3355" s="376">
        <v>2030</v>
      </c>
      <c r="F3355" s="376">
        <v>0.28070162831646173</v>
      </c>
      <c r="G3355" s="376">
        <v>6454.3984013550207</v>
      </c>
      <c r="H3355" s="376">
        <v>0.27495320918862265</v>
      </c>
      <c r="I3355" s="376">
        <v>0.85</v>
      </c>
    </row>
    <row r="3356" spans="1:9" x14ac:dyDescent="0.35">
      <c r="A3356" s="376" t="s">
        <v>1614</v>
      </c>
      <c r="B3356" s="376" t="s">
        <v>1609</v>
      </c>
      <c r="C3356" s="376" t="s">
        <v>1051</v>
      </c>
      <c r="D3356" s="376">
        <v>2028</v>
      </c>
      <c r="E3356" s="376">
        <v>2030</v>
      </c>
      <c r="F3356" s="376">
        <v>0.28070162831646173</v>
      </c>
      <c r="G3356" s="376">
        <v>6454.3984013550207</v>
      </c>
      <c r="H3356" s="376">
        <v>0.27495320918862265</v>
      </c>
      <c r="I3356" s="376">
        <v>0.85</v>
      </c>
    </row>
    <row r="3357" spans="1:9" x14ac:dyDescent="0.35">
      <c r="A3357" s="376" t="s">
        <v>1614</v>
      </c>
      <c r="B3357" s="376" t="s">
        <v>1609</v>
      </c>
      <c r="C3357" s="376" t="s">
        <v>1054</v>
      </c>
      <c r="D3357" s="376">
        <v>2028</v>
      </c>
      <c r="E3357" s="376">
        <v>2030</v>
      </c>
      <c r="F3357" s="376">
        <v>0.28070162831646173</v>
      </c>
      <c r="G3357" s="376">
        <v>6454.3984013550207</v>
      </c>
      <c r="H3357" s="376">
        <v>0.27495320918862265</v>
      </c>
      <c r="I3357" s="376">
        <v>0.85</v>
      </c>
    </row>
    <row r="3358" spans="1:9" x14ac:dyDescent="0.35">
      <c r="A3358" s="376" t="s">
        <v>1614</v>
      </c>
      <c r="B3358" s="376" t="s">
        <v>1609</v>
      </c>
      <c r="C3358" s="376" t="s">
        <v>1046</v>
      </c>
      <c r="D3358" s="376">
        <v>2028</v>
      </c>
      <c r="E3358" s="376">
        <v>2031</v>
      </c>
      <c r="F3358" s="376">
        <v>0.28070162831646173</v>
      </c>
      <c r="G3358" s="376">
        <v>6454.3984013550207</v>
      </c>
      <c r="H3358" s="376">
        <v>0.27495320918862265</v>
      </c>
      <c r="I3358" s="376">
        <v>0.85</v>
      </c>
    </row>
    <row r="3359" spans="1:9" x14ac:dyDescent="0.35">
      <c r="A3359" s="376" t="s">
        <v>1614</v>
      </c>
      <c r="B3359" s="376" t="s">
        <v>1609</v>
      </c>
      <c r="C3359" s="376" t="s">
        <v>644</v>
      </c>
      <c r="D3359" s="376">
        <v>2028</v>
      </c>
      <c r="E3359" s="376">
        <v>2031</v>
      </c>
      <c r="F3359" s="376">
        <v>0.28070162831646173</v>
      </c>
      <c r="G3359" s="376">
        <v>6454.3984013550207</v>
      </c>
      <c r="H3359" s="376">
        <v>0.27495320918862265</v>
      </c>
      <c r="I3359" s="376">
        <v>0.85</v>
      </c>
    </row>
    <row r="3360" spans="1:9" x14ac:dyDescent="0.35">
      <c r="A3360" s="376" t="s">
        <v>1614</v>
      </c>
      <c r="B3360" s="376" t="s">
        <v>1609</v>
      </c>
      <c r="C3360" s="376" t="s">
        <v>628</v>
      </c>
      <c r="D3360" s="376">
        <v>2028</v>
      </c>
      <c r="E3360" s="376">
        <v>2031</v>
      </c>
      <c r="F3360" s="376">
        <v>0.28070162831646173</v>
      </c>
      <c r="G3360" s="376">
        <v>6454.3984013550207</v>
      </c>
      <c r="H3360" s="376">
        <v>0.27495320918862265</v>
      </c>
      <c r="I3360" s="376">
        <v>0.85</v>
      </c>
    </row>
    <row r="3361" spans="1:9" x14ac:dyDescent="0.35">
      <c r="A3361" s="376" t="s">
        <v>1614</v>
      </c>
      <c r="B3361" s="376" t="s">
        <v>1609</v>
      </c>
      <c r="C3361" s="376" t="s">
        <v>1051</v>
      </c>
      <c r="D3361" s="376">
        <v>2028</v>
      </c>
      <c r="E3361" s="376">
        <v>2031</v>
      </c>
      <c r="F3361" s="376">
        <v>0.28070162831646173</v>
      </c>
      <c r="G3361" s="376">
        <v>6454.3984013550207</v>
      </c>
      <c r="H3361" s="376">
        <v>0.27495320918862265</v>
      </c>
      <c r="I3361" s="376">
        <v>0.85</v>
      </c>
    </row>
    <row r="3362" spans="1:9" x14ac:dyDescent="0.35">
      <c r="A3362" s="376" t="s">
        <v>1614</v>
      </c>
      <c r="B3362" s="376" t="s">
        <v>1609</v>
      </c>
      <c r="C3362" s="376" t="s">
        <v>1054</v>
      </c>
      <c r="D3362" s="376">
        <v>2028</v>
      </c>
      <c r="E3362" s="376">
        <v>2031</v>
      </c>
      <c r="F3362" s="376">
        <v>0.28070162831646173</v>
      </c>
      <c r="G3362" s="376">
        <v>6454.3984013550207</v>
      </c>
      <c r="H3362" s="376">
        <v>0.27495320918862265</v>
      </c>
      <c r="I3362" s="376">
        <v>0.85</v>
      </c>
    </row>
    <row r="3363" spans="1:9" x14ac:dyDescent="0.35">
      <c r="A3363" s="376" t="s">
        <v>1604</v>
      </c>
      <c r="B3363" s="376" t="s">
        <v>1609</v>
      </c>
      <c r="C3363" s="376" t="s">
        <v>1046</v>
      </c>
      <c r="D3363" s="376">
        <v>2028</v>
      </c>
      <c r="E3363" s="376">
        <v>2028</v>
      </c>
      <c r="F3363" s="376">
        <v>1</v>
      </c>
      <c r="G3363" s="376">
        <v>10872.741503138899</v>
      </c>
      <c r="H3363" s="376">
        <v>0</v>
      </c>
      <c r="I3363" s="376">
        <v>1</v>
      </c>
    </row>
    <row r="3364" spans="1:9" x14ac:dyDescent="0.35">
      <c r="A3364" s="376" t="s">
        <v>1604</v>
      </c>
      <c r="B3364" s="376" t="s">
        <v>1609</v>
      </c>
      <c r="C3364" s="376" t="s">
        <v>644</v>
      </c>
      <c r="D3364" s="376">
        <v>2028</v>
      </c>
      <c r="E3364" s="376">
        <v>2028</v>
      </c>
      <c r="F3364" s="376">
        <v>1</v>
      </c>
      <c r="G3364" s="376">
        <v>10872.741503138899</v>
      </c>
      <c r="H3364" s="376">
        <v>0</v>
      </c>
      <c r="I3364" s="376">
        <v>1</v>
      </c>
    </row>
    <row r="3365" spans="1:9" x14ac:dyDescent="0.35">
      <c r="A3365" s="376" t="s">
        <v>1604</v>
      </c>
      <c r="B3365" s="376" t="s">
        <v>1609</v>
      </c>
      <c r="C3365" s="376" t="s">
        <v>628</v>
      </c>
      <c r="D3365" s="376">
        <v>2028</v>
      </c>
      <c r="E3365" s="376">
        <v>2028</v>
      </c>
      <c r="F3365" s="376">
        <v>1</v>
      </c>
      <c r="G3365" s="376">
        <v>10872.741503138899</v>
      </c>
      <c r="H3365" s="376">
        <v>0</v>
      </c>
      <c r="I3365" s="376">
        <v>1</v>
      </c>
    </row>
    <row r="3366" spans="1:9" x14ac:dyDescent="0.35">
      <c r="A3366" s="376" t="s">
        <v>1604</v>
      </c>
      <c r="B3366" s="376" t="s">
        <v>1609</v>
      </c>
      <c r="C3366" s="376" t="s">
        <v>1051</v>
      </c>
      <c r="D3366" s="376">
        <v>2028</v>
      </c>
      <c r="E3366" s="376">
        <v>2028</v>
      </c>
      <c r="F3366" s="376">
        <v>1</v>
      </c>
      <c r="G3366" s="376">
        <v>10872.741503138899</v>
      </c>
      <c r="H3366" s="376">
        <v>0</v>
      </c>
      <c r="I3366" s="376">
        <v>1</v>
      </c>
    </row>
    <row r="3367" spans="1:9" x14ac:dyDescent="0.35">
      <c r="A3367" s="376" t="s">
        <v>1604</v>
      </c>
      <c r="B3367" s="376" t="s">
        <v>1609</v>
      </c>
      <c r="C3367" s="376" t="s">
        <v>1054</v>
      </c>
      <c r="D3367" s="376">
        <v>2028</v>
      </c>
      <c r="E3367" s="376">
        <v>2028</v>
      </c>
      <c r="F3367" s="376">
        <v>1</v>
      </c>
      <c r="G3367" s="376">
        <v>10872.741503138899</v>
      </c>
      <c r="H3367" s="376">
        <v>0</v>
      </c>
      <c r="I3367" s="376">
        <v>1</v>
      </c>
    </row>
    <row r="3368" spans="1:9" x14ac:dyDescent="0.35">
      <c r="A3368" s="376" t="s">
        <v>1604</v>
      </c>
      <c r="B3368" s="376" t="s">
        <v>1609</v>
      </c>
      <c r="C3368" s="376" t="s">
        <v>1046</v>
      </c>
      <c r="D3368" s="376">
        <v>2028</v>
      </c>
      <c r="E3368" s="376">
        <v>2029</v>
      </c>
      <c r="F3368" s="376">
        <v>1</v>
      </c>
      <c r="G3368" s="376">
        <v>10872.741503138899</v>
      </c>
      <c r="H3368" s="376">
        <v>0</v>
      </c>
      <c r="I3368" s="376">
        <v>1</v>
      </c>
    </row>
    <row r="3369" spans="1:9" x14ac:dyDescent="0.35">
      <c r="A3369" s="376" t="s">
        <v>1604</v>
      </c>
      <c r="B3369" s="376" t="s">
        <v>1609</v>
      </c>
      <c r="C3369" s="376" t="s">
        <v>644</v>
      </c>
      <c r="D3369" s="376">
        <v>2028</v>
      </c>
      <c r="E3369" s="376">
        <v>2029</v>
      </c>
      <c r="F3369" s="376">
        <v>1</v>
      </c>
      <c r="G3369" s="376">
        <v>10872.741503138899</v>
      </c>
      <c r="H3369" s="376">
        <v>0</v>
      </c>
      <c r="I3369" s="376">
        <v>1</v>
      </c>
    </row>
    <row r="3370" spans="1:9" x14ac:dyDescent="0.35">
      <c r="A3370" s="376" t="s">
        <v>1604</v>
      </c>
      <c r="B3370" s="376" t="s">
        <v>1609</v>
      </c>
      <c r="C3370" s="376" t="s">
        <v>628</v>
      </c>
      <c r="D3370" s="376">
        <v>2028</v>
      </c>
      <c r="E3370" s="376">
        <v>2029</v>
      </c>
      <c r="F3370" s="376">
        <v>1</v>
      </c>
      <c r="G3370" s="376">
        <v>10872.741503138899</v>
      </c>
      <c r="H3370" s="376">
        <v>0</v>
      </c>
      <c r="I3370" s="376">
        <v>1</v>
      </c>
    </row>
    <row r="3371" spans="1:9" x14ac:dyDescent="0.35">
      <c r="A3371" s="376" t="s">
        <v>1604</v>
      </c>
      <c r="B3371" s="376" t="s">
        <v>1609</v>
      </c>
      <c r="C3371" s="376" t="s">
        <v>1051</v>
      </c>
      <c r="D3371" s="376">
        <v>2028</v>
      </c>
      <c r="E3371" s="376">
        <v>2029</v>
      </c>
      <c r="F3371" s="376">
        <v>1</v>
      </c>
      <c r="G3371" s="376">
        <v>10872.741503138899</v>
      </c>
      <c r="H3371" s="376">
        <v>0</v>
      </c>
      <c r="I3371" s="376">
        <v>1</v>
      </c>
    </row>
    <row r="3372" spans="1:9" x14ac:dyDescent="0.35">
      <c r="A3372" s="376" t="s">
        <v>1604</v>
      </c>
      <c r="B3372" s="376" t="s">
        <v>1609</v>
      </c>
      <c r="C3372" s="376" t="s">
        <v>1054</v>
      </c>
      <c r="D3372" s="376">
        <v>2028</v>
      </c>
      <c r="E3372" s="376">
        <v>2029</v>
      </c>
      <c r="F3372" s="376">
        <v>1</v>
      </c>
      <c r="G3372" s="376">
        <v>10872.741503138899</v>
      </c>
      <c r="H3372" s="376">
        <v>0</v>
      </c>
      <c r="I3372" s="376">
        <v>1</v>
      </c>
    </row>
    <row r="3373" spans="1:9" x14ac:dyDescent="0.35">
      <c r="A3373" s="376" t="s">
        <v>1604</v>
      </c>
      <c r="B3373" s="376" t="s">
        <v>1609</v>
      </c>
      <c r="C3373" s="376" t="s">
        <v>1046</v>
      </c>
      <c r="D3373" s="376">
        <v>2028</v>
      </c>
      <c r="E3373" s="376">
        <v>2030</v>
      </c>
      <c r="F3373" s="376">
        <v>1</v>
      </c>
      <c r="G3373" s="376">
        <v>10872.741503138899</v>
      </c>
      <c r="H3373" s="376">
        <v>0</v>
      </c>
      <c r="I3373" s="376">
        <v>1</v>
      </c>
    </row>
    <row r="3374" spans="1:9" x14ac:dyDescent="0.35">
      <c r="A3374" s="376" t="s">
        <v>1604</v>
      </c>
      <c r="B3374" s="376" t="s">
        <v>1609</v>
      </c>
      <c r="C3374" s="376" t="s">
        <v>644</v>
      </c>
      <c r="D3374" s="376">
        <v>2028</v>
      </c>
      <c r="E3374" s="376">
        <v>2030</v>
      </c>
      <c r="F3374" s="376">
        <v>1</v>
      </c>
      <c r="G3374" s="376">
        <v>10872.741503138899</v>
      </c>
      <c r="H3374" s="376">
        <v>0</v>
      </c>
      <c r="I3374" s="376">
        <v>1</v>
      </c>
    </row>
    <row r="3375" spans="1:9" x14ac:dyDescent="0.35">
      <c r="A3375" s="376" t="s">
        <v>1604</v>
      </c>
      <c r="B3375" s="376" t="s">
        <v>1609</v>
      </c>
      <c r="C3375" s="376" t="s">
        <v>628</v>
      </c>
      <c r="D3375" s="376">
        <v>2028</v>
      </c>
      <c r="E3375" s="376">
        <v>2030</v>
      </c>
      <c r="F3375" s="376">
        <v>1</v>
      </c>
      <c r="G3375" s="376">
        <v>10872.741503138899</v>
      </c>
      <c r="H3375" s="376">
        <v>0</v>
      </c>
      <c r="I3375" s="376">
        <v>1</v>
      </c>
    </row>
    <row r="3376" spans="1:9" x14ac:dyDescent="0.35">
      <c r="A3376" s="376" t="s">
        <v>1604</v>
      </c>
      <c r="B3376" s="376" t="s">
        <v>1609</v>
      </c>
      <c r="C3376" s="376" t="s">
        <v>1051</v>
      </c>
      <c r="D3376" s="376">
        <v>2028</v>
      </c>
      <c r="E3376" s="376">
        <v>2030</v>
      </c>
      <c r="F3376" s="376">
        <v>1</v>
      </c>
      <c r="G3376" s="376">
        <v>10872.741503138899</v>
      </c>
      <c r="H3376" s="376">
        <v>0</v>
      </c>
      <c r="I3376" s="376">
        <v>1</v>
      </c>
    </row>
    <row r="3377" spans="1:9" x14ac:dyDescent="0.35">
      <c r="A3377" s="376" t="s">
        <v>1604</v>
      </c>
      <c r="B3377" s="376" t="s">
        <v>1609</v>
      </c>
      <c r="C3377" s="376" t="s">
        <v>1054</v>
      </c>
      <c r="D3377" s="376">
        <v>2028</v>
      </c>
      <c r="E3377" s="376">
        <v>2030</v>
      </c>
      <c r="F3377" s="376">
        <v>1</v>
      </c>
      <c r="G3377" s="376">
        <v>10872.741503138899</v>
      </c>
      <c r="H3377" s="376">
        <v>0</v>
      </c>
      <c r="I3377" s="376">
        <v>1</v>
      </c>
    </row>
    <row r="3378" spans="1:9" x14ac:dyDescent="0.35">
      <c r="A3378" s="376" t="s">
        <v>1604</v>
      </c>
      <c r="B3378" s="376" t="s">
        <v>1609</v>
      </c>
      <c r="C3378" s="376" t="s">
        <v>1046</v>
      </c>
      <c r="D3378" s="376">
        <v>2028</v>
      </c>
      <c r="E3378" s="376">
        <v>2031</v>
      </c>
      <c r="F3378" s="376">
        <v>1</v>
      </c>
      <c r="G3378" s="376">
        <v>10872.741503138899</v>
      </c>
      <c r="H3378" s="376">
        <v>0</v>
      </c>
      <c r="I3378" s="376">
        <v>1</v>
      </c>
    </row>
    <row r="3379" spans="1:9" x14ac:dyDescent="0.35">
      <c r="A3379" s="376" t="s">
        <v>1604</v>
      </c>
      <c r="B3379" s="376" t="s">
        <v>1609</v>
      </c>
      <c r="C3379" s="376" t="s">
        <v>644</v>
      </c>
      <c r="D3379" s="376">
        <v>2028</v>
      </c>
      <c r="E3379" s="376">
        <v>2031</v>
      </c>
      <c r="F3379" s="376">
        <v>1</v>
      </c>
      <c r="G3379" s="376">
        <v>10872.741503138899</v>
      </c>
      <c r="H3379" s="376">
        <v>0</v>
      </c>
      <c r="I3379" s="376">
        <v>1</v>
      </c>
    </row>
    <row r="3380" spans="1:9" x14ac:dyDescent="0.35">
      <c r="A3380" s="376" t="s">
        <v>1604</v>
      </c>
      <c r="B3380" s="376" t="s">
        <v>1609</v>
      </c>
      <c r="C3380" s="376" t="s">
        <v>628</v>
      </c>
      <c r="D3380" s="376">
        <v>2028</v>
      </c>
      <c r="E3380" s="376">
        <v>2031</v>
      </c>
      <c r="F3380" s="376">
        <v>1</v>
      </c>
      <c r="G3380" s="376">
        <v>10872.741503138899</v>
      </c>
      <c r="H3380" s="376">
        <v>0</v>
      </c>
      <c r="I3380" s="376">
        <v>1</v>
      </c>
    </row>
    <row r="3381" spans="1:9" x14ac:dyDescent="0.35">
      <c r="A3381" s="376" t="s">
        <v>1604</v>
      </c>
      <c r="B3381" s="376" t="s">
        <v>1609</v>
      </c>
      <c r="C3381" s="376" t="s">
        <v>1051</v>
      </c>
      <c r="D3381" s="376">
        <v>2028</v>
      </c>
      <c r="E3381" s="376">
        <v>2031</v>
      </c>
      <c r="F3381" s="376">
        <v>1</v>
      </c>
      <c r="G3381" s="376">
        <v>10872.741503138899</v>
      </c>
      <c r="H3381" s="376">
        <v>0</v>
      </c>
      <c r="I3381" s="376">
        <v>1</v>
      </c>
    </row>
    <row r="3382" spans="1:9" x14ac:dyDescent="0.35">
      <c r="A3382" s="376" t="s">
        <v>1604</v>
      </c>
      <c r="B3382" s="376" t="s">
        <v>1609</v>
      </c>
      <c r="C3382" s="376" t="s">
        <v>1054</v>
      </c>
      <c r="D3382" s="376">
        <v>2028</v>
      </c>
      <c r="E3382" s="376">
        <v>2031</v>
      </c>
      <c r="F3382" s="376">
        <v>1</v>
      </c>
      <c r="G3382" s="376">
        <v>10872.741503138899</v>
      </c>
      <c r="H3382" s="376">
        <v>0</v>
      </c>
      <c r="I3382" s="376">
        <v>1</v>
      </c>
    </row>
    <row r="3383" spans="1:9" x14ac:dyDescent="0.35">
      <c r="A3383" s="376" t="s">
        <v>1615</v>
      </c>
      <c r="B3383" s="376" t="s">
        <v>1609</v>
      </c>
      <c r="C3383" s="376" t="s">
        <v>1046</v>
      </c>
      <c r="D3383" s="376">
        <v>2028</v>
      </c>
      <c r="E3383" s="376">
        <v>2028</v>
      </c>
      <c r="F3383" s="376">
        <v>1</v>
      </c>
      <c r="G3383" s="376">
        <v>20148.813739673951</v>
      </c>
      <c r="H3383" s="376">
        <v>0</v>
      </c>
      <c r="I3383" s="376">
        <v>0.65716939790195539</v>
      </c>
    </row>
    <row r="3384" spans="1:9" x14ac:dyDescent="0.35">
      <c r="A3384" s="376" t="s">
        <v>1615</v>
      </c>
      <c r="B3384" s="376" t="s">
        <v>1609</v>
      </c>
      <c r="C3384" s="376" t="s">
        <v>644</v>
      </c>
      <c r="D3384" s="376">
        <v>2028</v>
      </c>
      <c r="E3384" s="376">
        <v>2028</v>
      </c>
      <c r="F3384" s="376">
        <v>1</v>
      </c>
      <c r="G3384" s="376">
        <v>20148.813739673951</v>
      </c>
      <c r="H3384" s="376">
        <v>0</v>
      </c>
      <c r="I3384" s="376">
        <v>0.65716939790195539</v>
      </c>
    </row>
    <row r="3385" spans="1:9" x14ac:dyDescent="0.35">
      <c r="A3385" s="376" t="s">
        <v>1615</v>
      </c>
      <c r="B3385" s="376" t="s">
        <v>1609</v>
      </c>
      <c r="C3385" s="376" t="s">
        <v>628</v>
      </c>
      <c r="D3385" s="376">
        <v>2028</v>
      </c>
      <c r="E3385" s="376">
        <v>2028</v>
      </c>
      <c r="F3385" s="376">
        <v>1</v>
      </c>
      <c r="G3385" s="376">
        <v>20148.813739673951</v>
      </c>
      <c r="H3385" s="376">
        <v>0</v>
      </c>
      <c r="I3385" s="376">
        <v>0.65716939790195539</v>
      </c>
    </row>
    <row r="3386" spans="1:9" x14ac:dyDescent="0.35">
      <c r="A3386" s="376" t="s">
        <v>1615</v>
      </c>
      <c r="B3386" s="376" t="s">
        <v>1609</v>
      </c>
      <c r="C3386" s="376" t="s">
        <v>1051</v>
      </c>
      <c r="D3386" s="376">
        <v>2028</v>
      </c>
      <c r="E3386" s="376">
        <v>2028</v>
      </c>
      <c r="F3386" s="376">
        <v>1</v>
      </c>
      <c r="G3386" s="376">
        <v>20148.813739673951</v>
      </c>
      <c r="H3386" s="376">
        <v>0</v>
      </c>
      <c r="I3386" s="376">
        <v>0.65716939790195539</v>
      </c>
    </row>
    <row r="3387" spans="1:9" x14ac:dyDescent="0.35">
      <c r="A3387" s="376" t="s">
        <v>1615</v>
      </c>
      <c r="B3387" s="376" t="s">
        <v>1609</v>
      </c>
      <c r="C3387" s="376" t="s">
        <v>1054</v>
      </c>
      <c r="D3387" s="376">
        <v>2028</v>
      </c>
      <c r="E3387" s="376">
        <v>2028</v>
      </c>
      <c r="F3387" s="376">
        <v>1</v>
      </c>
      <c r="G3387" s="376">
        <v>20148.813739673951</v>
      </c>
      <c r="H3387" s="376">
        <v>0</v>
      </c>
      <c r="I3387" s="376">
        <v>0.65716939790195539</v>
      </c>
    </row>
    <row r="3388" spans="1:9" x14ac:dyDescent="0.35">
      <c r="A3388" s="376" t="s">
        <v>1615</v>
      </c>
      <c r="B3388" s="376" t="s">
        <v>1609</v>
      </c>
      <c r="C3388" s="376" t="s">
        <v>1046</v>
      </c>
      <c r="D3388" s="376">
        <v>2028</v>
      </c>
      <c r="E3388" s="376">
        <v>2029</v>
      </c>
      <c r="F3388" s="376">
        <v>1</v>
      </c>
      <c r="G3388" s="376">
        <v>20148.813739673951</v>
      </c>
      <c r="H3388" s="376">
        <v>0</v>
      </c>
      <c r="I3388" s="376">
        <v>0.65716939790195539</v>
      </c>
    </row>
    <row r="3389" spans="1:9" x14ac:dyDescent="0.35">
      <c r="A3389" s="376" t="s">
        <v>1615</v>
      </c>
      <c r="B3389" s="376" t="s">
        <v>1609</v>
      </c>
      <c r="C3389" s="376" t="s">
        <v>644</v>
      </c>
      <c r="D3389" s="376">
        <v>2028</v>
      </c>
      <c r="E3389" s="376">
        <v>2029</v>
      </c>
      <c r="F3389" s="376">
        <v>1</v>
      </c>
      <c r="G3389" s="376">
        <v>20148.813739673951</v>
      </c>
      <c r="H3389" s="376">
        <v>0</v>
      </c>
      <c r="I3389" s="376">
        <v>0.65716939790195539</v>
      </c>
    </row>
    <row r="3390" spans="1:9" x14ac:dyDescent="0.35">
      <c r="A3390" s="376" t="s">
        <v>1615</v>
      </c>
      <c r="B3390" s="376" t="s">
        <v>1609</v>
      </c>
      <c r="C3390" s="376" t="s">
        <v>628</v>
      </c>
      <c r="D3390" s="376">
        <v>2028</v>
      </c>
      <c r="E3390" s="376">
        <v>2029</v>
      </c>
      <c r="F3390" s="376">
        <v>1</v>
      </c>
      <c r="G3390" s="376">
        <v>20148.813739673951</v>
      </c>
      <c r="H3390" s="376">
        <v>0</v>
      </c>
      <c r="I3390" s="376">
        <v>0.65716939790195539</v>
      </c>
    </row>
    <row r="3391" spans="1:9" x14ac:dyDescent="0.35">
      <c r="A3391" s="376" t="s">
        <v>1615</v>
      </c>
      <c r="B3391" s="376" t="s">
        <v>1609</v>
      </c>
      <c r="C3391" s="376" t="s">
        <v>1051</v>
      </c>
      <c r="D3391" s="376">
        <v>2028</v>
      </c>
      <c r="E3391" s="376">
        <v>2029</v>
      </c>
      <c r="F3391" s="376">
        <v>1</v>
      </c>
      <c r="G3391" s="376">
        <v>20148.813739673951</v>
      </c>
      <c r="H3391" s="376">
        <v>0</v>
      </c>
      <c r="I3391" s="376">
        <v>0.65716939790195539</v>
      </c>
    </row>
    <row r="3392" spans="1:9" x14ac:dyDescent="0.35">
      <c r="A3392" s="376" t="s">
        <v>1615</v>
      </c>
      <c r="B3392" s="376" t="s">
        <v>1609</v>
      </c>
      <c r="C3392" s="376" t="s">
        <v>1054</v>
      </c>
      <c r="D3392" s="376">
        <v>2028</v>
      </c>
      <c r="E3392" s="376">
        <v>2029</v>
      </c>
      <c r="F3392" s="376">
        <v>1</v>
      </c>
      <c r="G3392" s="376">
        <v>20148.813739673951</v>
      </c>
      <c r="H3392" s="376">
        <v>0</v>
      </c>
      <c r="I3392" s="376">
        <v>0.65716939790195539</v>
      </c>
    </row>
    <row r="3393" spans="1:9" x14ac:dyDescent="0.35">
      <c r="A3393" s="376" t="s">
        <v>1615</v>
      </c>
      <c r="B3393" s="376" t="s">
        <v>1609</v>
      </c>
      <c r="C3393" s="376" t="s">
        <v>1046</v>
      </c>
      <c r="D3393" s="376">
        <v>2028</v>
      </c>
      <c r="E3393" s="376">
        <v>2030</v>
      </c>
      <c r="F3393" s="376">
        <v>1</v>
      </c>
      <c r="G3393" s="376">
        <v>20148.813739673951</v>
      </c>
      <c r="H3393" s="376">
        <v>0</v>
      </c>
      <c r="I3393" s="376">
        <v>0.65716939790195539</v>
      </c>
    </row>
    <row r="3394" spans="1:9" x14ac:dyDescent="0.35">
      <c r="A3394" s="376" t="s">
        <v>1615</v>
      </c>
      <c r="B3394" s="376" t="s">
        <v>1609</v>
      </c>
      <c r="C3394" s="376" t="s">
        <v>644</v>
      </c>
      <c r="D3394" s="376">
        <v>2028</v>
      </c>
      <c r="E3394" s="376">
        <v>2030</v>
      </c>
      <c r="F3394" s="376">
        <v>1</v>
      </c>
      <c r="G3394" s="376">
        <v>20148.813739673951</v>
      </c>
      <c r="H3394" s="376">
        <v>0</v>
      </c>
      <c r="I3394" s="376">
        <v>0.65716939790195539</v>
      </c>
    </row>
    <row r="3395" spans="1:9" x14ac:dyDescent="0.35">
      <c r="A3395" s="376" t="s">
        <v>1615</v>
      </c>
      <c r="B3395" s="376" t="s">
        <v>1609</v>
      </c>
      <c r="C3395" s="376" t="s">
        <v>628</v>
      </c>
      <c r="D3395" s="376">
        <v>2028</v>
      </c>
      <c r="E3395" s="376">
        <v>2030</v>
      </c>
      <c r="F3395" s="376">
        <v>1</v>
      </c>
      <c r="G3395" s="376">
        <v>20148.813739673951</v>
      </c>
      <c r="H3395" s="376">
        <v>0</v>
      </c>
      <c r="I3395" s="376">
        <v>0.65716939790195539</v>
      </c>
    </row>
    <row r="3396" spans="1:9" x14ac:dyDescent="0.35">
      <c r="A3396" s="376" t="s">
        <v>1615</v>
      </c>
      <c r="B3396" s="376" t="s">
        <v>1609</v>
      </c>
      <c r="C3396" s="376" t="s">
        <v>1051</v>
      </c>
      <c r="D3396" s="376">
        <v>2028</v>
      </c>
      <c r="E3396" s="376">
        <v>2030</v>
      </c>
      <c r="F3396" s="376">
        <v>1</v>
      </c>
      <c r="G3396" s="376">
        <v>20148.813739673951</v>
      </c>
      <c r="H3396" s="376">
        <v>0</v>
      </c>
      <c r="I3396" s="376">
        <v>0.65716939790195539</v>
      </c>
    </row>
    <row r="3397" spans="1:9" x14ac:dyDescent="0.35">
      <c r="A3397" s="376" t="s">
        <v>1615</v>
      </c>
      <c r="B3397" s="376" t="s">
        <v>1609</v>
      </c>
      <c r="C3397" s="376" t="s">
        <v>1054</v>
      </c>
      <c r="D3397" s="376">
        <v>2028</v>
      </c>
      <c r="E3397" s="376">
        <v>2030</v>
      </c>
      <c r="F3397" s="376">
        <v>1</v>
      </c>
      <c r="G3397" s="376">
        <v>20148.813739673951</v>
      </c>
      <c r="H3397" s="376">
        <v>0</v>
      </c>
      <c r="I3397" s="376">
        <v>0.65716939790195539</v>
      </c>
    </row>
    <row r="3398" spans="1:9" x14ac:dyDescent="0.35">
      <c r="A3398" s="376" t="s">
        <v>1615</v>
      </c>
      <c r="B3398" s="376" t="s">
        <v>1609</v>
      </c>
      <c r="C3398" s="376" t="s">
        <v>1046</v>
      </c>
      <c r="D3398" s="376">
        <v>2028</v>
      </c>
      <c r="E3398" s="376">
        <v>2031</v>
      </c>
      <c r="F3398" s="376">
        <v>1</v>
      </c>
      <c r="G3398" s="376">
        <v>20148.813739673951</v>
      </c>
      <c r="H3398" s="376">
        <v>0</v>
      </c>
      <c r="I3398" s="376">
        <v>0.65716939790195539</v>
      </c>
    </row>
    <row r="3399" spans="1:9" x14ac:dyDescent="0.35">
      <c r="A3399" s="376" t="s">
        <v>1615</v>
      </c>
      <c r="B3399" s="376" t="s">
        <v>1609</v>
      </c>
      <c r="C3399" s="376" t="s">
        <v>644</v>
      </c>
      <c r="D3399" s="376">
        <v>2028</v>
      </c>
      <c r="E3399" s="376">
        <v>2031</v>
      </c>
      <c r="F3399" s="376">
        <v>1</v>
      </c>
      <c r="G3399" s="376">
        <v>20148.813739673951</v>
      </c>
      <c r="H3399" s="376">
        <v>0</v>
      </c>
      <c r="I3399" s="376">
        <v>0.65716939790195539</v>
      </c>
    </row>
    <row r="3400" spans="1:9" x14ac:dyDescent="0.35">
      <c r="A3400" s="376" t="s">
        <v>1615</v>
      </c>
      <c r="B3400" s="376" t="s">
        <v>1609</v>
      </c>
      <c r="C3400" s="376" t="s">
        <v>628</v>
      </c>
      <c r="D3400" s="376">
        <v>2028</v>
      </c>
      <c r="E3400" s="376">
        <v>2031</v>
      </c>
      <c r="F3400" s="376">
        <v>1</v>
      </c>
      <c r="G3400" s="376">
        <v>20148.813739673951</v>
      </c>
      <c r="H3400" s="376">
        <v>0</v>
      </c>
      <c r="I3400" s="376">
        <v>0.65716939790195539</v>
      </c>
    </row>
    <row r="3401" spans="1:9" x14ac:dyDescent="0.35">
      <c r="A3401" s="376" t="s">
        <v>1615</v>
      </c>
      <c r="B3401" s="376" t="s">
        <v>1609</v>
      </c>
      <c r="C3401" s="376" t="s">
        <v>1051</v>
      </c>
      <c r="D3401" s="376">
        <v>2028</v>
      </c>
      <c r="E3401" s="376">
        <v>2031</v>
      </c>
      <c r="F3401" s="376">
        <v>1</v>
      </c>
      <c r="G3401" s="376">
        <v>20148.813739673951</v>
      </c>
      <c r="H3401" s="376">
        <v>0</v>
      </c>
      <c r="I3401" s="376">
        <v>0.65716939790195539</v>
      </c>
    </row>
    <row r="3402" spans="1:9" x14ac:dyDescent="0.35">
      <c r="A3402" s="376" t="s">
        <v>1615</v>
      </c>
      <c r="B3402" s="376" t="s">
        <v>1609</v>
      </c>
      <c r="C3402" s="376" t="s">
        <v>1054</v>
      </c>
      <c r="D3402" s="376">
        <v>2028</v>
      </c>
      <c r="E3402" s="376">
        <v>2031</v>
      </c>
      <c r="F3402" s="376">
        <v>1</v>
      </c>
      <c r="G3402" s="376">
        <v>20148.813739673951</v>
      </c>
      <c r="H3402" s="376">
        <v>0</v>
      </c>
      <c r="I3402" s="376">
        <v>0.65716939790195539</v>
      </c>
    </row>
    <row r="3403" spans="1:9" x14ac:dyDescent="0.35">
      <c r="A3403" s="376" t="s">
        <v>1603</v>
      </c>
      <c r="B3403" s="376" t="s">
        <v>1609</v>
      </c>
      <c r="C3403" s="376" t="s">
        <v>1046</v>
      </c>
      <c r="D3403" s="376">
        <v>2028</v>
      </c>
      <c r="E3403" s="376">
        <v>2028</v>
      </c>
      <c r="F3403" s="376">
        <v>1</v>
      </c>
      <c r="G3403" s="376">
        <v>6101.463203368502</v>
      </c>
      <c r="H3403" s="376">
        <v>0</v>
      </c>
      <c r="I3403" s="376">
        <v>1</v>
      </c>
    </row>
    <row r="3404" spans="1:9" x14ac:dyDescent="0.35">
      <c r="A3404" s="376" t="s">
        <v>1603</v>
      </c>
      <c r="B3404" s="376" t="s">
        <v>1609</v>
      </c>
      <c r="C3404" s="376" t="s">
        <v>644</v>
      </c>
      <c r="D3404" s="376">
        <v>2028</v>
      </c>
      <c r="E3404" s="376">
        <v>2028</v>
      </c>
      <c r="F3404" s="376">
        <v>1</v>
      </c>
      <c r="G3404" s="376">
        <v>6101.463203368502</v>
      </c>
      <c r="H3404" s="376">
        <v>0</v>
      </c>
      <c r="I3404" s="376">
        <v>1</v>
      </c>
    </row>
    <row r="3405" spans="1:9" x14ac:dyDescent="0.35">
      <c r="A3405" s="376" t="s">
        <v>1603</v>
      </c>
      <c r="B3405" s="376" t="s">
        <v>1609</v>
      </c>
      <c r="C3405" s="376" t="s">
        <v>628</v>
      </c>
      <c r="D3405" s="376">
        <v>2028</v>
      </c>
      <c r="E3405" s="376">
        <v>2028</v>
      </c>
      <c r="F3405" s="376">
        <v>1</v>
      </c>
      <c r="G3405" s="376">
        <v>6101.463203368502</v>
      </c>
      <c r="H3405" s="376">
        <v>0</v>
      </c>
      <c r="I3405" s="376">
        <v>1</v>
      </c>
    </row>
    <row r="3406" spans="1:9" x14ac:dyDescent="0.35">
      <c r="A3406" s="376" t="s">
        <v>1603</v>
      </c>
      <c r="B3406" s="376" t="s">
        <v>1609</v>
      </c>
      <c r="C3406" s="376" t="s">
        <v>1051</v>
      </c>
      <c r="D3406" s="376">
        <v>2028</v>
      </c>
      <c r="E3406" s="376">
        <v>2028</v>
      </c>
      <c r="F3406" s="376">
        <v>1</v>
      </c>
      <c r="G3406" s="376">
        <v>6101.463203368502</v>
      </c>
      <c r="H3406" s="376">
        <v>0</v>
      </c>
      <c r="I3406" s="376">
        <v>1</v>
      </c>
    </row>
    <row r="3407" spans="1:9" x14ac:dyDescent="0.35">
      <c r="A3407" s="376" t="s">
        <v>1603</v>
      </c>
      <c r="B3407" s="376" t="s">
        <v>1609</v>
      </c>
      <c r="C3407" s="376" t="s">
        <v>1054</v>
      </c>
      <c r="D3407" s="376">
        <v>2028</v>
      </c>
      <c r="E3407" s="376">
        <v>2028</v>
      </c>
      <c r="F3407" s="376">
        <v>1</v>
      </c>
      <c r="G3407" s="376">
        <v>6101.463203368502</v>
      </c>
      <c r="H3407" s="376">
        <v>0</v>
      </c>
      <c r="I3407" s="376">
        <v>1</v>
      </c>
    </row>
    <row r="3408" spans="1:9" x14ac:dyDescent="0.35">
      <c r="A3408" s="376" t="s">
        <v>1603</v>
      </c>
      <c r="B3408" s="376" t="s">
        <v>1609</v>
      </c>
      <c r="C3408" s="376" t="s">
        <v>1046</v>
      </c>
      <c r="D3408" s="376">
        <v>2028</v>
      </c>
      <c r="E3408" s="376">
        <v>2029</v>
      </c>
      <c r="F3408" s="376">
        <v>1</v>
      </c>
      <c r="G3408" s="376">
        <v>6101.463203368502</v>
      </c>
      <c r="H3408" s="376">
        <v>0</v>
      </c>
      <c r="I3408" s="376">
        <v>1</v>
      </c>
    </row>
    <row r="3409" spans="1:9" x14ac:dyDescent="0.35">
      <c r="A3409" s="376" t="s">
        <v>1603</v>
      </c>
      <c r="B3409" s="376" t="s">
        <v>1609</v>
      </c>
      <c r="C3409" s="376" t="s">
        <v>644</v>
      </c>
      <c r="D3409" s="376">
        <v>2028</v>
      </c>
      <c r="E3409" s="376">
        <v>2029</v>
      </c>
      <c r="F3409" s="376">
        <v>1</v>
      </c>
      <c r="G3409" s="376">
        <v>6101.463203368502</v>
      </c>
      <c r="H3409" s="376">
        <v>0</v>
      </c>
      <c r="I3409" s="376">
        <v>1</v>
      </c>
    </row>
    <row r="3410" spans="1:9" x14ac:dyDescent="0.35">
      <c r="A3410" s="376" t="s">
        <v>1603</v>
      </c>
      <c r="B3410" s="376" t="s">
        <v>1609</v>
      </c>
      <c r="C3410" s="376" t="s">
        <v>628</v>
      </c>
      <c r="D3410" s="376">
        <v>2028</v>
      </c>
      <c r="E3410" s="376">
        <v>2029</v>
      </c>
      <c r="F3410" s="376">
        <v>1</v>
      </c>
      <c r="G3410" s="376">
        <v>6101.463203368502</v>
      </c>
      <c r="H3410" s="376">
        <v>0</v>
      </c>
      <c r="I3410" s="376">
        <v>1</v>
      </c>
    </row>
    <row r="3411" spans="1:9" x14ac:dyDescent="0.35">
      <c r="A3411" s="376" t="s">
        <v>1603</v>
      </c>
      <c r="B3411" s="376" t="s">
        <v>1609</v>
      </c>
      <c r="C3411" s="376" t="s">
        <v>1051</v>
      </c>
      <c r="D3411" s="376">
        <v>2028</v>
      </c>
      <c r="E3411" s="376">
        <v>2029</v>
      </c>
      <c r="F3411" s="376">
        <v>1</v>
      </c>
      <c r="G3411" s="376">
        <v>6101.463203368502</v>
      </c>
      <c r="H3411" s="376">
        <v>0</v>
      </c>
      <c r="I3411" s="376">
        <v>1</v>
      </c>
    </row>
    <row r="3412" spans="1:9" x14ac:dyDescent="0.35">
      <c r="A3412" s="376" t="s">
        <v>1603</v>
      </c>
      <c r="B3412" s="376" t="s">
        <v>1609</v>
      </c>
      <c r="C3412" s="376" t="s">
        <v>1054</v>
      </c>
      <c r="D3412" s="376">
        <v>2028</v>
      </c>
      <c r="E3412" s="376">
        <v>2029</v>
      </c>
      <c r="F3412" s="376">
        <v>1</v>
      </c>
      <c r="G3412" s="376">
        <v>6101.463203368502</v>
      </c>
      <c r="H3412" s="376">
        <v>0</v>
      </c>
      <c r="I3412" s="376">
        <v>1</v>
      </c>
    </row>
    <row r="3413" spans="1:9" x14ac:dyDescent="0.35">
      <c r="A3413" s="376" t="s">
        <v>1603</v>
      </c>
      <c r="B3413" s="376" t="s">
        <v>1609</v>
      </c>
      <c r="C3413" s="376" t="s">
        <v>1046</v>
      </c>
      <c r="D3413" s="376">
        <v>2028</v>
      </c>
      <c r="E3413" s="376">
        <v>2030</v>
      </c>
      <c r="F3413" s="376">
        <v>1</v>
      </c>
      <c r="G3413" s="376">
        <v>6101.463203368502</v>
      </c>
      <c r="H3413" s="376">
        <v>0</v>
      </c>
      <c r="I3413" s="376">
        <v>1</v>
      </c>
    </row>
    <row r="3414" spans="1:9" x14ac:dyDescent="0.35">
      <c r="A3414" s="376" t="s">
        <v>1603</v>
      </c>
      <c r="B3414" s="376" t="s">
        <v>1609</v>
      </c>
      <c r="C3414" s="376" t="s">
        <v>644</v>
      </c>
      <c r="D3414" s="376">
        <v>2028</v>
      </c>
      <c r="E3414" s="376">
        <v>2030</v>
      </c>
      <c r="F3414" s="376">
        <v>1</v>
      </c>
      <c r="G3414" s="376">
        <v>6101.463203368502</v>
      </c>
      <c r="H3414" s="376">
        <v>0</v>
      </c>
      <c r="I3414" s="376">
        <v>1</v>
      </c>
    </row>
    <row r="3415" spans="1:9" x14ac:dyDescent="0.35">
      <c r="A3415" s="376" t="s">
        <v>1603</v>
      </c>
      <c r="B3415" s="376" t="s">
        <v>1609</v>
      </c>
      <c r="C3415" s="376" t="s">
        <v>628</v>
      </c>
      <c r="D3415" s="376">
        <v>2028</v>
      </c>
      <c r="E3415" s="376">
        <v>2030</v>
      </c>
      <c r="F3415" s="376">
        <v>1</v>
      </c>
      <c r="G3415" s="376">
        <v>6101.463203368502</v>
      </c>
      <c r="H3415" s="376">
        <v>0</v>
      </c>
      <c r="I3415" s="376">
        <v>1</v>
      </c>
    </row>
    <row r="3416" spans="1:9" x14ac:dyDescent="0.35">
      <c r="A3416" s="376" t="s">
        <v>1603</v>
      </c>
      <c r="B3416" s="376" t="s">
        <v>1609</v>
      </c>
      <c r="C3416" s="376" t="s">
        <v>1051</v>
      </c>
      <c r="D3416" s="376">
        <v>2028</v>
      </c>
      <c r="E3416" s="376">
        <v>2030</v>
      </c>
      <c r="F3416" s="376">
        <v>1</v>
      </c>
      <c r="G3416" s="376">
        <v>6101.463203368502</v>
      </c>
      <c r="H3416" s="376">
        <v>0</v>
      </c>
      <c r="I3416" s="376">
        <v>1</v>
      </c>
    </row>
    <row r="3417" spans="1:9" x14ac:dyDescent="0.35">
      <c r="A3417" s="376" t="s">
        <v>1603</v>
      </c>
      <c r="B3417" s="376" t="s">
        <v>1609</v>
      </c>
      <c r="C3417" s="376" t="s">
        <v>1054</v>
      </c>
      <c r="D3417" s="376">
        <v>2028</v>
      </c>
      <c r="E3417" s="376">
        <v>2030</v>
      </c>
      <c r="F3417" s="376">
        <v>1</v>
      </c>
      <c r="G3417" s="376">
        <v>6101.463203368502</v>
      </c>
      <c r="H3417" s="376">
        <v>0</v>
      </c>
      <c r="I3417" s="376">
        <v>1</v>
      </c>
    </row>
    <row r="3418" spans="1:9" x14ac:dyDescent="0.35">
      <c r="A3418" s="376" t="s">
        <v>1603</v>
      </c>
      <c r="B3418" s="376" t="s">
        <v>1609</v>
      </c>
      <c r="C3418" s="376" t="s">
        <v>1046</v>
      </c>
      <c r="D3418" s="376">
        <v>2028</v>
      </c>
      <c r="E3418" s="376">
        <v>2031</v>
      </c>
      <c r="F3418" s="376">
        <v>1</v>
      </c>
      <c r="G3418" s="376">
        <v>6101.463203368502</v>
      </c>
      <c r="H3418" s="376">
        <v>0</v>
      </c>
      <c r="I3418" s="376">
        <v>1</v>
      </c>
    </row>
    <row r="3419" spans="1:9" x14ac:dyDescent="0.35">
      <c r="A3419" s="376" t="s">
        <v>1603</v>
      </c>
      <c r="B3419" s="376" t="s">
        <v>1609</v>
      </c>
      <c r="C3419" s="376" t="s">
        <v>644</v>
      </c>
      <c r="D3419" s="376">
        <v>2028</v>
      </c>
      <c r="E3419" s="376">
        <v>2031</v>
      </c>
      <c r="F3419" s="376">
        <v>1</v>
      </c>
      <c r="G3419" s="376">
        <v>6101.463203368502</v>
      </c>
      <c r="H3419" s="376">
        <v>0</v>
      </c>
      <c r="I3419" s="376">
        <v>1</v>
      </c>
    </row>
    <row r="3420" spans="1:9" x14ac:dyDescent="0.35">
      <c r="A3420" s="376" t="s">
        <v>1603</v>
      </c>
      <c r="B3420" s="376" t="s">
        <v>1609</v>
      </c>
      <c r="C3420" s="376" t="s">
        <v>628</v>
      </c>
      <c r="D3420" s="376">
        <v>2028</v>
      </c>
      <c r="E3420" s="376">
        <v>2031</v>
      </c>
      <c r="F3420" s="376">
        <v>1</v>
      </c>
      <c r="G3420" s="376">
        <v>6101.463203368502</v>
      </c>
      <c r="H3420" s="376">
        <v>0</v>
      </c>
      <c r="I3420" s="376">
        <v>1</v>
      </c>
    </row>
    <row r="3421" spans="1:9" x14ac:dyDescent="0.35">
      <c r="A3421" s="376" t="s">
        <v>1603</v>
      </c>
      <c r="B3421" s="376" t="s">
        <v>1609</v>
      </c>
      <c r="C3421" s="376" t="s">
        <v>1051</v>
      </c>
      <c r="D3421" s="376">
        <v>2028</v>
      </c>
      <c r="E3421" s="376">
        <v>2031</v>
      </c>
      <c r="F3421" s="376">
        <v>1</v>
      </c>
      <c r="G3421" s="376">
        <v>6101.463203368502</v>
      </c>
      <c r="H3421" s="376">
        <v>0</v>
      </c>
      <c r="I3421" s="376">
        <v>1</v>
      </c>
    </row>
    <row r="3422" spans="1:9" x14ac:dyDescent="0.35">
      <c r="A3422" s="376" t="s">
        <v>1603</v>
      </c>
      <c r="B3422" s="376" t="s">
        <v>1609</v>
      </c>
      <c r="C3422" s="376" t="s">
        <v>1054</v>
      </c>
      <c r="D3422" s="376">
        <v>2028</v>
      </c>
      <c r="E3422" s="376">
        <v>2031</v>
      </c>
      <c r="F3422" s="376">
        <v>1</v>
      </c>
      <c r="G3422" s="376">
        <v>6101.463203368502</v>
      </c>
      <c r="H3422" s="376">
        <v>0</v>
      </c>
      <c r="I3422" s="376">
        <v>1</v>
      </c>
    </row>
    <row r="3423" spans="1:9" x14ac:dyDescent="0.35">
      <c r="A3423" s="376" t="s">
        <v>1605</v>
      </c>
      <c r="B3423" s="376" t="s">
        <v>1609</v>
      </c>
      <c r="C3423" s="376" t="s">
        <v>1046</v>
      </c>
      <c r="D3423" s="376">
        <v>2028</v>
      </c>
      <c r="E3423" s="376">
        <v>2028</v>
      </c>
      <c r="F3423" s="376">
        <v>0.23884589662749595</v>
      </c>
      <c r="G3423" s="376">
        <v>10426.102375692073</v>
      </c>
      <c r="H3423" s="376">
        <v>0</v>
      </c>
      <c r="I3423" s="376">
        <v>1</v>
      </c>
    </row>
    <row r="3424" spans="1:9" x14ac:dyDescent="0.35">
      <c r="A3424" s="376" t="s">
        <v>1605</v>
      </c>
      <c r="B3424" s="376" t="s">
        <v>1609</v>
      </c>
      <c r="C3424" s="376" t="s">
        <v>644</v>
      </c>
      <c r="D3424" s="376">
        <v>2028</v>
      </c>
      <c r="E3424" s="376">
        <v>2028</v>
      </c>
      <c r="F3424" s="376">
        <v>0.23884589662749595</v>
      </c>
      <c r="G3424" s="376">
        <v>10426.102375692073</v>
      </c>
      <c r="H3424" s="376">
        <v>0</v>
      </c>
      <c r="I3424" s="376">
        <v>1</v>
      </c>
    </row>
    <row r="3425" spans="1:9" x14ac:dyDescent="0.35">
      <c r="A3425" s="376" t="s">
        <v>1605</v>
      </c>
      <c r="B3425" s="376" t="s">
        <v>1609</v>
      </c>
      <c r="C3425" s="376" t="s">
        <v>628</v>
      </c>
      <c r="D3425" s="376">
        <v>2028</v>
      </c>
      <c r="E3425" s="376">
        <v>2028</v>
      </c>
      <c r="F3425" s="376">
        <v>0.23884589662749595</v>
      </c>
      <c r="G3425" s="376">
        <v>10426.102375692073</v>
      </c>
      <c r="H3425" s="376">
        <v>0</v>
      </c>
      <c r="I3425" s="376">
        <v>1</v>
      </c>
    </row>
    <row r="3426" spans="1:9" x14ac:dyDescent="0.35">
      <c r="A3426" s="376" t="s">
        <v>1605</v>
      </c>
      <c r="B3426" s="376" t="s">
        <v>1609</v>
      </c>
      <c r="C3426" s="376" t="s">
        <v>1051</v>
      </c>
      <c r="D3426" s="376">
        <v>2028</v>
      </c>
      <c r="E3426" s="376">
        <v>2028</v>
      </c>
      <c r="F3426" s="376">
        <v>0.23884589662749595</v>
      </c>
      <c r="G3426" s="376">
        <v>10426.102375692073</v>
      </c>
      <c r="H3426" s="376">
        <v>0</v>
      </c>
      <c r="I3426" s="376">
        <v>1</v>
      </c>
    </row>
    <row r="3427" spans="1:9" x14ac:dyDescent="0.35">
      <c r="A3427" s="376" t="s">
        <v>1605</v>
      </c>
      <c r="B3427" s="376" t="s">
        <v>1609</v>
      </c>
      <c r="C3427" s="376" t="s">
        <v>1054</v>
      </c>
      <c r="D3427" s="376">
        <v>2028</v>
      </c>
      <c r="E3427" s="376">
        <v>2028</v>
      </c>
      <c r="F3427" s="376">
        <v>0.23884589662749595</v>
      </c>
      <c r="G3427" s="376">
        <v>10426.102375692073</v>
      </c>
      <c r="H3427" s="376">
        <v>0</v>
      </c>
      <c r="I3427" s="376">
        <v>1</v>
      </c>
    </row>
    <row r="3428" spans="1:9" x14ac:dyDescent="0.35">
      <c r="A3428" s="376" t="s">
        <v>1605</v>
      </c>
      <c r="B3428" s="376" t="s">
        <v>1609</v>
      </c>
      <c r="C3428" s="376" t="s">
        <v>1046</v>
      </c>
      <c r="D3428" s="376">
        <v>2028</v>
      </c>
      <c r="E3428" s="376">
        <v>2029</v>
      </c>
      <c r="F3428" s="376">
        <v>0.23884589662749595</v>
      </c>
      <c r="G3428" s="376">
        <v>10426.102375692073</v>
      </c>
      <c r="H3428" s="376">
        <v>0</v>
      </c>
      <c r="I3428" s="376">
        <v>1</v>
      </c>
    </row>
    <row r="3429" spans="1:9" x14ac:dyDescent="0.35">
      <c r="A3429" s="376" t="s">
        <v>1605</v>
      </c>
      <c r="B3429" s="376" t="s">
        <v>1609</v>
      </c>
      <c r="C3429" s="376" t="s">
        <v>644</v>
      </c>
      <c r="D3429" s="376">
        <v>2028</v>
      </c>
      <c r="E3429" s="376">
        <v>2029</v>
      </c>
      <c r="F3429" s="376">
        <v>0.23884589662749595</v>
      </c>
      <c r="G3429" s="376">
        <v>10426.102375692073</v>
      </c>
      <c r="H3429" s="376">
        <v>0</v>
      </c>
      <c r="I3429" s="376">
        <v>1</v>
      </c>
    </row>
    <row r="3430" spans="1:9" x14ac:dyDescent="0.35">
      <c r="A3430" s="376" t="s">
        <v>1605</v>
      </c>
      <c r="B3430" s="376" t="s">
        <v>1609</v>
      </c>
      <c r="C3430" s="376" t="s">
        <v>628</v>
      </c>
      <c r="D3430" s="376">
        <v>2028</v>
      </c>
      <c r="E3430" s="376">
        <v>2029</v>
      </c>
      <c r="F3430" s="376">
        <v>0.23884589662749595</v>
      </c>
      <c r="G3430" s="376">
        <v>10426.102375692073</v>
      </c>
      <c r="H3430" s="376">
        <v>0</v>
      </c>
      <c r="I3430" s="376">
        <v>1</v>
      </c>
    </row>
    <row r="3431" spans="1:9" x14ac:dyDescent="0.35">
      <c r="A3431" s="376" t="s">
        <v>1605</v>
      </c>
      <c r="B3431" s="376" t="s">
        <v>1609</v>
      </c>
      <c r="C3431" s="376" t="s">
        <v>1051</v>
      </c>
      <c r="D3431" s="376">
        <v>2028</v>
      </c>
      <c r="E3431" s="376">
        <v>2029</v>
      </c>
      <c r="F3431" s="376">
        <v>0.23884589662749595</v>
      </c>
      <c r="G3431" s="376">
        <v>10426.102375692073</v>
      </c>
      <c r="H3431" s="376">
        <v>0</v>
      </c>
      <c r="I3431" s="376">
        <v>1</v>
      </c>
    </row>
    <row r="3432" spans="1:9" x14ac:dyDescent="0.35">
      <c r="A3432" s="376" t="s">
        <v>1605</v>
      </c>
      <c r="B3432" s="376" t="s">
        <v>1609</v>
      </c>
      <c r="C3432" s="376" t="s">
        <v>1054</v>
      </c>
      <c r="D3432" s="376">
        <v>2028</v>
      </c>
      <c r="E3432" s="376">
        <v>2029</v>
      </c>
      <c r="F3432" s="376">
        <v>0.23884589662749595</v>
      </c>
      <c r="G3432" s="376">
        <v>10426.102375692073</v>
      </c>
      <c r="H3432" s="376">
        <v>0</v>
      </c>
      <c r="I3432" s="376">
        <v>1</v>
      </c>
    </row>
    <row r="3433" spans="1:9" x14ac:dyDescent="0.35">
      <c r="A3433" s="376" t="s">
        <v>1605</v>
      </c>
      <c r="B3433" s="376" t="s">
        <v>1609</v>
      </c>
      <c r="C3433" s="376" t="s">
        <v>1046</v>
      </c>
      <c r="D3433" s="376">
        <v>2028</v>
      </c>
      <c r="E3433" s="376">
        <v>2030</v>
      </c>
      <c r="F3433" s="376">
        <v>0.23884589662749595</v>
      </c>
      <c r="G3433" s="376">
        <v>10426.102375692073</v>
      </c>
      <c r="H3433" s="376">
        <v>0</v>
      </c>
      <c r="I3433" s="376">
        <v>1</v>
      </c>
    </row>
    <row r="3434" spans="1:9" x14ac:dyDescent="0.35">
      <c r="A3434" s="376" t="s">
        <v>1605</v>
      </c>
      <c r="B3434" s="376" t="s">
        <v>1609</v>
      </c>
      <c r="C3434" s="376" t="s">
        <v>644</v>
      </c>
      <c r="D3434" s="376">
        <v>2028</v>
      </c>
      <c r="E3434" s="376">
        <v>2030</v>
      </c>
      <c r="F3434" s="376">
        <v>0.23884589662749595</v>
      </c>
      <c r="G3434" s="376">
        <v>10426.102375692073</v>
      </c>
      <c r="H3434" s="376">
        <v>0</v>
      </c>
      <c r="I3434" s="376">
        <v>1</v>
      </c>
    </row>
    <row r="3435" spans="1:9" x14ac:dyDescent="0.35">
      <c r="A3435" s="376" t="s">
        <v>1605</v>
      </c>
      <c r="B3435" s="376" t="s">
        <v>1609</v>
      </c>
      <c r="C3435" s="376" t="s">
        <v>628</v>
      </c>
      <c r="D3435" s="376">
        <v>2028</v>
      </c>
      <c r="E3435" s="376">
        <v>2030</v>
      </c>
      <c r="F3435" s="376">
        <v>0.23884589662749595</v>
      </c>
      <c r="G3435" s="376">
        <v>10426.102375692073</v>
      </c>
      <c r="H3435" s="376">
        <v>0</v>
      </c>
      <c r="I3435" s="376">
        <v>1</v>
      </c>
    </row>
    <row r="3436" spans="1:9" x14ac:dyDescent="0.35">
      <c r="A3436" s="376" t="s">
        <v>1605</v>
      </c>
      <c r="B3436" s="376" t="s">
        <v>1609</v>
      </c>
      <c r="C3436" s="376" t="s">
        <v>1051</v>
      </c>
      <c r="D3436" s="376">
        <v>2028</v>
      </c>
      <c r="E3436" s="376">
        <v>2030</v>
      </c>
      <c r="F3436" s="376">
        <v>0.23884589662749595</v>
      </c>
      <c r="G3436" s="376">
        <v>10426.102375692073</v>
      </c>
      <c r="H3436" s="376">
        <v>0</v>
      </c>
      <c r="I3436" s="376">
        <v>1</v>
      </c>
    </row>
    <row r="3437" spans="1:9" x14ac:dyDescent="0.35">
      <c r="A3437" s="376" t="s">
        <v>1605</v>
      </c>
      <c r="B3437" s="376" t="s">
        <v>1609</v>
      </c>
      <c r="C3437" s="376" t="s">
        <v>1054</v>
      </c>
      <c r="D3437" s="376">
        <v>2028</v>
      </c>
      <c r="E3437" s="376">
        <v>2030</v>
      </c>
      <c r="F3437" s="376">
        <v>0.23884589662749595</v>
      </c>
      <c r="G3437" s="376">
        <v>10426.102375692073</v>
      </c>
      <c r="H3437" s="376">
        <v>0</v>
      </c>
      <c r="I3437" s="376">
        <v>1</v>
      </c>
    </row>
    <row r="3438" spans="1:9" x14ac:dyDescent="0.35">
      <c r="A3438" s="376" t="s">
        <v>1605</v>
      </c>
      <c r="B3438" s="376" t="s">
        <v>1609</v>
      </c>
      <c r="C3438" s="376" t="s">
        <v>1046</v>
      </c>
      <c r="D3438" s="376">
        <v>2028</v>
      </c>
      <c r="E3438" s="376">
        <v>2031</v>
      </c>
      <c r="F3438" s="376">
        <v>0.23884589662749595</v>
      </c>
      <c r="G3438" s="376">
        <v>10426.102375692073</v>
      </c>
      <c r="H3438" s="376">
        <v>0</v>
      </c>
      <c r="I3438" s="376">
        <v>1</v>
      </c>
    </row>
    <row r="3439" spans="1:9" x14ac:dyDescent="0.35">
      <c r="A3439" s="376" t="s">
        <v>1605</v>
      </c>
      <c r="B3439" s="376" t="s">
        <v>1609</v>
      </c>
      <c r="C3439" s="376" t="s">
        <v>644</v>
      </c>
      <c r="D3439" s="376">
        <v>2028</v>
      </c>
      <c r="E3439" s="376">
        <v>2031</v>
      </c>
      <c r="F3439" s="376">
        <v>0.23884589662749595</v>
      </c>
      <c r="G3439" s="376">
        <v>10426.102375692073</v>
      </c>
      <c r="H3439" s="376">
        <v>0</v>
      </c>
      <c r="I3439" s="376">
        <v>1</v>
      </c>
    </row>
    <row r="3440" spans="1:9" x14ac:dyDescent="0.35">
      <c r="A3440" s="376" t="s">
        <v>1605</v>
      </c>
      <c r="B3440" s="376" t="s">
        <v>1609</v>
      </c>
      <c r="C3440" s="376" t="s">
        <v>628</v>
      </c>
      <c r="D3440" s="376">
        <v>2028</v>
      </c>
      <c r="E3440" s="376">
        <v>2031</v>
      </c>
      <c r="F3440" s="376">
        <v>0.23884589662749595</v>
      </c>
      <c r="G3440" s="376">
        <v>10426.102375692073</v>
      </c>
      <c r="H3440" s="376">
        <v>0</v>
      </c>
      <c r="I3440" s="376">
        <v>1</v>
      </c>
    </row>
    <row r="3441" spans="1:9" x14ac:dyDescent="0.35">
      <c r="A3441" s="376" t="s">
        <v>1605</v>
      </c>
      <c r="B3441" s="376" t="s">
        <v>1609</v>
      </c>
      <c r="C3441" s="376" t="s">
        <v>1051</v>
      </c>
      <c r="D3441" s="376">
        <v>2028</v>
      </c>
      <c r="E3441" s="376">
        <v>2031</v>
      </c>
      <c r="F3441" s="376">
        <v>0.23884589662749595</v>
      </c>
      <c r="G3441" s="376">
        <v>10426.102375692073</v>
      </c>
      <c r="H3441" s="376">
        <v>0</v>
      </c>
      <c r="I3441" s="376">
        <v>1</v>
      </c>
    </row>
    <row r="3442" spans="1:9" x14ac:dyDescent="0.35">
      <c r="A3442" s="376" t="s">
        <v>1605</v>
      </c>
      <c r="B3442" s="376" t="s">
        <v>1609</v>
      </c>
      <c r="C3442" s="376" t="s">
        <v>1054</v>
      </c>
      <c r="D3442" s="376">
        <v>2028</v>
      </c>
      <c r="E3442" s="376">
        <v>2031</v>
      </c>
      <c r="F3442" s="376">
        <v>0.23884589662749595</v>
      </c>
      <c r="G3442" s="376">
        <v>10426.102375692073</v>
      </c>
      <c r="H3442" s="376">
        <v>0</v>
      </c>
      <c r="I3442" s="376">
        <v>1</v>
      </c>
    </row>
    <row r="3443" spans="1:9" x14ac:dyDescent="0.35">
      <c r="A3443" s="376" t="s">
        <v>1636</v>
      </c>
      <c r="B3443" s="376" t="s">
        <v>1609</v>
      </c>
      <c r="C3443" s="376" t="s">
        <v>1046</v>
      </c>
      <c r="D3443" s="376">
        <v>2028</v>
      </c>
      <c r="E3443" s="376">
        <v>2028</v>
      </c>
      <c r="F3443" s="376">
        <v>1</v>
      </c>
      <c r="G3443" s="376">
        <v>3313.6765247303902</v>
      </c>
      <c r="H3443" s="376">
        <v>0</v>
      </c>
      <c r="I3443" s="376">
        <v>1</v>
      </c>
    </row>
    <row r="3444" spans="1:9" x14ac:dyDescent="0.35">
      <c r="A3444" s="376" t="s">
        <v>1636</v>
      </c>
      <c r="B3444" s="376" t="s">
        <v>1609</v>
      </c>
      <c r="C3444" s="376" t="s">
        <v>644</v>
      </c>
      <c r="D3444" s="376">
        <v>2028</v>
      </c>
      <c r="E3444" s="376">
        <v>2028</v>
      </c>
      <c r="F3444" s="376">
        <v>1</v>
      </c>
      <c r="G3444" s="376">
        <v>3313.6765247303902</v>
      </c>
      <c r="H3444" s="376">
        <v>0</v>
      </c>
      <c r="I3444" s="376">
        <v>1</v>
      </c>
    </row>
    <row r="3445" spans="1:9" x14ac:dyDescent="0.35">
      <c r="A3445" s="376" t="s">
        <v>1636</v>
      </c>
      <c r="B3445" s="376" t="s">
        <v>1609</v>
      </c>
      <c r="C3445" s="376" t="s">
        <v>628</v>
      </c>
      <c r="D3445" s="376">
        <v>2028</v>
      </c>
      <c r="E3445" s="376">
        <v>2028</v>
      </c>
      <c r="F3445" s="376">
        <v>1</v>
      </c>
      <c r="G3445" s="376">
        <v>3313.6765247303902</v>
      </c>
      <c r="H3445" s="376">
        <v>0</v>
      </c>
      <c r="I3445" s="376">
        <v>1</v>
      </c>
    </row>
    <row r="3446" spans="1:9" x14ac:dyDescent="0.35">
      <c r="A3446" s="376" t="s">
        <v>1636</v>
      </c>
      <c r="B3446" s="376" t="s">
        <v>1609</v>
      </c>
      <c r="C3446" s="376" t="s">
        <v>1051</v>
      </c>
      <c r="D3446" s="376">
        <v>2028</v>
      </c>
      <c r="E3446" s="376">
        <v>2028</v>
      </c>
      <c r="F3446" s="376">
        <v>1</v>
      </c>
      <c r="G3446" s="376">
        <v>3313.6765247303902</v>
      </c>
      <c r="H3446" s="376">
        <v>0</v>
      </c>
      <c r="I3446" s="376">
        <v>1</v>
      </c>
    </row>
    <row r="3447" spans="1:9" x14ac:dyDescent="0.35">
      <c r="A3447" s="376" t="s">
        <v>1636</v>
      </c>
      <c r="B3447" s="376" t="s">
        <v>1609</v>
      </c>
      <c r="C3447" s="376" t="s">
        <v>1054</v>
      </c>
      <c r="D3447" s="376">
        <v>2028</v>
      </c>
      <c r="E3447" s="376">
        <v>2028</v>
      </c>
      <c r="F3447" s="376">
        <v>1</v>
      </c>
      <c r="G3447" s="376">
        <v>3313.6765247303902</v>
      </c>
      <c r="H3447" s="376">
        <v>0</v>
      </c>
      <c r="I3447" s="376">
        <v>1</v>
      </c>
    </row>
    <row r="3448" spans="1:9" x14ac:dyDescent="0.35">
      <c r="A3448" s="376" t="s">
        <v>1636</v>
      </c>
      <c r="B3448" s="376" t="s">
        <v>1609</v>
      </c>
      <c r="C3448" s="376" t="s">
        <v>1046</v>
      </c>
      <c r="D3448" s="376">
        <v>2028</v>
      </c>
      <c r="E3448" s="376">
        <v>2029</v>
      </c>
      <c r="F3448" s="376">
        <v>1</v>
      </c>
      <c r="G3448" s="376">
        <v>3313.6765247303902</v>
      </c>
      <c r="H3448" s="376">
        <v>0</v>
      </c>
      <c r="I3448" s="376">
        <v>1</v>
      </c>
    </row>
    <row r="3449" spans="1:9" x14ac:dyDescent="0.35">
      <c r="A3449" s="376" t="s">
        <v>1636</v>
      </c>
      <c r="B3449" s="376" t="s">
        <v>1609</v>
      </c>
      <c r="C3449" s="376" t="s">
        <v>644</v>
      </c>
      <c r="D3449" s="376">
        <v>2028</v>
      </c>
      <c r="E3449" s="376">
        <v>2029</v>
      </c>
      <c r="F3449" s="376">
        <v>1</v>
      </c>
      <c r="G3449" s="376">
        <v>3313.6765247303902</v>
      </c>
      <c r="H3449" s="376">
        <v>0</v>
      </c>
      <c r="I3449" s="376">
        <v>1</v>
      </c>
    </row>
    <row r="3450" spans="1:9" x14ac:dyDescent="0.35">
      <c r="A3450" s="376" t="s">
        <v>1636</v>
      </c>
      <c r="B3450" s="376" t="s">
        <v>1609</v>
      </c>
      <c r="C3450" s="376" t="s">
        <v>628</v>
      </c>
      <c r="D3450" s="376">
        <v>2028</v>
      </c>
      <c r="E3450" s="376">
        <v>2029</v>
      </c>
      <c r="F3450" s="376">
        <v>1</v>
      </c>
      <c r="G3450" s="376">
        <v>3313.6765247303902</v>
      </c>
      <c r="H3450" s="376">
        <v>0</v>
      </c>
      <c r="I3450" s="376">
        <v>1</v>
      </c>
    </row>
    <row r="3451" spans="1:9" x14ac:dyDescent="0.35">
      <c r="A3451" s="376" t="s">
        <v>1636</v>
      </c>
      <c r="B3451" s="376" t="s">
        <v>1609</v>
      </c>
      <c r="C3451" s="376" t="s">
        <v>1051</v>
      </c>
      <c r="D3451" s="376">
        <v>2028</v>
      </c>
      <c r="E3451" s="376">
        <v>2029</v>
      </c>
      <c r="F3451" s="376">
        <v>1</v>
      </c>
      <c r="G3451" s="376">
        <v>3313.6765247303902</v>
      </c>
      <c r="H3451" s="376">
        <v>0</v>
      </c>
      <c r="I3451" s="376">
        <v>1</v>
      </c>
    </row>
    <row r="3452" spans="1:9" x14ac:dyDescent="0.35">
      <c r="A3452" s="376" t="s">
        <v>1636</v>
      </c>
      <c r="B3452" s="376" t="s">
        <v>1609</v>
      </c>
      <c r="C3452" s="376" t="s">
        <v>1054</v>
      </c>
      <c r="D3452" s="376">
        <v>2028</v>
      </c>
      <c r="E3452" s="376">
        <v>2029</v>
      </c>
      <c r="F3452" s="376">
        <v>1</v>
      </c>
      <c r="G3452" s="376">
        <v>3313.6765247303902</v>
      </c>
      <c r="H3452" s="376">
        <v>0</v>
      </c>
      <c r="I3452" s="376">
        <v>1</v>
      </c>
    </row>
    <row r="3453" spans="1:9" x14ac:dyDescent="0.35">
      <c r="A3453" s="376" t="s">
        <v>1636</v>
      </c>
      <c r="B3453" s="376" t="s">
        <v>1609</v>
      </c>
      <c r="C3453" s="376" t="s">
        <v>1046</v>
      </c>
      <c r="D3453" s="376">
        <v>2028</v>
      </c>
      <c r="E3453" s="376">
        <v>2030</v>
      </c>
      <c r="F3453" s="376">
        <v>1</v>
      </c>
      <c r="G3453" s="376">
        <v>3313.6765247303902</v>
      </c>
      <c r="H3453" s="376">
        <v>0</v>
      </c>
      <c r="I3453" s="376">
        <v>1</v>
      </c>
    </row>
    <row r="3454" spans="1:9" x14ac:dyDescent="0.35">
      <c r="A3454" s="376" t="s">
        <v>1636</v>
      </c>
      <c r="B3454" s="376" t="s">
        <v>1609</v>
      </c>
      <c r="C3454" s="376" t="s">
        <v>644</v>
      </c>
      <c r="D3454" s="376">
        <v>2028</v>
      </c>
      <c r="E3454" s="376">
        <v>2030</v>
      </c>
      <c r="F3454" s="376">
        <v>1</v>
      </c>
      <c r="G3454" s="376">
        <v>3313.6765247303902</v>
      </c>
      <c r="H3454" s="376">
        <v>0</v>
      </c>
      <c r="I3454" s="376">
        <v>1</v>
      </c>
    </row>
    <row r="3455" spans="1:9" x14ac:dyDescent="0.35">
      <c r="A3455" s="376" t="s">
        <v>1636</v>
      </c>
      <c r="B3455" s="376" t="s">
        <v>1609</v>
      </c>
      <c r="C3455" s="376" t="s">
        <v>628</v>
      </c>
      <c r="D3455" s="376">
        <v>2028</v>
      </c>
      <c r="E3455" s="376">
        <v>2030</v>
      </c>
      <c r="F3455" s="376">
        <v>1</v>
      </c>
      <c r="G3455" s="376">
        <v>3313.6765247303902</v>
      </c>
      <c r="H3455" s="376">
        <v>0</v>
      </c>
      <c r="I3455" s="376">
        <v>1</v>
      </c>
    </row>
    <row r="3456" spans="1:9" x14ac:dyDescent="0.35">
      <c r="A3456" s="376" t="s">
        <v>1636</v>
      </c>
      <c r="B3456" s="376" t="s">
        <v>1609</v>
      </c>
      <c r="C3456" s="376" t="s">
        <v>1051</v>
      </c>
      <c r="D3456" s="376">
        <v>2028</v>
      </c>
      <c r="E3456" s="376">
        <v>2030</v>
      </c>
      <c r="F3456" s="376">
        <v>1</v>
      </c>
      <c r="G3456" s="376">
        <v>3313.6765247303902</v>
      </c>
      <c r="H3456" s="376">
        <v>0</v>
      </c>
      <c r="I3456" s="376">
        <v>1</v>
      </c>
    </row>
    <row r="3457" spans="1:9" x14ac:dyDescent="0.35">
      <c r="A3457" s="376" t="s">
        <v>1636</v>
      </c>
      <c r="B3457" s="376" t="s">
        <v>1609</v>
      </c>
      <c r="C3457" s="376" t="s">
        <v>1054</v>
      </c>
      <c r="D3457" s="376">
        <v>2028</v>
      </c>
      <c r="E3457" s="376">
        <v>2030</v>
      </c>
      <c r="F3457" s="376">
        <v>1</v>
      </c>
      <c r="G3457" s="376">
        <v>3313.6765247303902</v>
      </c>
      <c r="H3457" s="376">
        <v>0</v>
      </c>
      <c r="I3457" s="376">
        <v>1</v>
      </c>
    </row>
    <row r="3458" spans="1:9" x14ac:dyDescent="0.35">
      <c r="A3458" s="376" t="s">
        <v>1636</v>
      </c>
      <c r="B3458" s="376" t="s">
        <v>1609</v>
      </c>
      <c r="C3458" s="376" t="s">
        <v>1046</v>
      </c>
      <c r="D3458" s="376">
        <v>2028</v>
      </c>
      <c r="E3458" s="376">
        <v>2031</v>
      </c>
      <c r="F3458" s="376">
        <v>1</v>
      </c>
      <c r="G3458" s="376">
        <v>3313.6765247303902</v>
      </c>
      <c r="H3458" s="376">
        <v>0</v>
      </c>
      <c r="I3458" s="376">
        <v>1</v>
      </c>
    </row>
    <row r="3459" spans="1:9" x14ac:dyDescent="0.35">
      <c r="A3459" s="376" t="s">
        <v>1636</v>
      </c>
      <c r="B3459" s="376" t="s">
        <v>1609</v>
      </c>
      <c r="C3459" s="376" t="s">
        <v>644</v>
      </c>
      <c r="D3459" s="376">
        <v>2028</v>
      </c>
      <c r="E3459" s="376">
        <v>2031</v>
      </c>
      <c r="F3459" s="376">
        <v>1</v>
      </c>
      <c r="G3459" s="376">
        <v>3313.6765247303902</v>
      </c>
      <c r="H3459" s="376">
        <v>0</v>
      </c>
      <c r="I3459" s="376">
        <v>1</v>
      </c>
    </row>
    <row r="3460" spans="1:9" x14ac:dyDescent="0.35">
      <c r="A3460" s="376" t="s">
        <v>1636</v>
      </c>
      <c r="B3460" s="376" t="s">
        <v>1609</v>
      </c>
      <c r="C3460" s="376" t="s">
        <v>628</v>
      </c>
      <c r="D3460" s="376">
        <v>2028</v>
      </c>
      <c r="E3460" s="376">
        <v>2031</v>
      </c>
      <c r="F3460" s="376">
        <v>1</v>
      </c>
      <c r="G3460" s="376">
        <v>3313.6765247303902</v>
      </c>
      <c r="H3460" s="376">
        <v>0</v>
      </c>
      <c r="I3460" s="376">
        <v>1</v>
      </c>
    </row>
    <row r="3461" spans="1:9" x14ac:dyDescent="0.35">
      <c r="A3461" s="376" t="s">
        <v>1636</v>
      </c>
      <c r="B3461" s="376" t="s">
        <v>1609</v>
      </c>
      <c r="C3461" s="376" t="s">
        <v>1051</v>
      </c>
      <c r="D3461" s="376">
        <v>2028</v>
      </c>
      <c r="E3461" s="376">
        <v>2031</v>
      </c>
      <c r="F3461" s="376">
        <v>1</v>
      </c>
      <c r="G3461" s="376">
        <v>3313.6765247303902</v>
      </c>
      <c r="H3461" s="376">
        <v>0</v>
      </c>
      <c r="I3461" s="376">
        <v>1</v>
      </c>
    </row>
    <row r="3462" spans="1:9" x14ac:dyDescent="0.35">
      <c r="A3462" s="376" t="s">
        <v>1636</v>
      </c>
      <c r="B3462" s="376" t="s">
        <v>1609</v>
      </c>
      <c r="C3462" s="376" t="s">
        <v>1054</v>
      </c>
      <c r="D3462" s="376">
        <v>2028</v>
      </c>
      <c r="E3462" s="376">
        <v>2031</v>
      </c>
      <c r="F3462" s="376">
        <v>1</v>
      </c>
      <c r="G3462" s="376">
        <v>3313.6765247303902</v>
      </c>
      <c r="H3462" s="376">
        <v>0</v>
      </c>
      <c r="I3462" s="376">
        <v>1</v>
      </c>
    </row>
    <row r="3463" spans="1:9" x14ac:dyDescent="0.35">
      <c r="A3463" s="376" t="s">
        <v>1606</v>
      </c>
      <c r="B3463" s="376" t="s">
        <v>1609</v>
      </c>
      <c r="C3463" s="376" t="s">
        <v>1046</v>
      </c>
      <c r="D3463" s="376">
        <v>2028</v>
      </c>
      <c r="E3463" s="376">
        <v>2028</v>
      </c>
      <c r="F3463" s="376">
        <v>1</v>
      </c>
      <c r="G3463" s="376">
        <v>5757.1988406000783</v>
      </c>
      <c r="H3463" s="376">
        <v>0</v>
      </c>
      <c r="I3463" s="376">
        <v>1</v>
      </c>
    </row>
    <row r="3464" spans="1:9" x14ac:dyDescent="0.35">
      <c r="A3464" s="376" t="s">
        <v>1606</v>
      </c>
      <c r="B3464" s="376" t="s">
        <v>1609</v>
      </c>
      <c r="C3464" s="376" t="s">
        <v>644</v>
      </c>
      <c r="D3464" s="376">
        <v>2028</v>
      </c>
      <c r="E3464" s="376">
        <v>2028</v>
      </c>
      <c r="F3464" s="376">
        <v>1</v>
      </c>
      <c r="G3464" s="376">
        <v>5757.1988406000783</v>
      </c>
      <c r="H3464" s="376">
        <v>0</v>
      </c>
      <c r="I3464" s="376">
        <v>1</v>
      </c>
    </row>
    <row r="3465" spans="1:9" x14ac:dyDescent="0.35">
      <c r="A3465" s="376" t="s">
        <v>1606</v>
      </c>
      <c r="B3465" s="376" t="s">
        <v>1609</v>
      </c>
      <c r="C3465" s="376" t="s">
        <v>628</v>
      </c>
      <c r="D3465" s="376">
        <v>2028</v>
      </c>
      <c r="E3465" s="376">
        <v>2028</v>
      </c>
      <c r="F3465" s="376">
        <v>1</v>
      </c>
      <c r="G3465" s="376">
        <v>5757.1988406000783</v>
      </c>
      <c r="H3465" s="376">
        <v>0</v>
      </c>
      <c r="I3465" s="376">
        <v>1</v>
      </c>
    </row>
    <row r="3466" spans="1:9" x14ac:dyDescent="0.35">
      <c r="A3466" s="376" t="s">
        <v>1606</v>
      </c>
      <c r="B3466" s="376" t="s">
        <v>1609</v>
      </c>
      <c r="C3466" s="376" t="s">
        <v>1051</v>
      </c>
      <c r="D3466" s="376">
        <v>2028</v>
      </c>
      <c r="E3466" s="376">
        <v>2028</v>
      </c>
      <c r="F3466" s="376">
        <v>1</v>
      </c>
      <c r="G3466" s="376">
        <v>5757.1988406000783</v>
      </c>
      <c r="H3466" s="376">
        <v>0</v>
      </c>
      <c r="I3466" s="376">
        <v>1</v>
      </c>
    </row>
    <row r="3467" spans="1:9" x14ac:dyDescent="0.35">
      <c r="A3467" s="376" t="s">
        <v>1606</v>
      </c>
      <c r="B3467" s="376" t="s">
        <v>1609</v>
      </c>
      <c r="C3467" s="376" t="s">
        <v>1054</v>
      </c>
      <c r="D3467" s="376">
        <v>2028</v>
      </c>
      <c r="E3467" s="376">
        <v>2028</v>
      </c>
      <c r="F3467" s="376">
        <v>1</v>
      </c>
      <c r="G3467" s="376">
        <v>5757.1988406000783</v>
      </c>
      <c r="H3467" s="376">
        <v>0</v>
      </c>
      <c r="I3467" s="376">
        <v>1</v>
      </c>
    </row>
    <row r="3468" spans="1:9" x14ac:dyDescent="0.35">
      <c r="A3468" s="376" t="s">
        <v>1606</v>
      </c>
      <c r="B3468" s="376" t="s">
        <v>1609</v>
      </c>
      <c r="C3468" s="376" t="s">
        <v>1046</v>
      </c>
      <c r="D3468" s="376">
        <v>2028</v>
      </c>
      <c r="E3468" s="376">
        <v>2029</v>
      </c>
      <c r="F3468" s="376">
        <v>1</v>
      </c>
      <c r="G3468" s="376">
        <v>5757.1988406000783</v>
      </c>
      <c r="H3468" s="376">
        <v>0</v>
      </c>
      <c r="I3468" s="376">
        <v>1</v>
      </c>
    </row>
    <row r="3469" spans="1:9" x14ac:dyDescent="0.35">
      <c r="A3469" s="376" t="s">
        <v>1606</v>
      </c>
      <c r="B3469" s="376" t="s">
        <v>1609</v>
      </c>
      <c r="C3469" s="376" t="s">
        <v>644</v>
      </c>
      <c r="D3469" s="376">
        <v>2028</v>
      </c>
      <c r="E3469" s="376">
        <v>2029</v>
      </c>
      <c r="F3469" s="376">
        <v>1</v>
      </c>
      <c r="G3469" s="376">
        <v>5757.1988406000783</v>
      </c>
      <c r="H3469" s="376">
        <v>0</v>
      </c>
      <c r="I3469" s="376">
        <v>1</v>
      </c>
    </row>
    <row r="3470" spans="1:9" x14ac:dyDescent="0.35">
      <c r="A3470" s="376" t="s">
        <v>1606</v>
      </c>
      <c r="B3470" s="376" t="s">
        <v>1609</v>
      </c>
      <c r="C3470" s="376" t="s">
        <v>628</v>
      </c>
      <c r="D3470" s="376">
        <v>2028</v>
      </c>
      <c r="E3470" s="376">
        <v>2029</v>
      </c>
      <c r="F3470" s="376">
        <v>1</v>
      </c>
      <c r="G3470" s="376">
        <v>5757.1988406000783</v>
      </c>
      <c r="H3470" s="376">
        <v>0</v>
      </c>
      <c r="I3470" s="376">
        <v>1</v>
      </c>
    </row>
    <row r="3471" spans="1:9" x14ac:dyDescent="0.35">
      <c r="A3471" s="376" t="s">
        <v>1606</v>
      </c>
      <c r="B3471" s="376" t="s">
        <v>1609</v>
      </c>
      <c r="C3471" s="376" t="s">
        <v>1051</v>
      </c>
      <c r="D3471" s="376">
        <v>2028</v>
      </c>
      <c r="E3471" s="376">
        <v>2029</v>
      </c>
      <c r="F3471" s="376">
        <v>1</v>
      </c>
      <c r="G3471" s="376">
        <v>5757.1988406000783</v>
      </c>
      <c r="H3471" s="376">
        <v>0</v>
      </c>
      <c r="I3471" s="376">
        <v>1</v>
      </c>
    </row>
    <row r="3472" spans="1:9" x14ac:dyDescent="0.35">
      <c r="A3472" s="376" t="s">
        <v>1606</v>
      </c>
      <c r="B3472" s="376" t="s">
        <v>1609</v>
      </c>
      <c r="C3472" s="376" t="s">
        <v>1054</v>
      </c>
      <c r="D3472" s="376">
        <v>2028</v>
      </c>
      <c r="E3472" s="376">
        <v>2029</v>
      </c>
      <c r="F3472" s="376">
        <v>1</v>
      </c>
      <c r="G3472" s="376">
        <v>5757.1988406000783</v>
      </c>
      <c r="H3472" s="376">
        <v>0</v>
      </c>
      <c r="I3472" s="376">
        <v>1</v>
      </c>
    </row>
    <row r="3473" spans="1:9" x14ac:dyDescent="0.35">
      <c r="A3473" s="376" t="s">
        <v>1606</v>
      </c>
      <c r="B3473" s="376" t="s">
        <v>1609</v>
      </c>
      <c r="C3473" s="376" t="s">
        <v>1046</v>
      </c>
      <c r="D3473" s="376">
        <v>2028</v>
      </c>
      <c r="E3473" s="376">
        <v>2030</v>
      </c>
      <c r="F3473" s="376">
        <v>1</v>
      </c>
      <c r="G3473" s="376">
        <v>5757.1988406000783</v>
      </c>
      <c r="H3473" s="376">
        <v>0</v>
      </c>
      <c r="I3473" s="376">
        <v>1</v>
      </c>
    </row>
    <row r="3474" spans="1:9" x14ac:dyDescent="0.35">
      <c r="A3474" s="376" t="s">
        <v>1606</v>
      </c>
      <c r="B3474" s="376" t="s">
        <v>1609</v>
      </c>
      <c r="C3474" s="376" t="s">
        <v>644</v>
      </c>
      <c r="D3474" s="376">
        <v>2028</v>
      </c>
      <c r="E3474" s="376">
        <v>2030</v>
      </c>
      <c r="F3474" s="376">
        <v>1</v>
      </c>
      <c r="G3474" s="376">
        <v>5757.1988406000783</v>
      </c>
      <c r="H3474" s="376">
        <v>0</v>
      </c>
      <c r="I3474" s="376">
        <v>1</v>
      </c>
    </row>
    <row r="3475" spans="1:9" x14ac:dyDescent="0.35">
      <c r="A3475" s="376" t="s">
        <v>1606</v>
      </c>
      <c r="B3475" s="376" t="s">
        <v>1609</v>
      </c>
      <c r="C3475" s="376" t="s">
        <v>628</v>
      </c>
      <c r="D3475" s="376">
        <v>2028</v>
      </c>
      <c r="E3475" s="376">
        <v>2030</v>
      </c>
      <c r="F3475" s="376">
        <v>1</v>
      </c>
      <c r="G3475" s="376">
        <v>5757.1988406000783</v>
      </c>
      <c r="H3475" s="376">
        <v>0</v>
      </c>
      <c r="I3475" s="376">
        <v>1</v>
      </c>
    </row>
    <row r="3476" spans="1:9" x14ac:dyDescent="0.35">
      <c r="A3476" s="376" t="s">
        <v>1606</v>
      </c>
      <c r="B3476" s="376" t="s">
        <v>1609</v>
      </c>
      <c r="C3476" s="376" t="s">
        <v>1051</v>
      </c>
      <c r="D3476" s="376">
        <v>2028</v>
      </c>
      <c r="E3476" s="376">
        <v>2030</v>
      </c>
      <c r="F3476" s="376">
        <v>1</v>
      </c>
      <c r="G3476" s="376">
        <v>5757.1988406000783</v>
      </c>
      <c r="H3476" s="376">
        <v>0</v>
      </c>
      <c r="I3476" s="376">
        <v>1</v>
      </c>
    </row>
    <row r="3477" spans="1:9" x14ac:dyDescent="0.35">
      <c r="A3477" s="376" t="s">
        <v>1606</v>
      </c>
      <c r="B3477" s="376" t="s">
        <v>1609</v>
      </c>
      <c r="C3477" s="376" t="s">
        <v>1054</v>
      </c>
      <c r="D3477" s="376">
        <v>2028</v>
      </c>
      <c r="E3477" s="376">
        <v>2030</v>
      </c>
      <c r="F3477" s="376">
        <v>1</v>
      </c>
      <c r="G3477" s="376">
        <v>5757.1988406000783</v>
      </c>
      <c r="H3477" s="376">
        <v>0</v>
      </c>
      <c r="I3477" s="376">
        <v>1</v>
      </c>
    </row>
    <row r="3478" spans="1:9" x14ac:dyDescent="0.35">
      <c r="A3478" s="376" t="s">
        <v>1606</v>
      </c>
      <c r="B3478" s="376" t="s">
        <v>1609</v>
      </c>
      <c r="C3478" s="376" t="s">
        <v>1046</v>
      </c>
      <c r="D3478" s="376">
        <v>2028</v>
      </c>
      <c r="E3478" s="376">
        <v>2031</v>
      </c>
      <c r="F3478" s="376">
        <v>1</v>
      </c>
      <c r="G3478" s="376">
        <v>5757.1988406000783</v>
      </c>
      <c r="H3478" s="376">
        <v>0</v>
      </c>
      <c r="I3478" s="376">
        <v>1</v>
      </c>
    </row>
    <row r="3479" spans="1:9" x14ac:dyDescent="0.35">
      <c r="A3479" s="376" t="s">
        <v>1606</v>
      </c>
      <c r="B3479" s="376" t="s">
        <v>1609</v>
      </c>
      <c r="C3479" s="376" t="s">
        <v>644</v>
      </c>
      <c r="D3479" s="376">
        <v>2028</v>
      </c>
      <c r="E3479" s="376">
        <v>2031</v>
      </c>
      <c r="F3479" s="376">
        <v>1</v>
      </c>
      <c r="G3479" s="376">
        <v>5757.1988406000783</v>
      </c>
      <c r="H3479" s="376">
        <v>0</v>
      </c>
      <c r="I3479" s="376">
        <v>1</v>
      </c>
    </row>
    <row r="3480" spans="1:9" x14ac:dyDescent="0.35">
      <c r="A3480" s="376" t="s">
        <v>1606</v>
      </c>
      <c r="B3480" s="376" t="s">
        <v>1609</v>
      </c>
      <c r="C3480" s="376" t="s">
        <v>628</v>
      </c>
      <c r="D3480" s="376">
        <v>2028</v>
      </c>
      <c r="E3480" s="376">
        <v>2031</v>
      </c>
      <c r="F3480" s="376">
        <v>1</v>
      </c>
      <c r="G3480" s="376">
        <v>5757.1988406000783</v>
      </c>
      <c r="H3480" s="376">
        <v>0</v>
      </c>
      <c r="I3480" s="376">
        <v>1</v>
      </c>
    </row>
    <row r="3481" spans="1:9" x14ac:dyDescent="0.35">
      <c r="A3481" s="376" t="s">
        <v>1606</v>
      </c>
      <c r="B3481" s="376" t="s">
        <v>1609</v>
      </c>
      <c r="C3481" s="376" t="s">
        <v>1051</v>
      </c>
      <c r="D3481" s="376">
        <v>2028</v>
      </c>
      <c r="E3481" s="376">
        <v>2031</v>
      </c>
      <c r="F3481" s="376">
        <v>1</v>
      </c>
      <c r="G3481" s="376">
        <v>5757.1988406000783</v>
      </c>
      <c r="H3481" s="376">
        <v>0</v>
      </c>
      <c r="I3481" s="376">
        <v>1</v>
      </c>
    </row>
    <row r="3482" spans="1:9" x14ac:dyDescent="0.35">
      <c r="A3482" s="376" t="s">
        <v>1606</v>
      </c>
      <c r="B3482" s="376" t="s">
        <v>1609</v>
      </c>
      <c r="C3482" s="376" t="s">
        <v>1054</v>
      </c>
      <c r="D3482" s="376">
        <v>2028</v>
      </c>
      <c r="E3482" s="376">
        <v>2031</v>
      </c>
      <c r="F3482" s="376">
        <v>1</v>
      </c>
      <c r="G3482" s="376">
        <v>5757.1988406000783</v>
      </c>
      <c r="H3482" s="376">
        <v>0</v>
      </c>
      <c r="I3482" s="376">
        <v>1</v>
      </c>
    </row>
    <row r="3483" spans="1:9" x14ac:dyDescent="0.35">
      <c r="A3483" s="376" t="s">
        <v>1612</v>
      </c>
      <c r="B3483" s="376" t="s">
        <v>1609</v>
      </c>
      <c r="C3483" s="376" t="s">
        <v>1046</v>
      </c>
      <c r="D3483" s="376">
        <v>2029</v>
      </c>
      <c r="E3483" s="376">
        <v>2029</v>
      </c>
      <c r="F3483" s="376">
        <v>0.37384575124303709</v>
      </c>
      <c r="G3483" s="376">
        <v>9928.6887826901675</v>
      </c>
      <c r="H3483" s="376">
        <v>0.29004701064855837</v>
      </c>
      <c r="I3483" s="376">
        <v>0.85</v>
      </c>
    </row>
    <row r="3484" spans="1:9" x14ac:dyDescent="0.35">
      <c r="A3484" s="376" t="s">
        <v>1612</v>
      </c>
      <c r="B3484" s="376" t="s">
        <v>1609</v>
      </c>
      <c r="C3484" s="376" t="s">
        <v>644</v>
      </c>
      <c r="D3484" s="376">
        <v>2029</v>
      </c>
      <c r="E3484" s="376">
        <v>2029</v>
      </c>
      <c r="F3484" s="376">
        <v>0.37384575124303709</v>
      </c>
      <c r="G3484" s="376">
        <v>9928.6887826901675</v>
      </c>
      <c r="H3484" s="376">
        <v>0.29004701064855837</v>
      </c>
      <c r="I3484" s="376">
        <v>0.85</v>
      </c>
    </row>
    <row r="3485" spans="1:9" x14ac:dyDescent="0.35">
      <c r="A3485" s="376" t="s">
        <v>1612</v>
      </c>
      <c r="B3485" s="376" t="s">
        <v>1609</v>
      </c>
      <c r="C3485" s="376" t="s">
        <v>628</v>
      </c>
      <c r="D3485" s="376">
        <v>2029</v>
      </c>
      <c r="E3485" s="376">
        <v>2029</v>
      </c>
      <c r="F3485" s="376">
        <v>0.37384575124303709</v>
      </c>
      <c r="G3485" s="376">
        <v>9928.6887826901675</v>
      </c>
      <c r="H3485" s="376">
        <v>0.29004701064855837</v>
      </c>
      <c r="I3485" s="376">
        <v>0.85</v>
      </c>
    </row>
    <row r="3486" spans="1:9" x14ac:dyDescent="0.35">
      <c r="A3486" s="376" t="s">
        <v>1612</v>
      </c>
      <c r="B3486" s="376" t="s">
        <v>1609</v>
      </c>
      <c r="C3486" s="376" t="s">
        <v>1051</v>
      </c>
      <c r="D3486" s="376">
        <v>2029</v>
      </c>
      <c r="E3486" s="376">
        <v>2029</v>
      </c>
      <c r="F3486" s="376">
        <v>0.37384575124303709</v>
      </c>
      <c r="G3486" s="376">
        <v>9928.6887826901675</v>
      </c>
      <c r="H3486" s="376">
        <v>0.29004701064855837</v>
      </c>
      <c r="I3486" s="376">
        <v>0.85</v>
      </c>
    </row>
    <row r="3487" spans="1:9" x14ac:dyDescent="0.35">
      <c r="A3487" s="376" t="s">
        <v>1612</v>
      </c>
      <c r="B3487" s="376" t="s">
        <v>1609</v>
      </c>
      <c r="C3487" s="376" t="s">
        <v>1054</v>
      </c>
      <c r="D3487" s="376">
        <v>2029</v>
      </c>
      <c r="E3487" s="376">
        <v>2029</v>
      </c>
      <c r="F3487" s="376">
        <v>0.37384575124303709</v>
      </c>
      <c r="G3487" s="376">
        <v>9928.6887826901675</v>
      </c>
      <c r="H3487" s="376">
        <v>0.29004701064855837</v>
      </c>
      <c r="I3487" s="376">
        <v>0.85</v>
      </c>
    </row>
    <row r="3488" spans="1:9" x14ac:dyDescent="0.35">
      <c r="A3488" s="376" t="s">
        <v>1612</v>
      </c>
      <c r="B3488" s="376" t="s">
        <v>1609</v>
      </c>
      <c r="C3488" s="376" t="s">
        <v>1046</v>
      </c>
      <c r="D3488" s="376">
        <v>2029</v>
      </c>
      <c r="E3488" s="376">
        <v>2030</v>
      </c>
      <c r="F3488" s="376">
        <v>0.37384575124303709</v>
      </c>
      <c r="G3488" s="376">
        <v>9928.6887826901675</v>
      </c>
      <c r="H3488" s="376">
        <v>0.29004701064855837</v>
      </c>
      <c r="I3488" s="376">
        <v>0.85</v>
      </c>
    </row>
    <row r="3489" spans="1:9" x14ac:dyDescent="0.35">
      <c r="A3489" s="376" t="s">
        <v>1612</v>
      </c>
      <c r="B3489" s="376" t="s">
        <v>1609</v>
      </c>
      <c r="C3489" s="376" t="s">
        <v>644</v>
      </c>
      <c r="D3489" s="376">
        <v>2029</v>
      </c>
      <c r="E3489" s="376">
        <v>2030</v>
      </c>
      <c r="F3489" s="376">
        <v>0.37384575124303709</v>
      </c>
      <c r="G3489" s="376">
        <v>9928.6887826901675</v>
      </c>
      <c r="H3489" s="376">
        <v>0.29004701064855837</v>
      </c>
      <c r="I3489" s="376">
        <v>0.85</v>
      </c>
    </row>
    <row r="3490" spans="1:9" x14ac:dyDescent="0.35">
      <c r="A3490" s="376" t="s">
        <v>1612</v>
      </c>
      <c r="B3490" s="376" t="s">
        <v>1609</v>
      </c>
      <c r="C3490" s="376" t="s">
        <v>628</v>
      </c>
      <c r="D3490" s="376">
        <v>2029</v>
      </c>
      <c r="E3490" s="376">
        <v>2030</v>
      </c>
      <c r="F3490" s="376">
        <v>0.37384575124303709</v>
      </c>
      <c r="G3490" s="376">
        <v>9928.6887826901675</v>
      </c>
      <c r="H3490" s="376">
        <v>0.29004701064855837</v>
      </c>
      <c r="I3490" s="376">
        <v>0.85</v>
      </c>
    </row>
    <row r="3491" spans="1:9" x14ac:dyDescent="0.35">
      <c r="A3491" s="376" t="s">
        <v>1612</v>
      </c>
      <c r="B3491" s="376" t="s">
        <v>1609</v>
      </c>
      <c r="C3491" s="376" t="s">
        <v>1051</v>
      </c>
      <c r="D3491" s="376">
        <v>2029</v>
      </c>
      <c r="E3491" s="376">
        <v>2030</v>
      </c>
      <c r="F3491" s="376">
        <v>0.37384575124303709</v>
      </c>
      <c r="G3491" s="376">
        <v>9928.6887826901675</v>
      </c>
      <c r="H3491" s="376">
        <v>0.29004701064855837</v>
      </c>
      <c r="I3491" s="376">
        <v>0.85</v>
      </c>
    </row>
    <row r="3492" spans="1:9" x14ac:dyDescent="0.35">
      <c r="A3492" s="376" t="s">
        <v>1612</v>
      </c>
      <c r="B3492" s="376" t="s">
        <v>1609</v>
      </c>
      <c r="C3492" s="376" t="s">
        <v>1054</v>
      </c>
      <c r="D3492" s="376">
        <v>2029</v>
      </c>
      <c r="E3492" s="376">
        <v>2030</v>
      </c>
      <c r="F3492" s="376">
        <v>0.37384575124303709</v>
      </c>
      <c r="G3492" s="376">
        <v>9928.6887826901675</v>
      </c>
      <c r="H3492" s="376">
        <v>0.29004701064855837</v>
      </c>
      <c r="I3492" s="376">
        <v>0.85</v>
      </c>
    </row>
    <row r="3493" spans="1:9" x14ac:dyDescent="0.35">
      <c r="A3493" s="376" t="s">
        <v>1612</v>
      </c>
      <c r="B3493" s="376" t="s">
        <v>1609</v>
      </c>
      <c r="C3493" s="376" t="s">
        <v>1046</v>
      </c>
      <c r="D3493" s="376">
        <v>2029</v>
      </c>
      <c r="E3493" s="376">
        <v>2031</v>
      </c>
      <c r="F3493" s="376">
        <v>0.37384575124303709</v>
      </c>
      <c r="G3493" s="376">
        <v>9928.6887826901675</v>
      </c>
      <c r="H3493" s="376">
        <v>0.29004701064855837</v>
      </c>
      <c r="I3493" s="376">
        <v>0.85</v>
      </c>
    </row>
    <row r="3494" spans="1:9" x14ac:dyDescent="0.35">
      <c r="A3494" s="376" t="s">
        <v>1612</v>
      </c>
      <c r="B3494" s="376" t="s">
        <v>1609</v>
      </c>
      <c r="C3494" s="376" t="s">
        <v>644</v>
      </c>
      <c r="D3494" s="376">
        <v>2029</v>
      </c>
      <c r="E3494" s="376">
        <v>2031</v>
      </c>
      <c r="F3494" s="376">
        <v>0.37384575124303709</v>
      </c>
      <c r="G3494" s="376">
        <v>9928.6887826901675</v>
      </c>
      <c r="H3494" s="376">
        <v>0.29004701064855837</v>
      </c>
      <c r="I3494" s="376">
        <v>0.85</v>
      </c>
    </row>
    <row r="3495" spans="1:9" x14ac:dyDescent="0.35">
      <c r="A3495" s="376" t="s">
        <v>1612</v>
      </c>
      <c r="B3495" s="376" t="s">
        <v>1609</v>
      </c>
      <c r="C3495" s="376" t="s">
        <v>628</v>
      </c>
      <c r="D3495" s="376">
        <v>2029</v>
      </c>
      <c r="E3495" s="376">
        <v>2031</v>
      </c>
      <c r="F3495" s="376">
        <v>0.37384575124303709</v>
      </c>
      <c r="G3495" s="376">
        <v>9928.6887826901675</v>
      </c>
      <c r="H3495" s="376">
        <v>0.29004701064855837</v>
      </c>
      <c r="I3495" s="376">
        <v>0.85</v>
      </c>
    </row>
    <row r="3496" spans="1:9" x14ac:dyDescent="0.35">
      <c r="A3496" s="376" t="s">
        <v>1612</v>
      </c>
      <c r="B3496" s="376" t="s">
        <v>1609</v>
      </c>
      <c r="C3496" s="376" t="s">
        <v>1051</v>
      </c>
      <c r="D3496" s="376">
        <v>2029</v>
      </c>
      <c r="E3496" s="376">
        <v>2031</v>
      </c>
      <c r="F3496" s="376">
        <v>0.37384575124303709</v>
      </c>
      <c r="G3496" s="376">
        <v>9928.6887826901675</v>
      </c>
      <c r="H3496" s="376">
        <v>0.29004701064855837</v>
      </c>
      <c r="I3496" s="376">
        <v>0.85</v>
      </c>
    </row>
    <row r="3497" spans="1:9" x14ac:dyDescent="0.35">
      <c r="A3497" s="376" t="s">
        <v>1612</v>
      </c>
      <c r="B3497" s="376" t="s">
        <v>1609</v>
      </c>
      <c r="C3497" s="376" t="s">
        <v>1054</v>
      </c>
      <c r="D3497" s="376">
        <v>2029</v>
      </c>
      <c r="E3497" s="376">
        <v>2031</v>
      </c>
      <c r="F3497" s="376">
        <v>0.37384575124303709</v>
      </c>
      <c r="G3497" s="376">
        <v>9928.6887826901675</v>
      </c>
      <c r="H3497" s="376">
        <v>0.29004701064855837</v>
      </c>
      <c r="I3497" s="376">
        <v>0.85</v>
      </c>
    </row>
    <row r="3498" spans="1:9" x14ac:dyDescent="0.35">
      <c r="A3498" s="376" t="s">
        <v>1613</v>
      </c>
      <c r="B3498" s="376" t="s">
        <v>1609</v>
      </c>
      <c r="C3498" s="376" t="s">
        <v>1046</v>
      </c>
      <c r="D3498" s="376">
        <v>2029</v>
      </c>
      <c r="E3498" s="376">
        <v>2029</v>
      </c>
      <c r="F3498" s="376">
        <v>0.40444272241720852</v>
      </c>
      <c r="G3498" s="376">
        <v>8848.5269568257354</v>
      </c>
      <c r="H3498" s="376">
        <v>0.27824261165470277</v>
      </c>
      <c r="I3498" s="376">
        <v>0.85</v>
      </c>
    </row>
    <row r="3499" spans="1:9" x14ac:dyDescent="0.35">
      <c r="A3499" s="376" t="s">
        <v>1613</v>
      </c>
      <c r="B3499" s="376" t="s">
        <v>1609</v>
      </c>
      <c r="C3499" s="376" t="s">
        <v>644</v>
      </c>
      <c r="D3499" s="376">
        <v>2029</v>
      </c>
      <c r="E3499" s="376">
        <v>2029</v>
      </c>
      <c r="F3499" s="376">
        <v>0.40444272241720852</v>
      </c>
      <c r="G3499" s="376">
        <v>8848.5269568257354</v>
      </c>
      <c r="H3499" s="376">
        <v>0.27824261165470277</v>
      </c>
      <c r="I3499" s="376">
        <v>0.85</v>
      </c>
    </row>
    <row r="3500" spans="1:9" x14ac:dyDescent="0.35">
      <c r="A3500" s="376" t="s">
        <v>1613</v>
      </c>
      <c r="B3500" s="376" t="s">
        <v>1609</v>
      </c>
      <c r="C3500" s="376" t="s">
        <v>628</v>
      </c>
      <c r="D3500" s="376">
        <v>2029</v>
      </c>
      <c r="E3500" s="376">
        <v>2029</v>
      </c>
      <c r="F3500" s="376">
        <v>0.40444272241720852</v>
      </c>
      <c r="G3500" s="376">
        <v>8848.5269568257354</v>
      </c>
      <c r="H3500" s="376">
        <v>0.27824261165470277</v>
      </c>
      <c r="I3500" s="376">
        <v>0.85</v>
      </c>
    </row>
    <row r="3501" spans="1:9" x14ac:dyDescent="0.35">
      <c r="A3501" s="376" t="s">
        <v>1613</v>
      </c>
      <c r="B3501" s="376" t="s">
        <v>1609</v>
      </c>
      <c r="C3501" s="376" t="s">
        <v>1051</v>
      </c>
      <c r="D3501" s="376">
        <v>2029</v>
      </c>
      <c r="E3501" s="376">
        <v>2029</v>
      </c>
      <c r="F3501" s="376">
        <v>0.40444272241720852</v>
      </c>
      <c r="G3501" s="376">
        <v>8848.5269568257354</v>
      </c>
      <c r="H3501" s="376">
        <v>0.27824261165470277</v>
      </c>
      <c r="I3501" s="376">
        <v>0.85</v>
      </c>
    </row>
    <row r="3502" spans="1:9" x14ac:dyDescent="0.35">
      <c r="A3502" s="376" t="s">
        <v>1613</v>
      </c>
      <c r="B3502" s="376" t="s">
        <v>1609</v>
      </c>
      <c r="C3502" s="376" t="s">
        <v>1054</v>
      </c>
      <c r="D3502" s="376">
        <v>2029</v>
      </c>
      <c r="E3502" s="376">
        <v>2029</v>
      </c>
      <c r="F3502" s="376">
        <v>0.40444272241720852</v>
      </c>
      <c r="G3502" s="376">
        <v>8848.5269568257354</v>
      </c>
      <c r="H3502" s="376">
        <v>0.27824261165470277</v>
      </c>
      <c r="I3502" s="376">
        <v>0.85</v>
      </c>
    </row>
    <row r="3503" spans="1:9" x14ac:dyDescent="0.35">
      <c r="A3503" s="376" t="s">
        <v>1613</v>
      </c>
      <c r="B3503" s="376" t="s">
        <v>1609</v>
      </c>
      <c r="C3503" s="376" t="s">
        <v>1046</v>
      </c>
      <c r="D3503" s="376">
        <v>2029</v>
      </c>
      <c r="E3503" s="376">
        <v>2030</v>
      </c>
      <c r="F3503" s="376">
        <v>0.40444272241720852</v>
      </c>
      <c r="G3503" s="376">
        <v>8848.5269568257354</v>
      </c>
      <c r="H3503" s="376">
        <v>0.27824261165470277</v>
      </c>
      <c r="I3503" s="376">
        <v>0.85</v>
      </c>
    </row>
    <row r="3504" spans="1:9" x14ac:dyDescent="0.35">
      <c r="A3504" s="376" t="s">
        <v>1613</v>
      </c>
      <c r="B3504" s="376" t="s">
        <v>1609</v>
      </c>
      <c r="C3504" s="376" t="s">
        <v>644</v>
      </c>
      <c r="D3504" s="376">
        <v>2029</v>
      </c>
      <c r="E3504" s="376">
        <v>2030</v>
      </c>
      <c r="F3504" s="376">
        <v>0.40444272241720852</v>
      </c>
      <c r="G3504" s="376">
        <v>8848.5269568257354</v>
      </c>
      <c r="H3504" s="376">
        <v>0.27824261165470277</v>
      </c>
      <c r="I3504" s="376">
        <v>0.85</v>
      </c>
    </row>
    <row r="3505" spans="1:9" x14ac:dyDescent="0.35">
      <c r="A3505" s="376" t="s">
        <v>1613</v>
      </c>
      <c r="B3505" s="376" t="s">
        <v>1609</v>
      </c>
      <c r="C3505" s="376" t="s">
        <v>628</v>
      </c>
      <c r="D3505" s="376">
        <v>2029</v>
      </c>
      <c r="E3505" s="376">
        <v>2030</v>
      </c>
      <c r="F3505" s="376">
        <v>0.40444272241720852</v>
      </c>
      <c r="G3505" s="376">
        <v>8848.5269568257354</v>
      </c>
      <c r="H3505" s="376">
        <v>0.27824261165470277</v>
      </c>
      <c r="I3505" s="376">
        <v>0.85</v>
      </c>
    </row>
    <row r="3506" spans="1:9" x14ac:dyDescent="0.35">
      <c r="A3506" s="376" t="s">
        <v>1613</v>
      </c>
      <c r="B3506" s="376" t="s">
        <v>1609</v>
      </c>
      <c r="C3506" s="376" t="s">
        <v>1051</v>
      </c>
      <c r="D3506" s="376">
        <v>2029</v>
      </c>
      <c r="E3506" s="376">
        <v>2030</v>
      </c>
      <c r="F3506" s="376">
        <v>0.40444272241720852</v>
      </c>
      <c r="G3506" s="376">
        <v>8848.5269568257354</v>
      </c>
      <c r="H3506" s="376">
        <v>0.27824261165470277</v>
      </c>
      <c r="I3506" s="376">
        <v>0.85</v>
      </c>
    </row>
    <row r="3507" spans="1:9" x14ac:dyDescent="0.35">
      <c r="A3507" s="376" t="s">
        <v>1613</v>
      </c>
      <c r="B3507" s="376" t="s">
        <v>1609</v>
      </c>
      <c r="C3507" s="376" t="s">
        <v>1054</v>
      </c>
      <c r="D3507" s="376">
        <v>2029</v>
      </c>
      <c r="E3507" s="376">
        <v>2030</v>
      </c>
      <c r="F3507" s="376">
        <v>0.40444272241720852</v>
      </c>
      <c r="G3507" s="376">
        <v>8848.5269568257354</v>
      </c>
      <c r="H3507" s="376">
        <v>0.27824261165470277</v>
      </c>
      <c r="I3507" s="376">
        <v>0.85</v>
      </c>
    </row>
    <row r="3508" spans="1:9" x14ac:dyDescent="0.35">
      <c r="A3508" s="376" t="s">
        <v>1613</v>
      </c>
      <c r="B3508" s="376" t="s">
        <v>1609</v>
      </c>
      <c r="C3508" s="376" t="s">
        <v>1046</v>
      </c>
      <c r="D3508" s="376">
        <v>2029</v>
      </c>
      <c r="E3508" s="376">
        <v>2031</v>
      </c>
      <c r="F3508" s="376">
        <v>0.40444272241720852</v>
      </c>
      <c r="G3508" s="376">
        <v>8848.5269568257354</v>
      </c>
      <c r="H3508" s="376">
        <v>0.27824261165470277</v>
      </c>
      <c r="I3508" s="376">
        <v>0.85</v>
      </c>
    </row>
    <row r="3509" spans="1:9" x14ac:dyDescent="0.35">
      <c r="A3509" s="376" t="s">
        <v>1613</v>
      </c>
      <c r="B3509" s="376" t="s">
        <v>1609</v>
      </c>
      <c r="C3509" s="376" t="s">
        <v>644</v>
      </c>
      <c r="D3509" s="376">
        <v>2029</v>
      </c>
      <c r="E3509" s="376">
        <v>2031</v>
      </c>
      <c r="F3509" s="376">
        <v>0.40444272241720852</v>
      </c>
      <c r="G3509" s="376">
        <v>8848.5269568257354</v>
      </c>
      <c r="H3509" s="376">
        <v>0.27824261165470277</v>
      </c>
      <c r="I3509" s="376">
        <v>0.85</v>
      </c>
    </row>
    <row r="3510" spans="1:9" x14ac:dyDescent="0.35">
      <c r="A3510" s="376" t="s">
        <v>1613</v>
      </c>
      <c r="B3510" s="376" t="s">
        <v>1609</v>
      </c>
      <c r="C3510" s="376" t="s">
        <v>628</v>
      </c>
      <c r="D3510" s="376">
        <v>2029</v>
      </c>
      <c r="E3510" s="376">
        <v>2031</v>
      </c>
      <c r="F3510" s="376">
        <v>0.40444272241720852</v>
      </c>
      <c r="G3510" s="376">
        <v>8848.5269568257354</v>
      </c>
      <c r="H3510" s="376">
        <v>0.27824261165470277</v>
      </c>
      <c r="I3510" s="376">
        <v>0.85</v>
      </c>
    </row>
    <row r="3511" spans="1:9" x14ac:dyDescent="0.35">
      <c r="A3511" s="376" t="s">
        <v>1613</v>
      </c>
      <c r="B3511" s="376" t="s">
        <v>1609</v>
      </c>
      <c r="C3511" s="376" t="s">
        <v>1051</v>
      </c>
      <c r="D3511" s="376">
        <v>2029</v>
      </c>
      <c r="E3511" s="376">
        <v>2031</v>
      </c>
      <c r="F3511" s="376">
        <v>0.40444272241720852</v>
      </c>
      <c r="G3511" s="376">
        <v>8848.5269568257354</v>
      </c>
      <c r="H3511" s="376">
        <v>0.27824261165470277</v>
      </c>
      <c r="I3511" s="376">
        <v>0.85</v>
      </c>
    </row>
    <row r="3512" spans="1:9" x14ac:dyDescent="0.35">
      <c r="A3512" s="376" t="s">
        <v>1613</v>
      </c>
      <c r="B3512" s="376" t="s">
        <v>1609</v>
      </c>
      <c r="C3512" s="376" t="s">
        <v>1054</v>
      </c>
      <c r="D3512" s="376">
        <v>2029</v>
      </c>
      <c r="E3512" s="376">
        <v>2031</v>
      </c>
      <c r="F3512" s="376">
        <v>0.40444272241720852</v>
      </c>
      <c r="G3512" s="376">
        <v>8848.5269568257354</v>
      </c>
      <c r="H3512" s="376">
        <v>0.27824261165470277</v>
      </c>
      <c r="I3512" s="376">
        <v>0.85</v>
      </c>
    </row>
    <row r="3513" spans="1:9" x14ac:dyDescent="0.35">
      <c r="A3513" s="376" t="s">
        <v>1614</v>
      </c>
      <c r="B3513" s="376" t="s">
        <v>1609</v>
      </c>
      <c r="C3513" s="376" t="s">
        <v>1046</v>
      </c>
      <c r="D3513" s="376">
        <v>2029</v>
      </c>
      <c r="E3513" s="376">
        <v>2029</v>
      </c>
      <c r="F3513" s="376">
        <v>0.28070162831646173</v>
      </c>
      <c r="G3513" s="376">
        <v>6454.3984013550207</v>
      </c>
      <c r="H3513" s="376">
        <v>0.27824261165470277</v>
      </c>
      <c r="I3513" s="376">
        <v>0.85</v>
      </c>
    </row>
    <row r="3514" spans="1:9" x14ac:dyDescent="0.35">
      <c r="A3514" s="376" t="s">
        <v>1614</v>
      </c>
      <c r="B3514" s="376" t="s">
        <v>1609</v>
      </c>
      <c r="C3514" s="376" t="s">
        <v>644</v>
      </c>
      <c r="D3514" s="376">
        <v>2029</v>
      </c>
      <c r="E3514" s="376">
        <v>2029</v>
      </c>
      <c r="F3514" s="376">
        <v>0.28070162831646173</v>
      </c>
      <c r="G3514" s="376">
        <v>6454.3984013550207</v>
      </c>
      <c r="H3514" s="376">
        <v>0.27824261165470277</v>
      </c>
      <c r="I3514" s="376">
        <v>0.85</v>
      </c>
    </row>
    <row r="3515" spans="1:9" x14ac:dyDescent="0.35">
      <c r="A3515" s="376" t="s">
        <v>1614</v>
      </c>
      <c r="B3515" s="376" t="s">
        <v>1609</v>
      </c>
      <c r="C3515" s="376" t="s">
        <v>628</v>
      </c>
      <c r="D3515" s="376">
        <v>2029</v>
      </c>
      <c r="E3515" s="376">
        <v>2029</v>
      </c>
      <c r="F3515" s="376">
        <v>0.28070162831646173</v>
      </c>
      <c r="G3515" s="376">
        <v>6454.3984013550207</v>
      </c>
      <c r="H3515" s="376">
        <v>0.27824261165470277</v>
      </c>
      <c r="I3515" s="376">
        <v>0.85</v>
      </c>
    </row>
    <row r="3516" spans="1:9" x14ac:dyDescent="0.35">
      <c r="A3516" s="376" t="s">
        <v>1614</v>
      </c>
      <c r="B3516" s="376" t="s">
        <v>1609</v>
      </c>
      <c r="C3516" s="376" t="s">
        <v>1051</v>
      </c>
      <c r="D3516" s="376">
        <v>2029</v>
      </c>
      <c r="E3516" s="376">
        <v>2029</v>
      </c>
      <c r="F3516" s="376">
        <v>0.28070162831646173</v>
      </c>
      <c r="G3516" s="376">
        <v>6454.3984013550207</v>
      </c>
      <c r="H3516" s="376">
        <v>0.27824261165470277</v>
      </c>
      <c r="I3516" s="376">
        <v>0.85</v>
      </c>
    </row>
    <row r="3517" spans="1:9" x14ac:dyDescent="0.35">
      <c r="A3517" s="376" t="s">
        <v>1614</v>
      </c>
      <c r="B3517" s="376" t="s">
        <v>1609</v>
      </c>
      <c r="C3517" s="376" t="s">
        <v>1054</v>
      </c>
      <c r="D3517" s="376">
        <v>2029</v>
      </c>
      <c r="E3517" s="376">
        <v>2029</v>
      </c>
      <c r="F3517" s="376">
        <v>0.28070162831646173</v>
      </c>
      <c r="G3517" s="376">
        <v>6454.3984013550207</v>
      </c>
      <c r="H3517" s="376">
        <v>0.27824261165470277</v>
      </c>
      <c r="I3517" s="376">
        <v>0.85</v>
      </c>
    </row>
    <row r="3518" spans="1:9" x14ac:dyDescent="0.35">
      <c r="A3518" s="376" t="s">
        <v>1614</v>
      </c>
      <c r="B3518" s="376" t="s">
        <v>1609</v>
      </c>
      <c r="C3518" s="376" t="s">
        <v>1046</v>
      </c>
      <c r="D3518" s="376">
        <v>2029</v>
      </c>
      <c r="E3518" s="376">
        <v>2030</v>
      </c>
      <c r="F3518" s="376">
        <v>0.28070162831646173</v>
      </c>
      <c r="G3518" s="376">
        <v>6454.3984013550207</v>
      </c>
      <c r="H3518" s="376">
        <v>0.27824261165470277</v>
      </c>
      <c r="I3518" s="376">
        <v>0.85</v>
      </c>
    </row>
    <row r="3519" spans="1:9" x14ac:dyDescent="0.35">
      <c r="A3519" s="376" t="s">
        <v>1614</v>
      </c>
      <c r="B3519" s="376" t="s">
        <v>1609</v>
      </c>
      <c r="C3519" s="376" t="s">
        <v>644</v>
      </c>
      <c r="D3519" s="376">
        <v>2029</v>
      </c>
      <c r="E3519" s="376">
        <v>2030</v>
      </c>
      <c r="F3519" s="376">
        <v>0.28070162831646173</v>
      </c>
      <c r="G3519" s="376">
        <v>6454.3984013550207</v>
      </c>
      <c r="H3519" s="376">
        <v>0.27824261165470277</v>
      </c>
      <c r="I3519" s="376">
        <v>0.85</v>
      </c>
    </row>
    <row r="3520" spans="1:9" x14ac:dyDescent="0.35">
      <c r="A3520" s="376" t="s">
        <v>1614</v>
      </c>
      <c r="B3520" s="376" t="s">
        <v>1609</v>
      </c>
      <c r="C3520" s="376" t="s">
        <v>628</v>
      </c>
      <c r="D3520" s="376">
        <v>2029</v>
      </c>
      <c r="E3520" s="376">
        <v>2030</v>
      </c>
      <c r="F3520" s="376">
        <v>0.28070162831646173</v>
      </c>
      <c r="G3520" s="376">
        <v>6454.3984013550207</v>
      </c>
      <c r="H3520" s="376">
        <v>0.27824261165470277</v>
      </c>
      <c r="I3520" s="376">
        <v>0.85</v>
      </c>
    </row>
    <row r="3521" spans="1:9" x14ac:dyDescent="0.35">
      <c r="A3521" s="376" t="s">
        <v>1614</v>
      </c>
      <c r="B3521" s="376" t="s">
        <v>1609</v>
      </c>
      <c r="C3521" s="376" t="s">
        <v>1051</v>
      </c>
      <c r="D3521" s="376">
        <v>2029</v>
      </c>
      <c r="E3521" s="376">
        <v>2030</v>
      </c>
      <c r="F3521" s="376">
        <v>0.28070162831646173</v>
      </c>
      <c r="G3521" s="376">
        <v>6454.3984013550207</v>
      </c>
      <c r="H3521" s="376">
        <v>0.27824261165470277</v>
      </c>
      <c r="I3521" s="376">
        <v>0.85</v>
      </c>
    </row>
    <row r="3522" spans="1:9" x14ac:dyDescent="0.35">
      <c r="A3522" s="376" t="s">
        <v>1614</v>
      </c>
      <c r="B3522" s="376" t="s">
        <v>1609</v>
      </c>
      <c r="C3522" s="376" t="s">
        <v>1054</v>
      </c>
      <c r="D3522" s="376">
        <v>2029</v>
      </c>
      <c r="E3522" s="376">
        <v>2030</v>
      </c>
      <c r="F3522" s="376">
        <v>0.28070162831646173</v>
      </c>
      <c r="G3522" s="376">
        <v>6454.3984013550207</v>
      </c>
      <c r="H3522" s="376">
        <v>0.27824261165470277</v>
      </c>
      <c r="I3522" s="376">
        <v>0.85</v>
      </c>
    </row>
    <row r="3523" spans="1:9" x14ac:dyDescent="0.35">
      <c r="A3523" s="376" t="s">
        <v>1614</v>
      </c>
      <c r="B3523" s="376" t="s">
        <v>1609</v>
      </c>
      <c r="C3523" s="376" t="s">
        <v>1046</v>
      </c>
      <c r="D3523" s="376">
        <v>2029</v>
      </c>
      <c r="E3523" s="376">
        <v>2031</v>
      </c>
      <c r="F3523" s="376">
        <v>0.28070162831646173</v>
      </c>
      <c r="G3523" s="376">
        <v>6454.3984013550207</v>
      </c>
      <c r="H3523" s="376">
        <v>0.27824261165470277</v>
      </c>
      <c r="I3523" s="376">
        <v>0.85</v>
      </c>
    </row>
    <row r="3524" spans="1:9" x14ac:dyDescent="0.35">
      <c r="A3524" s="376" t="s">
        <v>1614</v>
      </c>
      <c r="B3524" s="376" t="s">
        <v>1609</v>
      </c>
      <c r="C3524" s="376" t="s">
        <v>644</v>
      </c>
      <c r="D3524" s="376">
        <v>2029</v>
      </c>
      <c r="E3524" s="376">
        <v>2031</v>
      </c>
      <c r="F3524" s="376">
        <v>0.28070162831646173</v>
      </c>
      <c r="G3524" s="376">
        <v>6454.3984013550207</v>
      </c>
      <c r="H3524" s="376">
        <v>0.27824261165470277</v>
      </c>
      <c r="I3524" s="376">
        <v>0.85</v>
      </c>
    </row>
    <row r="3525" spans="1:9" x14ac:dyDescent="0.35">
      <c r="A3525" s="376" t="s">
        <v>1614</v>
      </c>
      <c r="B3525" s="376" t="s">
        <v>1609</v>
      </c>
      <c r="C3525" s="376" t="s">
        <v>628</v>
      </c>
      <c r="D3525" s="376">
        <v>2029</v>
      </c>
      <c r="E3525" s="376">
        <v>2031</v>
      </c>
      <c r="F3525" s="376">
        <v>0.28070162831646173</v>
      </c>
      <c r="G3525" s="376">
        <v>6454.3984013550207</v>
      </c>
      <c r="H3525" s="376">
        <v>0.27824261165470277</v>
      </c>
      <c r="I3525" s="376">
        <v>0.85</v>
      </c>
    </row>
    <row r="3526" spans="1:9" x14ac:dyDescent="0.35">
      <c r="A3526" s="376" t="s">
        <v>1614</v>
      </c>
      <c r="B3526" s="376" t="s">
        <v>1609</v>
      </c>
      <c r="C3526" s="376" t="s">
        <v>1051</v>
      </c>
      <c r="D3526" s="376">
        <v>2029</v>
      </c>
      <c r="E3526" s="376">
        <v>2031</v>
      </c>
      <c r="F3526" s="376">
        <v>0.28070162831646173</v>
      </c>
      <c r="G3526" s="376">
        <v>6454.3984013550207</v>
      </c>
      <c r="H3526" s="376">
        <v>0.27824261165470277</v>
      </c>
      <c r="I3526" s="376">
        <v>0.85</v>
      </c>
    </row>
    <row r="3527" spans="1:9" x14ac:dyDescent="0.35">
      <c r="A3527" s="376" t="s">
        <v>1614</v>
      </c>
      <c r="B3527" s="376" t="s">
        <v>1609</v>
      </c>
      <c r="C3527" s="376" t="s">
        <v>1054</v>
      </c>
      <c r="D3527" s="376">
        <v>2029</v>
      </c>
      <c r="E3527" s="376">
        <v>2031</v>
      </c>
      <c r="F3527" s="376">
        <v>0.28070162831646173</v>
      </c>
      <c r="G3527" s="376">
        <v>6454.3984013550207</v>
      </c>
      <c r="H3527" s="376">
        <v>0.27824261165470277</v>
      </c>
      <c r="I3527" s="376">
        <v>0.85</v>
      </c>
    </row>
    <row r="3528" spans="1:9" x14ac:dyDescent="0.35">
      <c r="A3528" s="376" t="s">
        <v>1604</v>
      </c>
      <c r="B3528" s="376" t="s">
        <v>1609</v>
      </c>
      <c r="C3528" s="376" t="s">
        <v>1046</v>
      </c>
      <c r="D3528" s="376">
        <v>2029</v>
      </c>
      <c r="E3528" s="376">
        <v>2029</v>
      </c>
      <c r="F3528" s="376">
        <v>1</v>
      </c>
      <c r="G3528" s="376">
        <v>10872.741503138899</v>
      </c>
      <c r="H3528" s="376">
        <v>0</v>
      </c>
      <c r="I3528" s="376">
        <v>1</v>
      </c>
    </row>
    <row r="3529" spans="1:9" x14ac:dyDescent="0.35">
      <c r="A3529" s="376" t="s">
        <v>1604</v>
      </c>
      <c r="B3529" s="376" t="s">
        <v>1609</v>
      </c>
      <c r="C3529" s="376" t="s">
        <v>644</v>
      </c>
      <c r="D3529" s="376">
        <v>2029</v>
      </c>
      <c r="E3529" s="376">
        <v>2029</v>
      </c>
      <c r="F3529" s="376">
        <v>1</v>
      </c>
      <c r="G3529" s="376">
        <v>10872.741503138899</v>
      </c>
      <c r="H3529" s="376">
        <v>0</v>
      </c>
      <c r="I3529" s="376">
        <v>1</v>
      </c>
    </row>
    <row r="3530" spans="1:9" x14ac:dyDescent="0.35">
      <c r="A3530" s="376" t="s">
        <v>1604</v>
      </c>
      <c r="B3530" s="376" t="s">
        <v>1609</v>
      </c>
      <c r="C3530" s="376" t="s">
        <v>628</v>
      </c>
      <c r="D3530" s="376">
        <v>2029</v>
      </c>
      <c r="E3530" s="376">
        <v>2029</v>
      </c>
      <c r="F3530" s="376">
        <v>1</v>
      </c>
      <c r="G3530" s="376">
        <v>10872.741503138899</v>
      </c>
      <c r="H3530" s="376">
        <v>0</v>
      </c>
      <c r="I3530" s="376">
        <v>1</v>
      </c>
    </row>
    <row r="3531" spans="1:9" x14ac:dyDescent="0.35">
      <c r="A3531" s="376" t="s">
        <v>1604</v>
      </c>
      <c r="B3531" s="376" t="s">
        <v>1609</v>
      </c>
      <c r="C3531" s="376" t="s">
        <v>1051</v>
      </c>
      <c r="D3531" s="376">
        <v>2029</v>
      </c>
      <c r="E3531" s="376">
        <v>2029</v>
      </c>
      <c r="F3531" s="376">
        <v>1</v>
      </c>
      <c r="G3531" s="376">
        <v>10872.741503138899</v>
      </c>
      <c r="H3531" s="376">
        <v>0</v>
      </c>
      <c r="I3531" s="376">
        <v>1</v>
      </c>
    </row>
    <row r="3532" spans="1:9" x14ac:dyDescent="0.35">
      <c r="A3532" s="376" t="s">
        <v>1604</v>
      </c>
      <c r="B3532" s="376" t="s">
        <v>1609</v>
      </c>
      <c r="C3532" s="376" t="s">
        <v>1054</v>
      </c>
      <c r="D3532" s="376">
        <v>2029</v>
      </c>
      <c r="E3532" s="376">
        <v>2029</v>
      </c>
      <c r="F3532" s="376">
        <v>1</v>
      </c>
      <c r="G3532" s="376">
        <v>10872.741503138899</v>
      </c>
      <c r="H3532" s="376">
        <v>0</v>
      </c>
      <c r="I3532" s="376">
        <v>1</v>
      </c>
    </row>
    <row r="3533" spans="1:9" x14ac:dyDescent="0.35">
      <c r="A3533" s="376" t="s">
        <v>1604</v>
      </c>
      <c r="B3533" s="376" t="s">
        <v>1609</v>
      </c>
      <c r="C3533" s="376" t="s">
        <v>1046</v>
      </c>
      <c r="D3533" s="376">
        <v>2029</v>
      </c>
      <c r="E3533" s="376">
        <v>2030</v>
      </c>
      <c r="F3533" s="376">
        <v>1</v>
      </c>
      <c r="G3533" s="376">
        <v>10872.741503138899</v>
      </c>
      <c r="H3533" s="376">
        <v>0</v>
      </c>
      <c r="I3533" s="376">
        <v>1</v>
      </c>
    </row>
    <row r="3534" spans="1:9" x14ac:dyDescent="0.35">
      <c r="A3534" s="376" t="s">
        <v>1604</v>
      </c>
      <c r="B3534" s="376" t="s">
        <v>1609</v>
      </c>
      <c r="C3534" s="376" t="s">
        <v>644</v>
      </c>
      <c r="D3534" s="376">
        <v>2029</v>
      </c>
      <c r="E3534" s="376">
        <v>2030</v>
      </c>
      <c r="F3534" s="376">
        <v>1</v>
      </c>
      <c r="G3534" s="376">
        <v>10872.741503138899</v>
      </c>
      <c r="H3534" s="376">
        <v>0</v>
      </c>
      <c r="I3534" s="376">
        <v>1</v>
      </c>
    </row>
    <row r="3535" spans="1:9" x14ac:dyDescent="0.35">
      <c r="A3535" s="376" t="s">
        <v>1604</v>
      </c>
      <c r="B3535" s="376" t="s">
        <v>1609</v>
      </c>
      <c r="C3535" s="376" t="s">
        <v>628</v>
      </c>
      <c r="D3535" s="376">
        <v>2029</v>
      </c>
      <c r="E3535" s="376">
        <v>2030</v>
      </c>
      <c r="F3535" s="376">
        <v>1</v>
      </c>
      <c r="G3535" s="376">
        <v>10872.741503138899</v>
      </c>
      <c r="H3535" s="376">
        <v>0</v>
      </c>
      <c r="I3535" s="376">
        <v>1</v>
      </c>
    </row>
    <row r="3536" spans="1:9" x14ac:dyDescent="0.35">
      <c r="A3536" s="376" t="s">
        <v>1604</v>
      </c>
      <c r="B3536" s="376" t="s">
        <v>1609</v>
      </c>
      <c r="C3536" s="376" t="s">
        <v>1051</v>
      </c>
      <c r="D3536" s="376">
        <v>2029</v>
      </c>
      <c r="E3536" s="376">
        <v>2030</v>
      </c>
      <c r="F3536" s="376">
        <v>1</v>
      </c>
      <c r="G3536" s="376">
        <v>10872.741503138899</v>
      </c>
      <c r="H3536" s="376">
        <v>0</v>
      </c>
      <c r="I3536" s="376">
        <v>1</v>
      </c>
    </row>
    <row r="3537" spans="1:9" x14ac:dyDescent="0.35">
      <c r="A3537" s="376" t="s">
        <v>1604</v>
      </c>
      <c r="B3537" s="376" t="s">
        <v>1609</v>
      </c>
      <c r="C3537" s="376" t="s">
        <v>1054</v>
      </c>
      <c r="D3537" s="376">
        <v>2029</v>
      </c>
      <c r="E3537" s="376">
        <v>2030</v>
      </c>
      <c r="F3537" s="376">
        <v>1</v>
      </c>
      <c r="G3537" s="376">
        <v>10872.741503138899</v>
      </c>
      <c r="H3537" s="376">
        <v>0</v>
      </c>
      <c r="I3537" s="376">
        <v>1</v>
      </c>
    </row>
    <row r="3538" spans="1:9" x14ac:dyDescent="0.35">
      <c r="A3538" s="376" t="s">
        <v>1604</v>
      </c>
      <c r="B3538" s="376" t="s">
        <v>1609</v>
      </c>
      <c r="C3538" s="376" t="s">
        <v>1046</v>
      </c>
      <c r="D3538" s="376">
        <v>2029</v>
      </c>
      <c r="E3538" s="376">
        <v>2031</v>
      </c>
      <c r="F3538" s="376">
        <v>1</v>
      </c>
      <c r="G3538" s="376">
        <v>10872.741503138899</v>
      </c>
      <c r="H3538" s="376">
        <v>0</v>
      </c>
      <c r="I3538" s="376">
        <v>1</v>
      </c>
    </row>
    <row r="3539" spans="1:9" x14ac:dyDescent="0.35">
      <c r="A3539" s="376" t="s">
        <v>1604</v>
      </c>
      <c r="B3539" s="376" t="s">
        <v>1609</v>
      </c>
      <c r="C3539" s="376" t="s">
        <v>644</v>
      </c>
      <c r="D3539" s="376">
        <v>2029</v>
      </c>
      <c r="E3539" s="376">
        <v>2031</v>
      </c>
      <c r="F3539" s="376">
        <v>1</v>
      </c>
      <c r="G3539" s="376">
        <v>10872.741503138899</v>
      </c>
      <c r="H3539" s="376">
        <v>0</v>
      </c>
      <c r="I3539" s="376">
        <v>1</v>
      </c>
    </row>
    <row r="3540" spans="1:9" x14ac:dyDescent="0.35">
      <c r="A3540" s="376" t="s">
        <v>1604</v>
      </c>
      <c r="B3540" s="376" t="s">
        <v>1609</v>
      </c>
      <c r="C3540" s="376" t="s">
        <v>628</v>
      </c>
      <c r="D3540" s="376">
        <v>2029</v>
      </c>
      <c r="E3540" s="376">
        <v>2031</v>
      </c>
      <c r="F3540" s="376">
        <v>1</v>
      </c>
      <c r="G3540" s="376">
        <v>10872.741503138899</v>
      </c>
      <c r="H3540" s="376">
        <v>0</v>
      </c>
      <c r="I3540" s="376">
        <v>1</v>
      </c>
    </row>
    <row r="3541" spans="1:9" x14ac:dyDescent="0.35">
      <c r="A3541" s="376" t="s">
        <v>1604</v>
      </c>
      <c r="B3541" s="376" t="s">
        <v>1609</v>
      </c>
      <c r="C3541" s="376" t="s">
        <v>1051</v>
      </c>
      <c r="D3541" s="376">
        <v>2029</v>
      </c>
      <c r="E3541" s="376">
        <v>2031</v>
      </c>
      <c r="F3541" s="376">
        <v>1</v>
      </c>
      <c r="G3541" s="376">
        <v>10872.741503138899</v>
      </c>
      <c r="H3541" s="376">
        <v>0</v>
      </c>
      <c r="I3541" s="376">
        <v>1</v>
      </c>
    </row>
    <row r="3542" spans="1:9" x14ac:dyDescent="0.35">
      <c r="A3542" s="376" t="s">
        <v>1604</v>
      </c>
      <c r="B3542" s="376" t="s">
        <v>1609</v>
      </c>
      <c r="C3542" s="376" t="s">
        <v>1054</v>
      </c>
      <c r="D3542" s="376">
        <v>2029</v>
      </c>
      <c r="E3542" s="376">
        <v>2031</v>
      </c>
      <c r="F3542" s="376">
        <v>1</v>
      </c>
      <c r="G3542" s="376">
        <v>10872.741503138899</v>
      </c>
      <c r="H3542" s="376">
        <v>0</v>
      </c>
      <c r="I3542" s="376">
        <v>1</v>
      </c>
    </row>
    <row r="3543" spans="1:9" x14ac:dyDescent="0.35">
      <c r="A3543" s="376" t="s">
        <v>1615</v>
      </c>
      <c r="B3543" s="376" t="s">
        <v>1609</v>
      </c>
      <c r="C3543" s="376" t="s">
        <v>1046</v>
      </c>
      <c r="D3543" s="376">
        <v>2029</v>
      </c>
      <c r="E3543" s="376">
        <v>2029</v>
      </c>
      <c r="F3543" s="376">
        <v>1</v>
      </c>
      <c r="G3543" s="376">
        <v>20148.813739673951</v>
      </c>
      <c r="H3543" s="376">
        <v>0</v>
      </c>
      <c r="I3543" s="376">
        <v>0.65716939790195539</v>
      </c>
    </row>
    <row r="3544" spans="1:9" x14ac:dyDescent="0.35">
      <c r="A3544" s="376" t="s">
        <v>1615</v>
      </c>
      <c r="B3544" s="376" t="s">
        <v>1609</v>
      </c>
      <c r="C3544" s="376" t="s">
        <v>644</v>
      </c>
      <c r="D3544" s="376">
        <v>2029</v>
      </c>
      <c r="E3544" s="376">
        <v>2029</v>
      </c>
      <c r="F3544" s="376">
        <v>1</v>
      </c>
      <c r="G3544" s="376">
        <v>20148.813739673951</v>
      </c>
      <c r="H3544" s="376">
        <v>0</v>
      </c>
      <c r="I3544" s="376">
        <v>0.65716939790195539</v>
      </c>
    </row>
    <row r="3545" spans="1:9" x14ac:dyDescent="0.35">
      <c r="A3545" s="376" t="s">
        <v>1615</v>
      </c>
      <c r="B3545" s="376" t="s">
        <v>1609</v>
      </c>
      <c r="C3545" s="376" t="s">
        <v>628</v>
      </c>
      <c r="D3545" s="376">
        <v>2029</v>
      </c>
      <c r="E3545" s="376">
        <v>2029</v>
      </c>
      <c r="F3545" s="376">
        <v>1</v>
      </c>
      <c r="G3545" s="376">
        <v>20148.813739673951</v>
      </c>
      <c r="H3545" s="376">
        <v>0</v>
      </c>
      <c r="I3545" s="376">
        <v>0.65716939790195539</v>
      </c>
    </row>
    <row r="3546" spans="1:9" x14ac:dyDescent="0.35">
      <c r="A3546" s="376" t="s">
        <v>1615</v>
      </c>
      <c r="B3546" s="376" t="s">
        <v>1609</v>
      </c>
      <c r="C3546" s="376" t="s">
        <v>1051</v>
      </c>
      <c r="D3546" s="376">
        <v>2029</v>
      </c>
      <c r="E3546" s="376">
        <v>2029</v>
      </c>
      <c r="F3546" s="376">
        <v>1</v>
      </c>
      <c r="G3546" s="376">
        <v>20148.813739673951</v>
      </c>
      <c r="H3546" s="376">
        <v>0</v>
      </c>
      <c r="I3546" s="376">
        <v>0.65716939790195539</v>
      </c>
    </row>
    <row r="3547" spans="1:9" x14ac:dyDescent="0.35">
      <c r="A3547" s="376" t="s">
        <v>1615</v>
      </c>
      <c r="B3547" s="376" t="s">
        <v>1609</v>
      </c>
      <c r="C3547" s="376" t="s">
        <v>1054</v>
      </c>
      <c r="D3547" s="376">
        <v>2029</v>
      </c>
      <c r="E3547" s="376">
        <v>2029</v>
      </c>
      <c r="F3547" s="376">
        <v>1</v>
      </c>
      <c r="G3547" s="376">
        <v>20148.813739673951</v>
      </c>
      <c r="H3547" s="376">
        <v>0</v>
      </c>
      <c r="I3547" s="376">
        <v>0.65716939790195539</v>
      </c>
    </row>
    <row r="3548" spans="1:9" x14ac:dyDescent="0.35">
      <c r="A3548" s="376" t="s">
        <v>1615</v>
      </c>
      <c r="B3548" s="376" t="s">
        <v>1609</v>
      </c>
      <c r="C3548" s="376" t="s">
        <v>1046</v>
      </c>
      <c r="D3548" s="376">
        <v>2029</v>
      </c>
      <c r="E3548" s="376">
        <v>2030</v>
      </c>
      <c r="F3548" s="376">
        <v>1</v>
      </c>
      <c r="G3548" s="376">
        <v>20148.813739673951</v>
      </c>
      <c r="H3548" s="376">
        <v>0</v>
      </c>
      <c r="I3548" s="376">
        <v>0.65716939790195539</v>
      </c>
    </row>
    <row r="3549" spans="1:9" x14ac:dyDescent="0.35">
      <c r="A3549" s="376" t="s">
        <v>1615</v>
      </c>
      <c r="B3549" s="376" t="s">
        <v>1609</v>
      </c>
      <c r="C3549" s="376" t="s">
        <v>644</v>
      </c>
      <c r="D3549" s="376">
        <v>2029</v>
      </c>
      <c r="E3549" s="376">
        <v>2030</v>
      </c>
      <c r="F3549" s="376">
        <v>1</v>
      </c>
      <c r="G3549" s="376">
        <v>20148.813739673951</v>
      </c>
      <c r="H3549" s="376">
        <v>0</v>
      </c>
      <c r="I3549" s="376">
        <v>0.65716939790195539</v>
      </c>
    </row>
    <row r="3550" spans="1:9" x14ac:dyDescent="0.35">
      <c r="A3550" s="376" t="s">
        <v>1615</v>
      </c>
      <c r="B3550" s="376" t="s">
        <v>1609</v>
      </c>
      <c r="C3550" s="376" t="s">
        <v>628</v>
      </c>
      <c r="D3550" s="376">
        <v>2029</v>
      </c>
      <c r="E3550" s="376">
        <v>2030</v>
      </c>
      <c r="F3550" s="376">
        <v>1</v>
      </c>
      <c r="G3550" s="376">
        <v>20148.813739673951</v>
      </c>
      <c r="H3550" s="376">
        <v>0</v>
      </c>
      <c r="I3550" s="376">
        <v>0.65716939790195539</v>
      </c>
    </row>
    <row r="3551" spans="1:9" x14ac:dyDescent="0.35">
      <c r="A3551" s="376" t="s">
        <v>1615</v>
      </c>
      <c r="B3551" s="376" t="s">
        <v>1609</v>
      </c>
      <c r="C3551" s="376" t="s">
        <v>1051</v>
      </c>
      <c r="D3551" s="376">
        <v>2029</v>
      </c>
      <c r="E3551" s="376">
        <v>2030</v>
      </c>
      <c r="F3551" s="376">
        <v>1</v>
      </c>
      <c r="G3551" s="376">
        <v>20148.813739673951</v>
      </c>
      <c r="H3551" s="376">
        <v>0</v>
      </c>
      <c r="I3551" s="376">
        <v>0.65716939790195539</v>
      </c>
    </row>
    <row r="3552" spans="1:9" x14ac:dyDescent="0.35">
      <c r="A3552" s="376" t="s">
        <v>1615</v>
      </c>
      <c r="B3552" s="376" t="s">
        <v>1609</v>
      </c>
      <c r="C3552" s="376" t="s">
        <v>1054</v>
      </c>
      <c r="D3552" s="376">
        <v>2029</v>
      </c>
      <c r="E3552" s="376">
        <v>2030</v>
      </c>
      <c r="F3552" s="376">
        <v>1</v>
      </c>
      <c r="G3552" s="376">
        <v>20148.813739673951</v>
      </c>
      <c r="H3552" s="376">
        <v>0</v>
      </c>
      <c r="I3552" s="376">
        <v>0.65716939790195539</v>
      </c>
    </row>
    <row r="3553" spans="1:9" x14ac:dyDescent="0.35">
      <c r="A3553" s="376" t="s">
        <v>1615</v>
      </c>
      <c r="B3553" s="376" t="s">
        <v>1609</v>
      </c>
      <c r="C3553" s="376" t="s">
        <v>1046</v>
      </c>
      <c r="D3553" s="376">
        <v>2029</v>
      </c>
      <c r="E3553" s="376">
        <v>2031</v>
      </c>
      <c r="F3553" s="376">
        <v>1</v>
      </c>
      <c r="G3553" s="376">
        <v>20148.813739673951</v>
      </c>
      <c r="H3553" s="376">
        <v>0</v>
      </c>
      <c r="I3553" s="376">
        <v>0.65716939790195539</v>
      </c>
    </row>
    <row r="3554" spans="1:9" x14ac:dyDescent="0.35">
      <c r="A3554" s="376" t="s">
        <v>1615</v>
      </c>
      <c r="B3554" s="376" t="s">
        <v>1609</v>
      </c>
      <c r="C3554" s="376" t="s">
        <v>644</v>
      </c>
      <c r="D3554" s="376">
        <v>2029</v>
      </c>
      <c r="E3554" s="376">
        <v>2031</v>
      </c>
      <c r="F3554" s="376">
        <v>1</v>
      </c>
      <c r="G3554" s="376">
        <v>20148.813739673951</v>
      </c>
      <c r="H3554" s="376">
        <v>0</v>
      </c>
      <c r="I3554" s="376">
        <v>0.65716939790195539</v>
      </c>
    </row>
    <row r="3555" spans="1:9" x14ac:dyDescent="0.35">
      <c r="A3555" s="376" t="s">
        <v>1615</v>
      </c>
      <c r="B3555" s="376" t="s">
        <v>1609</v>
      </c>
      <c r="C3555" s="376" t="s">
        <v>628</v>
      </c>
      <c r="D3555" s="376">
        <v>2029</v>
      </c>
      <c r="E3555" s="376">
        <v>2031</v>
      </c>
      <c r="F3555" s="376">
        <v>1</v>
      </c>
      <c r="G3555" s="376">
        <v>20148.813739673951</v>
      </c>
      <c r="H3555" s="376">
        <v>0</v>
      </c>
      <c r="I3555" s="376">
        <v>0.65716939790195539</v>
      </c>
    </row>
    <row r="3556" spans="1:9" x14ac:dyDescent="0.35">
      <c r="A3556" s="376" t="s">
        <v>1615</v>
      </c>
      <c r="B3556" s="376" t="s">
        <v>1609</v>
      </c>
      <c r="C3556" s="376" t="s">
        <v>1051</v>
      </c>
      <c r="D3556" s="376">
        <v>2029</v>
      </c>
      <c r="E3556" s="376">
        <v>2031</v>
      </c>
      <c r="F3556" s="376">
        <v>1</v>
      </c>
      <c r="G3556" s="376">
        <v>20148.813739673951</v>
      </c>
      <c r="H3556" s="376">
        <v>0</v>
      </c>
      <c r="I3556" s="376">
        <v>0.65716939790195539</v>
      </c>
    </row>
    <row r="3557" spans="1:9" x14ac:dyDescent="0.35">
      <c r="A3557" s="376" t="s">
        <v>1615</v>
      </c>
      <c r="B3557" s="376" t="s">
        <v>1609</v>
      </c>
      <c r="C3557" s="376" t="s">
        <v>1054</v>
      </c>
      <c r="D3557" s="376">
        <v>2029</v>
      </c>
      <c r="E3557" s="376">
        <v>2031</v>
      </c>
      <c r="F3557" s="376">
        <v>1</v>
      </c>
      <c r="G3557" s="376">
        <v>20148.813739673951</v>
      </c>
      <c r="H3557" s="376">
        <v>0</v>
      </c>
      <c r="I3557" s="376">
        <v>0.65716939790195539</v>
      </c>
    </row>
    <row r="3558" spans="1:9" x14ac:dyDescent="0.35">
      <c r="A3558" s="376" t="s">
        <v>1603</v>
      </c>
      <c r="B3558" s="376" t="s">
        <v>1609</v>
      </c>
      <c r="C3558" s="376" t="s">
        <v>1046</v>
      </c>
      <c r="D3558" s="376">
        <v>2029</v>
      </c>
      <c r="E3558" s="376">
        <v>2029</v>
      </c>
      <c r="F3558" s="376">
        <v>1</v>
      </c>
      <c r="G3558" s="376">
        <v>6101.463203368502</v>
      </c>
      <c r="H3558" s="376">
        <v>0</v>
      </c>
      <c r="I3558" s="376">
        <v>1</v>
      </c>
    </row>
    <row r="3559" spans="1:9" x14ac:dyDescent="0.35">
      <c r="A3559" s="376" t="s">
        <v>1603</v>
      </c>
      <c r="B3559" s="376" t="s">
        <v>1609</v>
      </c>
      <c r="C3559" s="376" t="s">
        <v>644</v>
      </c>
      <c r="D3559" s="376">
        <v>2029</v>
      </c>
      <c r="E3559" s="376">
        <v>2029</v>
      </c>
      <c r="F3559" s="376">
        <v>1</v>
      </c>
      <c r="G3559" s="376">
        <v>6101.463203368502</v>
      </c>
      <c r="H3559" s="376">
        <v>0</v>
      </c>
      <c r="I3559" s="376">
        <v>1</v>
      </c>
    </row>
    <row r="3560" spans="1:9" x14ac:dyDescent="0.35">
      <c r="A3560" s="376" t="s">
        <v>1603</v>
      </c>
      <c r="B3560" s="376" t="s">
        <v>1609</v>
      </c>
      <c r="C3560" s="376" t="s">
        <v>628</v>
      </c>
      <c r="D3560" s="376">
        <v>2029</v>
      </c>
      <c r="E3560" s="376">
        <v>2029</v>
      </c>
      <c r="F3560" s="376">
        <v>1</v>
      </c>
      <c r="G3560" s="376">
        <v>6101.463203368502</v>
      </c>
      <c r="H3560" s="376">
        <v>0</v>
      </c>
      <c r="I3560" s="376">
        <v>1</v>
      </c>
    </row>
    <row r="3561" spans="1:9" x14ac:dyDescent="0.35">
      <c r="A3561" s="376" t="s">
        <v>1603</v>
      </c>
      <c r="B3561" s="376" t="s">
        <v>1609</v>
      </c>
      <c r="C3561" s="376" t="s">
        <v>1051</v>
      </c>
      <c r="D3561" s="376">
        <v>2029</v>
      </c>
      <c r="E3561" s="376">
        <v>2029</v>
      </c>
      <c r="F3561" s="376">
        <v>1</v>
      </c>
      <c r="G3561" s="376">
        <v>6101.463203368502</v>
      </c>
      <c r="H3561" s="376">
        <v>0</v>
      </c>
      <c r="I3561" s="376">
        <v>1</v>
      </c>
    </row>
    <row r="3562" spans="1:9" x14ac:dyDescent="0.35">
      <c r="A3562" s="376" t="s">
        <v>1603</v>
      </c>
      <c r="B3562" s="376" t="s">
        <v>1609</v>
      </c>
      <c r="C3562" s="376" t="s">
        <v>1054</v>
      </c>
      <c r="D3562" s="376">
        <v>2029</v>
      </c>
      <c r="E3562" s="376">
        <v>2029</v>
      </c>
      <c r="F3562" s="376">
        <v>1</v>
      </c>
      <c r="G3562" s="376">
        <v>6101.463203368502</v>
      </c>
      <c r="H3562" s="376">
        <v>0</v>
      </c>
      <c r="I3562" s="376">
        <v>1</v>
      </c>
    </row>
    <row r="3563" spans="1:9" x14ac:dyDescent="0.35">
      <c r="A3563" s="376" t="s">
        <v>1603</v>
      </c>
      <c r="B3563" s="376" t="s">
        <v>1609</v>
      </c>
      <c r="C3563" s="376" t="s">
        <v>1046</v>
      </c>
      <c r="D3563" s="376">
        <v>2029</v>
      </c>
      <c r="E3563" s="376">
        <v>2030</v>
      </c>
      <c r="F3563" s="376">
        <v>1</v>
      </c>
      <c r="G3563" s="376">
        <v>6101.463203368502</v>
      </c>
      <c r="H3563" s="376">
        <v>0</v>
      </c>
      <c r="I3563" s="376">
        <v>1</v>
      </c>
    </row>
    <row r="3564" spans="1:9" x14ac:dyDescent="0.35">
      <c r="A3564" s="376" t="s">
        <v>1603</v>
      </c>
      <c r="B3564" s="376" t="s">
        <v>1609</v>
      </c>
      <c r="C3564" s="376" t="s">
        <v>644</v>
      </c>
      <c r="D3564" s="376">
        <v>2029</v>
      </c>
      <c r="E3564" s="376">
        <v>2030</v>
      </c>
      <c r="F3564" s="376">
        <v>1</v>
      </c>
      <c r="G3564" s="376">
        <v>6101.463203368502</v>
      </c>
      <c r="H3564" s="376">
        <v>0</v>
      </c>
      <c r="I3564" s="376">
        <v>1</v>
      </c>
    </row>
    <row r="3565" spans="1:9" x14ac:dyDescent="0.35">
      <c r="A3565" s="376" t="s">
        <v>1603</v>
      </c>
      <c r="B3565" s="376" t="s">
        <v>1609</v>
      </c>
      <c r="C3565" s="376" t="s">
        <v>628</v>
      </c>
      <c r="D3565" s="376">
        <v>2029</v>
      </c>
      <c r="E3565" s="376">
        <v>2030</v>
      </c>
      <c r="F3565" s="376">
        <v>1</v>
      </c>
      <c r="G3565" s="376">
        <v>6101.463203368502</v>
      </c>
      <c r="H3565" s="376">
        <v>0</v>
      </c>
      <c r="I3565" s="376">
        <v>1</v>
      </c>
    </row>
    <row r="3566" spans="1:9" x14ac:dyDescent="0.35">
      <c r="A3566" s="376" t="s">
        <v>1603</v>
      </c>
      <c r="B3566" s="376" t="s">
        <v>1609</v>
      </c>
      <c r="C3566" s="376" t="s">
        <v>1051</v>
      </c>
      <c r="D3566" s="376">
        <v>2029</v>
      </c>
      <c r="E3566" s="376">
        <v>2030</v>
      </c>
      <c r="F3566" s="376">
        <v>1</v>
      </c>
      <c r="G3566" s="376">
        <v>6101.463203368502</v>
      </c>
      <c r="H3566" s="376">
        <v>0</v>
      </c>
      <c r="I3566" s="376">
        <v>1</v>
      </c>
    </row>
    <row r="3567" spans="1:9" x14ac:dyDescent="0.35">
      <c r="A3567" s="376" t="s">
        <v>1603</v>
      </c>
      <c r="B3567" s="376" t="s">
        <v>1609</v>
      </c>
      <c r="C3567" s="376" t="s">
        <v>1054</v>
      </c>
      <c r="D3567" s="376">
        <v>2029</v>
      </c>
      <c r="E3567" s="376">
        <v>2030</v>
      </c>
      <c r="F3567" s="376">
        <v>1</v>
      </c>
      <c r="G3567" s="376">
        <v>6101.463203368502</v>
      </c>
      <c r="H3567" s="376">
        <v>0</v>
      </c>
      <c r="I3567" s="376">
        <v>1</v>
      </c>
    </row>
    <row r="3568" spans="1:9" x14ac:dyDescent="0.35">
      <c r="A3568" s="376" t="s">
        <v>1603</v>
      </c>
      <c r="B3568" s="376" t="s">
        <v>1609</v>
      </c>
      <c r="C3568" s="376" t="s">
        <v>1046</v>
      </c>
      <c r="D3568" s="376">
        <v>2029</v>
      </c>
      <c r="E3568" s="376">
        <v>2031</v>
      </c>
      <c r="F3568" s="376">
        <v>1</v>
      </c>
      <c r="G3568" s="376">
        <v>6101.463203368502</v>
      </c>
      <c r="H3568" s="376">
        <v>0</v>
      </c>
      <c r="I3568" s="376">
        <v>1</v>
      </c>
    </row>
    <row r="3569" spans="1:9" x14ac:dyDescent="0.35">
      <c r="A3569" s="376" t="s">
        <v>1603</v>
      </c>
      <c r="B3569" s="376" t="s">
        <v>1609</v>
      </c>
      <c r="C3569" s="376" t="s">
        <v>644</v>
      </c>
      <c r="D3569" s="376">
        <v>2029</v>
      </c>
      <c r="E3569" s="376">
        <v>2031</v>
      </c>
      <c r="F3569" s="376">
        <v>1</v>
      </c>
      <c r="G3569" s="376">
        <v>6101.463203368502</v>
      </c>
      <c r="H3569" s="376">
        <v>0</v>
      </c>
      <c r="I3569" s="376">
        <v>1</v>
      </c>
    </row>
    <row r="3570" spans="1:9" x14ac:dyDescent="0.35">
      <c r="A3570" s="376" t="s">
        <v>1603</v>
      </c>
      <c r="B3570" s="376" t="s">
        <v>1609</v>
      </c>
      <c r="C3570" s="376" t="s">
        <v>628</v>
      </c>
      <c r="D3570" s="376">
        <v>2029</v>
      </c>
      <c r="E3570" s="376">
        <v>2031</v>
      </c>
      <c r="F3570" s="376">
        <v>1</v>
      </c>
      <c r="G3570" s="376">
        <v>6101.463203368502</v>
      </c>
      <c r="H3570" s="376">
        <v>0</v>
      </c>
      <c r="I3570" s="376">
        <v>1</v>
      </c>
    </row>
    <row r="3571" spans="1:9" x14ac:dyDescent="0.35">
      <c r="A3571" s="376" t="s">
        <v>1603</v>
      </c>
      <c r="B3571" s="376" t="s">
        <v>1609</v>
      </c>
      <c r="C3571" s="376" t="s">
        <v>1051</v>
      </c>
      <c r="D3571" s="376">
        <v>2029</v>
      </c>
      <c r="E3571" s="376">
        <v>2031</v>
      </c>
      <c r="F3571" s="376">
        <v>1</v>
      </c>
      <c r="G3571" s="376">
        <v>6101.463203368502</v>
      </c>
      <c r="H3571" s="376">
        <v>0</v>
      </c>
      <c r="I3571" s="376">
        <v>1</v>
      </c>
    </row>
    <row r="3572" spans="1:9" x14ac:dyDescent="0.35">
      <c r="A3572" s="376" t="s">
        <v>1603</v>
      </c>
      <c r="B3572" s="376" t="s">
        <v>1609</v>
      </c>
      <c r="C3572" s="376" t="s">
        <v>1054</v>
      </c>
      <c r="D3572" s="376">
        <v>2029</v>
      </c>
      <c r="E3572" s="376">
        <v>2031</v>
      </c>
      <c r="F3572" s="376">
        <v>1</v>
      </c>
      <c r="G3572" s="376">
        <v>6101.463203368502</v>
      </c>
      <c r="H3572" s="376">
        <v>0</v>
      </c>
      <c r="I3572" s="376">
        <v>1</v>
      </c>
    </row>
    <row r="3573" spans="1:9" x14ac:dyDescent="0.35">
      <c r="A3573" s="376" t="s">
        <v>1605</v>
      </c>
      <c r="B3573" s="376" t="s">
        <v>1609</v>
      </c>
      <c r="C3573" s="376" t="s">
        <v>1046</v>
      </c>
      <c r="D3573" s="376">
        <v>2029</v>
      </c>
      <c r="E3573" s="376">
        <v>2029</v>
      </c>
      <c r="F3573" s="376">
        <v>0.23884589662749595</v>
      </c>
      <c r="G3573" s="376">
        <v>10426.102375692073</v>
      </c>
      <c r="H3573" s="376">
        <v>0</v>
      </c>
      <c r="I3573" s="376">
        <v>1</v>
      </c>
    </row>
    <row r="3574" spans="1:9" x14ac:dyDescent="0.35">
      <c r="A3574" s="376" t="s">
        <v>1605</v>
      </c>
      <c r="B3574" s="376" t="s">
        <v>1609</v>
      </c>
      <c r="C3574" s="376" t="s">
        <v>644</v>
      </c>
      <c r="D3574" s="376">
        <v>2029</v>
      </c>
      <c r="E3574" s="376">
        <v>2029</v>
      </c>
      <c r="F3574" s="376">
        <v>0.23884589662749595</v>
      </c>
      <c r="G3574" s="376">
        <v>10426.102375692073</v>
      </c>
      <c r="H3574" s="376">
        <v>0</v>
      </c>
      <c r="I3574" s="376">
        <v>1</v>
      </c>
    </row>
    <row r="3575" spans="1:9" x14ac:dyDescent="0.35">
      <c r="A3575" s="376" t="s">
        <v>1605</v>
      </c>
      <c r="B3575" s="376" t="s">
        <v>1609</v>
      </c>
      <c r="C3575" s="376" t="s">
        <v>628</v>
      </c>
      <c r="D3575" s="376">
        <v>2029</v>
      </c>
      <c r="E3575" s="376">
        <v>2029</v>
      </c>
      <c r="F3575" s="376">
        <v>0.23884589662749595</v>
      </c>
      <c r="G3575" s="376">
        <v>10426.102375692073</v>
      </c>
      <c r="H3575" s="376">
        <v>0</v>
      </c>
      <c r="I3575" s="376">
        <v>1</v>
      </c>
    </row>
    <row r="3576" spans="1:9" x14ac:dyDescent="0.35">
      <c r="A3576" s="376" t="s">
        <v>1605</v>
      </c>
      <c r="B3576" s="376" t="s">
        <v>1609</v>
      </c>
      <c r="C3576" s="376" t="s">
        <v>1051</v>
      </c>
      <c r="D3576" s="376">
        <v>2029</v>
      </c>
      <c r="E3576" s="376">
        <v>2029</v>
      </c>
      <c r="F3576" s="376">
        <v>0.23884589662749595</v>
      </c>
      <c r="G3576" s="376">
        <v>10426.102375692073</v>
      </c>
      <c r="H3576" s="376">
        <v>0</v>
      </c>
      <c r="I3576" s="376">
        <v>1</v>
      </c>
    </row>
    <row r="3577" spans="1:9" x14ac:dyDescent="0.35">
      <c r="A3577" s="376" t="s">
        <v>1605</v>
      </c>
      <c r="B3577" s="376" t="s">
        <v>1609</v>
      </c>
      <c r="C3577" s="376" t="s">
        <v>1054</v>
      </c>
      <c r="D3577" s="376">
        <v>2029</v>
      </c>
      <c r="E3577" s="376">
        <v>2029</v>
      </c>
      <c r="F3577" s="376">
        <v>0.23884589662749595</v>
      </c>
      <c r="G3577" s="376">
        <v>10426.102375692073</v>
      </c>
      <c r="H3577" s="376">
        <v>0</v>
      </c>
      <c r="I3577" s="376">
        <v>1</v>
      </c>
    </row>
    <row r="3578" spans="1:9" x14ac:dyDescent="0.35">
      <c r="A3578" s="376" t="s">
        <v>1605</v>
      </c>
      <c r="B3578" s="376" t="s">
        <v>1609</v>
      </c>
      <c r="C3578" s="376" t="s">
        <v>1046</v>
      </c>
      <c r="D3578" s="376">
        <v>2029</v>
      </c>
      <c r="E3578" s="376">
        <v>2030</v>
      </c>
      <c r="F3578" s="376">
        <v>0.23884589662749595</v>
      </c>
      <c r="G3578" s="376">
        <v>10426.102375692073</v>
      </c>
      <c r="H3578" s="376">
        <v>0</v>
      </c>
      <c r="I3578" s="376">
        <v>1</v>
      </c>
    </row>
    <row r="3579" spans="1:9" x14ac:dyDescent="0.35">
      <c r="A3579" s="376" t="s">
        <v>1605</v>
      </c>
      <c r="B3579" s="376" t="s">
        <v>1609</v>
      </c>
      <c r="C3579" s="376" t="s">
        <v>644</v>
      </c>
      <c r="D3579" s="376">
        <v>2029</v>
      </c>
      <c r="E3579" s="376">
        <v>2030</v>
      </c>
      <c r="F3579" s="376">
        <v>0.23884589662749595</v>
      </c>
      <c r="G3579" s="376">
        <v>10426.102375692073</v>
      </c>
      <c r="H3579" s="376">
        <v>0</v>
      </c>
      <c r="I3579" s="376">
        <v>1</v>
      </c>
    </row>
    <row r="3580" spans="1:9" x14ac:dyDescent="0.35">
      <c r="A3580" s="376" t="s">
        <v>1605</v>
      </c>
      <c r="B3580" s="376" t="s">
        <v>1609</v>
      </c>
      <c r="C3580" s="376" t="s">
        <v>628</v>
      </c>
      <c r="D3580" s="376">
        <v>2029</v>
      </c>
      <c r="E3580" s="376">
        <v>2030</v>
      </c>
      <c r="F3580" s="376">
        <v>0.23884589662749595</v>
      </c>
      <c r="G3580" s="376">
        <v>10426.102375692073</v>
      </c>
      <c r="H3580" s="376">
        <v>0</v>
      </c>
      <c r="I3580" s="376">
        <v>1</v>
      </c>
    </row>
    <row r="3581" spans="1:9" x14ac:dyDescent="0.35">
      <c r="A3581" s="376" t="s">
        <v>1605</v>
      </c>
      <c r="B3581" s="376" t="s">
        <v>1609</v>
      </c>
      <c r="C3581" s="376" t="s">
        <v>1051</v>
      </c>
      <c r="D3581" s="376">
        <v>2029</v>
      </c>
      <c r="E3581" s="376">
        <v>2030</v>
      </c>
      <c r="F3581" s="376">
        <v>0.23884589662749595</v>
      </c>
      <c r="G3581" s="376">
        <v>10426.102375692073</v>
      </c>
      <c r="H3581" s="376">
        <v>0</v>
      </c>
      <c r="I3581" s="376">
        <v>1</v>
      </c>
    </row>
    <row r="3582" spans="1:9" x14ac:dyDescent="0.35">
      <c r="A3582" s="376" t="s">
        <v>1605</v>
      </c>
      <c r="B3582" s="376" t="s">
        <v>1609</v>
      </c>
      <c r="C3582" s="376" t="s">
        <v>1054</v>
      </c>
      <c r="D3582" s="376">
        <v>2029</v>
      </c>
      <c r="E3582" s="376">
        <v>2030</v>
      </c>
      <c r="F3582" s="376">
        <v>0.23884589662749595</v>
      </c>
      <c r="G3582" s="376">
        <v>10426.102375692073</v>
      </c>
      <c r="H3582" s="376">
        <v>0</v>
      </c>
      <c r="I3582" s="376">
        <v>1</v>
      </c>
    </row>
    <row r="3583" spans="1:9" x14ac:dyDescent="0.35">
      <c r="A3583" s="376" t="s">
        <v>1605</v>
      </c>
      <c r="B3583" s="376" t="s">
        <v>1609</v>
      </c>
      <c r="C3583" s="376" t="s">
        <v>1046</v>
      </c>
      <c r="D3583" s="376">
        <v>2029</v>
      </c>
      <c r="E3583" s="376">
        <v>2031</v>
      </c>
      <c r="F3583" s="376">
        <v>0.23884589662749595</v>
      </c>
      <c r="G3583" s="376">
        <v>10426.102375692073</v>
      </c>
      <c r="H3583" s="376">
        <v>0</v>
      </c>
      <c r="I3583" s="376">
        <v>1</v>
      </c>
    </row>
    <row r="3584" spans="1:9" x14ac:dyDescent="0.35">
      <c r="A3584" s="376" t="s">
        <v>1605</v>
      </c>
      <c r="B3584" s="376" t="s">
        <v>1609</v>
      </c>
      <c r="C3584" s="376" t="s">
        <v>644</v>
      </c>
      <c r="D3584" s="376">
        <v>2029</v>
      </c>
      <c r="E3584" s="376">
        <v>2031</v>
      </c>
      <c r="F3584" s="376">
        <v>0.23884589662749595</v>
      </c>
      <c r="G3584" s="376">
        <v>10426.102375692073</v>
      </c>
      <c r="H3584" s="376">
        <v>0</v>
      </c>
      <c r="I3584" s="376">
        <v>1</v>
      </c>
    </row>
    <row r="3585" spans="1:9" x14ac:dyDescent="0.35">
      <c r="A3585" s="376" t="s">
        <v>1605</v>
      </c>
      <c r="B3585" s="376" t="s">
        <v>1609</v>
      </c>
      <c r="C3585" s="376" t="s">
        <v>628</v>
      </c>
      <c r="D3585" s="376">
        <v>2029</v>
      </c>
      <c r="E3585" s="376">
        <v>2031</v>
      </c>
      <c r="F3585" s="376">
        <v>0.23884589662749595</v>
      </c>
      <c r="G3585" s="376">
        <v>10426.102375692073</v>
      </c>
      <c r="H3585" s="376">
        <v>0</v>
      </c>
      <c r="I3585" s="376">
        <v>1</v>
      </c>
    </row>
    <row r="3586" spans="1:9" x14ac:dyDescent="0.35">
      <c r="A3586" s="376" t="s">
        <v>1605</v>
      </c>
      <c r="B3586" s="376" t="s">
        <v>1609</v>
      </c>
      <c r="C3586" s="376" t="s">
        <v>1051</v>
      </c>
      <c r="D3586" s="376">
        <v>2029</v>
      </c>
      <c r="E3586" s="376">
        <v>2031</v>
      </c>
      <c r="F3586" s="376">
        <v>0.23884589662749595</v>
      </c>
      <c r="G3586" s="376">
        <v>10426.102375692073</v>
      </c>
      <c r="H3586" s="376">
        <v>0</v>
      </c>
      <c r="I3586" s="376">
        <v>1</v>
      </c>
    </row>
    <row r="3587" spans="1:9" x14ac:dyDescent="0.35">
      <c r="A3587" s="376" t="s">
        <v>1605</v>
      </c>
      <c r="B3587" s="376" t="s">
        <v>1609</v>
      </c>
      <c r="C3587" s="376" t="s">
        <v>1054</v>
      </c>
      <c r="D3587" s="376">
        <v>2029</v>
      </c>
      <c r="E3587" s="376">
        <v>2031</v>
      </c>
      <c r="F3587" s="376">
        <v>0.23884589662749595</v>
      </c>
      <c r="G3587" s="376">
        <v>10426.102375692073</v>
      </c>
      <c r="H3587" s="376">
        <v>0</v>
      </c>
      <c r="I3587" s="376">
        <v>1</v>
      </c>
    </row>
    <row r="3588" spans="1:9" x14ac:dyDescent="0.35">
      <c r="A3588" s="376" t="s">
        <v>1636</v>
      </c>
      <c r="B3588" s="376" t="s">
        <v>1609</v>
      </c>
      <c r="C3588" s="376" t="s">
        <v>1046</v>
      </c>
      <c r="D3588" s="376">
        <v>2029</v>
      </c>
      <c r="E3588" s="376">
        <v>2029</v>
      </c>
      <c r="F3588" s="376">
        <v>1</v>
      </c>
      <c r="G3588" s="376">
        <v>3247.4029942357824</v>
      </c>
      <c r="H3588" s="376">
        <v>0</v>
      </c>
      <c r="I3588" s="376">
        <v>1</v>
      </c>
    </row>
    <row r="3589" spans="1:9" x14ac:dyDescent="0.35">
      <c r="A3589" s="376" t="s">
        <v>1636</v>
      </c>
      <c r="B3589" s="376" t="s">
        <v>1609</v>
      </c>
      <c r="C3589" s="376" t="s">
        <v>644</v>
      </c>
      <c r="D3589" s="376">
        <v>2029</v>
      </c>
      <c r="E3589" s="376">
        <v>2029</v>
      </c>
      <c r="F3589" s="376">
        <v>1</v>
      </c>
      <c r="G3589" s="376">
        <v>3247.4029942357824</v>
      </c>
      <c r="H3589" s="376">
        <v>0</v>
      </c>
      <c r="I3589" s="376">
        <v>1</v>
      </c>
    </row>
    <row r="3590" spans="1:9" x14ac:dyDescent="0.35">
      <c r="A3590" s="376" t="s">
        <v>1636</v>
      </c>
      <c r="B3590" s="376" t="s">
        <v>1609</v>
      </c>
      <c r="C3590" s="376" t="s">
        <v>628</v>
      </c>
      <c r="D3590" s="376">
        <v>2029</v>
      </c>
      <c r="E3590" s="376">
        <v>2029</v>
      </c>
      <c r="F3590" s="376">
        <v>1</v>
      </c>
      <c r="G3590" s="376">
        <v>3247.4029942357824</v>
      </c>
      <c r="H3590" s="376">
        <v>0</v>
      </c>
      <c r="I3590" s="376">
        <v>1</v>
      </c>
    </row>
    <row r="3591" spans="1:9" x14ac:dyDescent="0.35">
      <c r="A3591" s="376" t="s">
        <v>1636</v>
      </c>
      <c r="B3591" s="376" t="s">
        <v>1609</v>
      </c>
      <c r="C3591" s="376" t="s">
        <v>1051</v>
      </c>
      <c r="D3591" s="376">
        <v>2029</v>
      </c>
      <c r="E3591" s="376">
        <v>2029</v>
      </c>
      <c r="F3591" s="376">
        <v>1</v>
      </c>
      <c r="G3591" s="376">
        <v>3247.4029942357824</v>
      </c>
      <c r="H3591" s="376">
        <v>0</v>
      </c>
      <c r="I3591" s="376">
        <v>1</v>
      </c>
    </row>
    <row r="3592" spans="1:9" x14ac:dyDescent="0.35">
      <c r="A3592" s="376" t="s">
        <v>1636</v>
      </c>
      <c r="B3592" s="376" t="s">
        <v>1609</v>
      </c>
      <c r="C3592" s="376" t="s">
        <v>1054</v>
      </c>
      <c r="D3592" s="376">
        <v>2029</v>
      </c>
      <c r="E3592" s="376">
        <v>2029</v>
      </c>
      <c r="F3592" s="376">
        <v>1</v>
      </c>
      <c r="G3592" s="376">
        <v>3247.4029942357824</v>
      </c>
      <c r="H3592" s="376">
        <v>0</v>
      </c>
      <c r="I3592" s="376">
        <v>1</v>
      </c>
    </row>
    <row r="3593" spans="1:9" x14ac:dyDescent="0.35">
      <c r="A3593" s="376" t="s">
        <v>1636</v>
      </c>
      <c r="B3593" s="376" t="s">
        <v>1609</v>
      </c>
      <c r="C3593" s="376" t="s">
        <v>1046</v>
      </c>
      <c r="D3593" s="376">
        <v>2029</v>
      </c>
      <c r="E3593" s="376">
        <v>2030</v>
      </c>
      <c r="F3593" s="376">
        <v>1</v>
      </c>
      <c r="G3593" s="376">
        <v>3247.4029942357824</v>
      </c>
      <c r="H3593" s="376">
        <v>0</v>
      </c>
      <c r="I3593" s="376">
        <v>1</v>
      </c>
    </row>
    <row r="3594" spans="1:9" x14ac:dyDescent="0.35">
      <c r="A3594" s="376" t="s">
        <v>1636</v>
      </c>
      <c r="B3594" s="376" t="s">
        <v>1609</v>
      </c>
      <c r="C3594" s="376" t="s">
        <v>644</v>
      </c>
      <c r="D3594" s="376">
        <v>2029</v>
      </c>
      <c r="E3594" s="376">
        <v>2030</v>
      </c>
      <c r="F3594" s="376">
        <v>1</v>
      </c>
      <c r="G3594" s="376">
        <v>3247.4029942357824</v>
      </c>
      <c r="H3594" s="376">
        <v>0</v>
      </c>
      <c r="I3594" s="376">
        <v>1</v>
      </c>
    </row>
    <row r="3595" spans="1:9" x14ac:dyDescent="0.35">
      <c r="A3595" s="376" t="s">
        <v>1636</v>
      </c>
      <c r="B3595" s="376" t="s">
        <v>1609</v>
      </c>
      <c r="C3595" s="376" t="s">
        <v>628</v>
      </c>
      <c r="D3595" s="376">
        <v>2029</v>
      </c>
      <c r="E3595" s="376">
        <v>2030</v>
      </c>
      <c r="F3595" s="376">
        <v>1</v>
      </c>
      <c r="G3595" s="376">
        <v>3247.4029942357824</v>
      </c>
      <c r="H3595" s="376">
        <v>0</v>
      </c>
      <c r="I3595" s="376">
        <v>1</v>
      </c>
    </row>
    <row r="3596" spans="1:9" x14ac:dyDescent="0.35">
      <c r="A3596" s="376" t="s">
        <v>1636</v>
      </c>
      <c r="B3596" s="376" t="s">
        <v>1609</v>
      </c>
      <c r="C3596" s="376" t="s">
        <v>1051</v>
      </c>
      <c r="D3596" s="376">
        <v>2029</v>
      </c>
      <c r="E3596" s="376">
        <v>2030</v>
      </c>
      <c r="F3596" s="376">
        <v>1</v>
      </c>
      <c r="G3596" s="376">
        <v>3247.4029942357824</v>
      </c>
      <c r="H3596" s="376">
        <v>0</v>
      </c>
      <c r="I3596" s="376">
        <v>1</v>
      </c>
    </row>
    <row r="3597" spans="1:9" x14ac:dyDescent="0.35">
      <c r="A3597" s="376" t="s">
        <v>1636</v>
      </c>
      <c r="B3597" s="376" t="s">
        <v>1609</v>
      </c>
      <c r="C3597" s="376" t="s">
        <v>1054</v>
      </c>
      <c r="D3597" s="376">
        <v>2029</v>
      </c>
      <c r="E3597" s="376">
        <v>2030</v>
      </c>
      <c r="F3597" s="376">
        <v>1</v>
      </c>
      <c r="G3597" s="376">
        <v>3247.4029942357824</v>
      </c>
      <c r="H3597" s="376">
        <v>0</v>
      </c>
      <c r="I3597" s="376">
        <v>1</v>
      </c>
    </row>
    <row r="3598" spans="1:9" x14ac:dyDescent="0.35">
      <c r="A3598" s="376" t="s">
        <v>1636</v>
      </c>
      <c r="B3598" s="376" t="s">
        <v>1609</v>
      </c>
      <c r="C3598" s="376" t="s">
        <v>1046</v>
      </c>
      <c r="D3598" s="376">
        <v>2029</v>
      </c>
      <c r="E3598" s="376">
        <v>2031</v>
      </c>
      <c r="F3598" s="376">
        <v>1</v>
      </c>
      <c r="G3598" s="376">
        <v>3247.4029942357824</v>
      </c>
      <c r="H3598" s="376">
        <v>0</v>
      </c>
      <c r="I3598" s="376">
        <v>1</v>
      </c>
    </row>
    <row r="3599" spans="1:9" x14ac:dyDescent="0.35">
      <c r="A3599" s="376" t="s">
        <v>1636</v>
      </c>
      <c r="B3599" s="376" t="s">
        <v>1609</v>
      </c>
      <c r="C3599" s="376" t="s">
        <v>644</v>
      </c>
      <c r="D3599" s="376">
        <v>2029</v>
      </c>
      <c r="E3599" s="376">
        <v>2031</v>
      </c>
      <c r="F3599" s="376">
        <v>1</v>
      </c>
      <c r="G3599" s="376">
        <v>3247.4029942357824</v>
      </c>
      <c r="H3599" s="376">
        <v>0</v>
      </c>
      <c r="I3599" s="376">
        <v>1</v>
      </c>
    </row>
    <row r="3600" spans="1:9" x14ac:dyDescent="0.35">
      <c r="A3600" s="376" t="s">
        <v>1636</v>
      </c>
      <c r="B3600" s="376" t="s">
        <v>1609</v>
      </c>
      <c r="C3600" s="376" t="s">
        <v>628</v>
      </c>
      <c r="D3600" s="376">
        <v>2029</v>
      </c>
      <c r="E3600" s="376">
        <v>2031</v>
      </c>
      <c r="F3600" s="376">
        <v>1</v>
      </c>
      <c r="G3600" s="376">
        <v>3247.4029942357824</v>
      </c>
      <c r="H3600" s="376">
        <v>0</v>
      </c>
      <c r="I3600" s="376">
        <v>1</v>
      </c>
    </row>
    <row r="3601" spans="1:9" x14ac:dyDescent="0.35">
      <c r="A3601" s="376" t="s">
        <v>1636</v>
      </c>
      <c r="B3601" s="376" t="s">
        <v>1609</v>
      </c>
      <c r="C3601" s="376" t="s">
        <v>1051</v>
      </c>
      <c r="D3601" s="376">
        <v>2029</v>
      </c>
      <c r="E3601" s="376">
        <v>2031</v>
      </c>
      <c r="F3601" s="376">
        <v>1</v>
      </c>
      <c r="G3601" s="376">
        <v>3247.4029942357824</v>
      </c>
      <c r="H3601" s="376">
        <v>0</v>
      </c>
      <c r="I3601" s="376">
        <v>1</v>
      </c>
    </row>
    <row r="3602" spans="1:9" x14ac:dyDescent="0.35">
      <c r="A3602" s="376" t="s">
        <v>1636</v>
      </c>
      <c r="B3602" s="376" t="s">
        <v>1609</v>
      </c>
      <c r="C3602" s="376" t="s">
        <v>1054</v>
      </c>
      <c r="D3602" s="376">
        <v>2029</v>
      </c>
      <c r="E3602" s="376">
        <v>2031</v>
      </c>
      <c r="F3602" s="376">
        <v>1</v>
      </c>
      <c r="G3602" s="376">
        <v>3247.4029942357824</v>
      </c>
      <c r="H3602" s="376">
        <v>0</v>
      </c>
      <c r="I3602" s="376">
        <v>1</v>
      </c>
    </row>
    <row r="3603" spans="1:9" x14ac:dyDescent="0.35">
      <c r="A3603" s="376" t="s">
        <v>1606</v>
      </c>
      <c r="B3603" s="376" t="s">
        <v>1609</v>
      </c>
      <c r="C3603" s="376" t="s">
        <v>1046</v>
      </c>
      <c r="D3603" s="376">
        <v>2029</v>
      </c>
      <c r="E3603" s="376">
        <v>2029</v>
      </c>
      <c r="F3603" s="376">
        <v>1</v>
      </c>
      <c r="G3603" s="376">
        <v>5699.6268521940774</v>
      </c>
      <c r="H3603" s="376">
        <v>0</v>
      </c>
      <c r="I3603" s="376">
        <v>1</v>
      </c>
    </row>
    <row r="3604" spans="1:9" x14ac:dyDescent="0.35">
      <c r="A3604" s="376" t="s">
        <v>1606</v>
      </c>
      <c r="B3604" s="376" t="s">
        <v>1609</v>
      </c>
      <c r="C3604" s="376" t="s">
        <v>644</v>
      </c>
      <c r="D3604" s="376">
        <v>2029</v>
      </c>
      <c r="E3604" s="376">
        <v>2029</v>
      </c>
      <c r="F3604" s="376">
        <v>1</v>
      </c>
      <c r="G3604" s="376">
        <v>5699.6268521940774</v>
      </c>
      <c r="H3604" s="376">
        <v>0</v>
      </c>
      <c r="I3604" s="376">
        <v>1</v>
      </c>
    </row>
    <row r="3605" spans="1:9" x14ac:dyDescent="0.35">
      <c r="A3605" s="376" t="s">
        <v>1606</v>
      </c>
      <c r="B3605" s="376" t="s">
        <v>1609</v>
      </c>
      <c r="C3605" s="376" t="s">
        <v>628</v>
      </c>
      <c r="D3605" s="376">
        <v>2029</v>
      </c>
      <c r="E3605" s="376">
        <v>2029</v>
      </c>
      <c r="F3605" s="376">
        <v>1</v>
      </c>
      <c r="G3605" s="376">
        <v>5699.6268521940774</v>
      </c>
      <c r="H3605" s="376">
        <v>0</v>
      </c>
      <c r="I3605" s="376">
        <v>1</v>
      </c>
    </row>
    <row r="3606" spans="1:9" x14ac:dyDescent="0.35">
      <c r="A3606" s="376" t="s">
        <v>1606</v>
      </c>
      <c r="B3606" s="376" t="s">
        <v>1609</v>
      </c>
      <c r="C3606" s="376" t="s">
        <v>1051</v>
      </c>
      <c r="D3606" s="376">
        <v>2029</v>
      </c>
      <c r="E3606" s="376">
        <v>2029</v>
      </c>
      <c r="F3606" s="376">
        <v>1</v>
      </c>
      <c r="G3606" s="376">
        <v>5699.6268521940774</v>
      </c>
      <c r="H3606" s="376">
        <v>0</v>
      </c>
      <c r="I3606" s="376">
        <v>1</v>
      </c>
    </row>
    <row r="3607" spans="1:9" x14ac:dyDescent="0.35">
      <c r="A3607" s="376" t="s">
        <v>1606</v>
      </c>
      <c r="B3607" s="376" t="s">
        <v>1609</v>
      </c>
      <c r="C3607" s="376" t="s">
        <v>1054</v>
      </c>
      <c r="D3607" s="376">
        <v>2029</v>
      </c>
      <c r="E3607" s="376">
        <v>2029</v>
      </c>
      <c r="F3607" s="376">
        <v>1</v>
      </c>
      <c r="G3607" s="376">
        <v>5699.6268521940774</v>
      </c>
      <c r="H3607" s="376">
        <v>0</v>
      </c>
      <c r="I3607" s="376">
        <v>1</v>
      </c>
    </row>
    <row r="3608" spans="1:9" x14ac:dyDescent="0.35">
      <c r="A3608" s="376" t="s">
        <v>1606</v>
      </c>
      <c r="B3608" s="376" t="s">
        <v>1609</v>
      </c>
      <c r="C3608" s="376" t="s">
        <v>1046</v>
      </c>
      <c r="D3608" s="376">
        <v>2029</v>
      </c>
      <c r="E3608" s="376">
        <v>2030</v>
      </c>
      <c r="F3608" s="376">
        <v>1</v>
      </c>
      <c r="G3608" s="376">
        <v>5699.6268521940774</v>
      </c>
      <c r="H3608" s="376">
        <v>0</v>
      </c>
      <c r="I3608" s="376">
        <v>1</v>
      </c>
    </row>
    <row r="3609" spans="1:9" x14ac:dyDescent="0.35">
      <c r="A3609" s="376" t="s">
        <v>1606</v>
      </c>
      <c r="B3609" s="376" t="s">
        <v>1609</v>
      </c>
      <c r="C3609" s="376" t="s">
        <v>644</v>
      </c>
      <c r="D3609" s="376">
        <v>2029</v>
      </c>
      <c r="E3609" s="376">
        <v>2030</v>
      </c>
      <c r="F3609" s="376">
        <v>1</v>
      </c>
      <c r="G3609" s="376">
        <v>5699.6268521940774</v>
      </c>
      <c r="H3609" s="376">
        <v>0</v>
      </c>
      <c r="I3609" s="376">
        <v>1</v>
      </c>
    </row>
    <row r="3610" spans="1:9" x14ac:dyDescent="0.35">
      <c r="A3610" s="376" t="s">
        <v>1606</v>
      </c>
      <c r="B3610" s="376" t="s">
        <v>1609</v>
      </c>
      <c r="C3610" s="376" t="s">
        <v>628</v>
      </c>
      <c r="D3610" s="376">
        <v>2029</v>
      </c>
      <c r="E3610" s="376">
        <v>2030</v>
      </c>
      <c r="F3610" s="376">
        <v>1</v>
      </c>
      <c r="G3610" s="376">
        <v>5699.6268521940774</v>
      </c>
      <c r="H3610" s="376">
        <v>0</v>
      </c>
      <c r="I3610" s="376">
        <v>1</v>
      </c>
    </row>
    <row r="3611" spans="1:9" x14ac:dyDescent="0.35">
      <c r="A3611" s="376" t="s">
        <v>1606</v>
      </c>
      <c r="B3611" s="376" t="s">
        <v>1609</v>
      </c>
      <c r="C3611" s="376" t="s">
        <v>1051</v>
      </c>
      <c r="D3611" s="376">
        <v>2029</v>
      </c>
      <c r="E3611" s="376">
        <v>2030</v>
      </c>
      <c r="F3611" s="376">
        <v>1</v>
      </c>
      <c r="G3611" s="376">
        <v>5699.6268521940774</v>
      </c>
      <c r="H3611" s="376">
        <v>0</v>
      </c>
      <c r="I3611" s="376">
        <v>1</v>
      </c>
    </row>
    <row r="3612" spans="1:9" x14ac:dyDescent="0.35">
      <c r="A3612" s="376" t="s">
        <v>1606</v>
      </c>
      <c r="B3612" s="376" t="s">
        <v>1609</v>
      </c>
      <c r="C3612" s="376" t="s">
        <v>1054</v>
      </c>
      <c r="D3612" s="376">
        <v>2029</v>
      </c>
      <c r="E3612" s="376">
        <v>2030</v>
      </c>
      <c r="F3612" s="376">
        <v>1</v>
      </c>
      <c r="G3612" s="376">
        <v>5699.6268521940774</v>
      </c>
      <c r="H3612" s="376">
        <v>0</v>
      </c>
      <c r="I3612" s="376">
        <v>1</v>
      </c>
    </row>
    <row r="3613" spans="1:9" x14ac:dyDescent="0.35">
      <c r="A3613" s="376" t="s">
        <v>1606</v>
      </c>
      <c r="B3613" s="376" t="s">
        <v>1609</v>
      </c>
      <c r="C3613" s="376" t="s">
        <v>1046</v>
      </c>
      <c r="D3613" s="376">
        <v>2029</v>
      </c>
      <c r="E3613" s="376">
        <v>2031</v>
      </c>
      <c r="F3613" s="376">
        <v>1</v>
      </c>
      <c r="G3613" s="376">
        <v>5699.6268521940774</v>
      </c>
      <c r="H3613" s="376">
        <v>0</v>
      </c>
      <c r="I3613" s="376">
        <v>1</v>
      </c>
    </row>
    <row r="3614" spans="1:9" x14ac:dyDescent="0.35">
      <c r="A3614" s="376" t="s">
        <v>1606</v>
      </c>
      <c r="B3614" s="376" t="s">
        <v>1609</v>
      </c>
      <c r="C3614" s="376" t="s">
        <v>644</v>
      </c>
      <c r="D3614" s="376">
        <v>2029</v>
      </c>
      <c r="E3614" s="376">
        <v>2031</v>
      </c>
      <c r="F3614" s="376">
        <v>1</v>
      </c>
      <c r="G3614" s="376">
        <v>5699.6268521940774</v>
      </c>
      <c r="H3614" s="376">
        <v>0</v>
      </c>
      <c r="I3614" s="376">
        <v>1</v>
      </c>
    </row>
    <row r="3615" spans="1:9" x14ac:dyDescent="0.35">
      <c r="A3615" s="376" t="s">
        <v>1606</v>
      </c>
      <c r="B3615" s="376" t="s">
        <v>1609</v>
      </c>
      <c r="C3615" s="376" t="s">
        <v>628</v>
      </c>
      <c r="D3615" s="376">
        <v>2029</v>
      </c>
      <c r="E3615" s="376">
        <v>2031</v>
      </c>
      <c r="F3615" s="376">
        <v>1</v>
      </c>
      <c r="G3615" s="376">
        <v>5699.6268521940774</v>
      </c>
      <c r="H3615" s="376">
        <v>0</v>
      </c>
      <c r="I3615" s="376">
        <v>1</v>
      </c>
    </row>
    <row r="3616" spans="1:9" x14ac:dyDescent="0.35">
      <c r="A3616" s="376" t="s">
        <v>1606</v>
      </c>
      <c r="B3616" s="376" t="s">
        <v>1609</v>
      </c>
      <c r="C3616" s="376" t="s">
        <v>1051</v>
      </c>
      <c r="D3616" s="376">
        <v>2029</v>
      </c>
      <c r="E3616" s="376">
        <v>2031</v>
      </c>
      <c r="F3616" s="376">
        <v>1</v>
      </c>
      <c r="G3616" s="376">
        <v>5699.6268521940774</v>
      </c>
      <c r="H3616" s="376">
        <v>0</v>
      </c>
      <c r="I3616" s="376">
        <v>1</v>
      </c>
    </row>
    <row r="3617" spans="1:9" x14ac:dyDescent="0.35">
      <c r="A3617" s="376" t="s">
        <v>1606</v>
      </c>
      <c r="B3617" s="376" t="s">
        <v>1609</v>
      </c>
      <c r="C3617" s="376" t="s">
        <v>1054</v>
      </c>
      <c r="D3617" s="376">
        <v>2029</v>
      </c>
      <c r="E3617" s="376">
        <v>2031</v>
      </c>
      <c r="F3617" s="376">
        <v>1</v>
      </c>
      <c r="G3617" s="376">
        <v>5699.6268521940774</v>
      </c>
      <c r="H3617" s="376">
        <v>0</v>
      </c>
      <c r="I3617" s="376">
        <v>1</v>
      </c>
    </row>
    <row r="3618" spans="1:9" x14ac:dyDescent="0.35">
      <c r="A3618" s="376" t="s">
        <v>1612</v>
      </c>
      <c r="B3618" s="376" t="s">
        <v>1609</v>
      </c>
      <c r="C3618" s="376" t="s">
        <v>1046</v>
      </c>
      <c r="D3618" s="376">
        <v>2030</v>
      </c>
      <c r="E3618" s="376">
        <v>2030</v>
      </c>
      <c r="F3618" s="376">
        <v>0.37384575124303709</v>
      </c>
      <c r="G3618" s="376">
        <v>9928.6887826901675</v>
      </c>
      <c r="H3618" s="376">
        <v>0.29487517685500947</v>
      </c>
      <c r="I3618" s="376">
        <v>0.85</v>
      </c>
    </row>
    <row r="3619" spans="1:9" x14ac:dyDescent="0.35">
      <c r="A3619" s="376" t="s">
        <v>1612</v>
      </c>
      <c r="B3619" s="376" t="s">
        <v>1609</v>
      </c>
      <c r="C3619" s="376" t="s">
        <v>644</v>
      </c>
      <c r="D3619" s="376">
        <v>2030</v>
      </c>
      <c r="E3619" s="376">
        <v>2030</v>
      </c>
      <c r="F3619" s="376">
        <v>0.37384575124303709</v>
      </c>
      <c r="G3619" s="376">
        <v>9928.6887826901675</v>
      </c>
      <c r="H3619" s="376">
        <v>0.29487517685500947</v>
      </c>
      <c r="I3619" s="376">
        <v>0.85</v>
      </c>
    </row>
    <row r="3620" spans="1:9" x14ac:dyDescent="0.35">
      <c r="A3620" s="376" t="s">
        <v>1612</v>
      </c>
      <c r="B3620" s="376" t="s">
        <v>1609</v>
      </c>
      <c r="C3620" s="376" t="s">
        <v>628</v>
      </c>
      <c r="D3620" s="376">
        <v>2030</v>
      </c>
      <c r="E3620" s="376">
        <v>2030</v>
      </c>
      <c r="F3620" s="376">
        <v>0.37384575124303709</v>
      </c>
      <c r="G3620" s="376">
        <v>9928.6887826901675</v>
      </c>
      <c r="H3620" s="376">
        <v>0.29487517685500947</v>
      </c>
      <c r="I3620" s="376">
        <v>0.85</v>
      </c>
    </row>
    <row r="3621" spans="1:9" x14ac:dyDescent="0.35">
      <c r="A3621" s="376" t="s">
        <v>1612</v>
      </c>
      <c r="B3621" s="376" t="s">
        <v>1609</v>
      </c>
      <c r="C3621" s="376" t="s">
        <v>1051</v>
      </c>
      <c r="D3621" s="376">
        <v>2030</v>
      </c>
      <c r="E3621" s="376">
        <v>2030</v>
      </c>
      <c r="F3621" s="376">
        <v>0.37384575124303709</v>
      </c>
      <c r="G3621" s="376">
        <v>9928.6887826901675</v>
      </c>
      <c r="H3621" s="376">
        <v>0.29487517685500947</v>
      </c>
      <c r="I3621" s="376">
        <v>0.85</v>
      </c>
    </row>
    <row r="3622" spans="1:9" x14ac:dyDescent="0.35">
      <c r="A3622" s="376" t="s">
        <v>1612</v>
      </c>
      <c r="B3622" s="376" t="s">
        <v>1609</v>
      </c>
      <c r="C3622" s="376" t="s">
        <v>1054</v>
      </c>
      <c r="D3622" s="376">
        <v>2030</v>
      </c>
      <c r="E3622" s="376">
        <v>2030</v>
      </c>
      <c r="F3622" s="376">
        <v>0.37384575124303709</v>
      </c>
      <c r="G3622" s="376">
        <v>9928.6887826901675</v>
      </c>
      <c r="H3622" s="376">
        <v>0.29487517685500947</v>
      </c>
      <c r="I3622" s="376">
        <v>0.85</v>
      </c>
    </row>
    <row r="3623" spans="1:9" x14ac:dyDescent="0.35">
      <c r="A3623" s="376" t="s">
        <v>1612</v>
      </c>
      <c r="B3623" s="376" t="s">
        <v>1609</v>
      </c>
      <c r="C3623" s="376" t="s">
        <v>1046</v>
      </c>
      <c r="D3623" s="376">
        <v>2030</v>
      </c>
      <c r="E3623" s="376">
        <v>2031</v>
      </c>
      <c r="F3623" s="376">
        <v>0.37384575124303709</v>
      </c>
      <c r="G3623" s="376">
        <v>9928.6887826901675</v>
      </c>
      <c r="H3623" s="376">
        <v>0.29487517685500947</v>
      </c>
      <c r="I3623" s="376">
        <v>0.85</v>
      </c>
    </row>
    <row r="3624" spans="1:9" x14ac:dyDescent="0.35">
      <c r="A3624" s="376" t="s">
        <v>1612</v>
      </c>
      <c r="B3624" s="376" t="s">
        <v>1609</v>
      </c>
      <c r="C3624" s="376" t="s">
        <v>644</v>
      </c>
      <c r="D3624" s="376">
        <v>2030</v>
      </c>
      <c r="E3624" s="376">
        <v>2031</v>
      </c>
      <c r="F3624" s="376">
        <v>0.37384575124303709</v>
      </c>
      <c r="G3624" s="376">
        <v>9928.6887826901675</v>
      </c>
      <c r="H3624" s="376">
        <v>0.29487517685500947</v>
      </c>
      <c r="I3624" s="376">
        <v>0.85</v>
      </c>
    </row>
    <row r="3625" spans="1:9" x14ac:dyDescent="0.35">
      <c r="A3625" s="376" t="s">
        <v>1612</v>
      </c>
      <c r="B3625" s="376" t="s">
        <v>1609</v>
      </c>
      <c r="C3625" s="376" t="s">
        <v>628</v>
      </c>
      <c r="D3625" s="376">
        <v>2030</v>
      </c>
      <c r="E3625" s="376">
        <v>2031</v>
      </c>
      <c r="F3625" s="376">
        <v>0.37384575124303709</v>
      </c>
      <c r="G3625" s="376">
        <v>9928.6887826901675</v>
      </c>
      <c r="H3625" s="376">
        <v>0.29487517685500947</v>
      </c>
      <c r="I3625" s="376">
        <v>0.85</v>
      </c>
    </row>
    <row r="3626" spans="1:9" x14ac:dyDescent="0.35">
      <c r="A3626" s="376" t="s">
        <v>1612</v>
      </c>
      <c r="B3626" s="376" t="s">
        <v>1609</v>
      </c>
      <c r="C3626" s="376" t="s">
        <v>1051</v>
      </c>
      <c r="D3626" s="376">
        <v>2030</v>
      </c>
      <c r="E3626" s="376">
        <v>2031</v>
      </c>
      <c r="F3626" s="376">
        <v>0.37384575124303709</v>
      </c>
      <c r="G3626" s="376">
        <v>9928.6887826901675</v>
      </c>
      <c r="H3626" s="376">
        <v>0.29487517685500947</v>
      </c>
      <c r="I3626" s="376">
        <v>0.85</v>
      </c>
    </row>
    <row r="3627" spans="1:9" x14ac:dyDescent="0.35">
      <c r="A3627" s="376" t="s">
        <v>1612</v>
      </c>
      <c r="B3627" s="376" t="s">
        <v>1609</v>
      </c>
      <c r="C3627" s="376" t="s">
        <v>1054</v>
      </c>
      <c r="D3627" s="376">
        <v>2030</v>
      </c>
      <c r="E3627" s="376">
        <v>2031</v>
      </c>
      <c r="F3627" s="376">
        <v>0.37384575124303709</v>
      </c>
      <c r="G3627" s="376">
        <v>9928.6887826901675</v>
      </c>
      <c r="H3627" s="376">
        <v>0.29487517685500947</v>
      </c>
      <c r="I3627" s="376">
        <v>0.85</v>
      </c>
    </row>
    <row r="3628" spans="1:9" x14ac:dyDescent="0.35">
      <c r="A3628" s="376" t="s">
        <v>1613</v>
      </c>
      <c r="B3628" s="376" t="s">
        <v>1609</v>
      </c>
      <c r="C3628" s="376" t="s">
        <v>1046</v>
      </c>
      <c r="D3628" s="376">
        <v>2030</v>
      </c>
      <c r="E3628" s="376">
        <v>2030</v>
      </c>
      <c r="F3628" s="376">
        <v>0.40444272241720852</v>
      </c>
      <c r="G3628" s="376">
        <v>8848.5269568257354</v>
      </c>
      <c r="H3628" s="376">
        <v>0.28157136688417045</v>
      </c>
      <c r="I3628" s="376">
        <v>0.85</v>
      </c>
    </row>
    <row r="3629" spans="1:9" x14ac:dyDescent="0.35">
      <c r="A3629" s="376" t="s">
        <v>1613</v>
      </c>
      <c r="B3629" s="376" t="s">
        <v>1609</v>
      </c>
      <c r="C3629" s="376" t="s">
        <v>644</v>
      </c>
      <c r="D3629" s="376">
        <v>2030</v>
      </c>
      <c r="E3629" s="376">
        <v>2030</v>
      </c>
      <c r="F3629" s="376">
        <v>0.40444272241720852</v>
      </c>
      <c r="G3629" s="376">
        <v>8848.5269568257354</v>
      </c>
      <c r="H3629" s="376">
        <v>0.28157136688417045</v>
      </c>
      <c r="I3629" s="376">
        <v>0.85</v>
      </c>
    </row>
    <row r="3630" spans="1:9" x14ac:dyDescent="0.35">
      <c r="A3630" s="376" t="s">
        <v>1613</v>
      </c>
      <c r="B3630" s="376" t="s">
        <v>1609</v>
      </c>
      <c r="C3630" s="376" t="s">
        <v>628</v>
      </c>
      <c r="D3630" s="376">
        <v>2030</v>
      </c>
      <c r="E3630" s="376">
        <v>2030</v>
      </c>
      <c r="F3630" s="376">
        <v>0.40444272241720852</v>
      </c>
      <c r="G3630" s="376">
        <v>8848.5269568257354</v>
      </c>
      <c r="H3630" s="376">
        <v>0.28157136688417045</v>
      </c>
      <c r="I3630" s="376">
        <v>0.85</v>
      </c>
    </row>
    <row r="3631" spans="1:9" x14ac:dyDescent="0.35">
      <c r="A3631" s="376" t="s">
        <v>1613</v>
      </c>
      <c r="B3631" s="376" t="s">
        <v>1609</v>
      </c>
      <c r="C3631" s="376" t="s">
        <v>1051</v>
      </c>
      <c r="D3631" s="376">
        <v>2030</v>
      </c>
      <c r="E3631" s="376">
        <v>2030</v>
      </c>
      <c r="F3631" s="376">
        <v>0.40444272241720852</v>
      </c>
      <c r="G3631" s="376">
        <v>8848.5269568257354</v>
      </c>
      <c r="H3631" s="376">
        <v>0.28157136688417045</v>
      </c>
      <c r="I3631" s="376">
        <v>0.85</v>
      </c>
    </row>
    <row r="3632" spans="1:9" x14ac:dyDescent="0.35">
      <c r="A3632" s="376" t="s">
        <v>1613</v>
      </c>
      <c r="B3632" s="376" t="s">
        <v>1609</v>
      </c>
      <c r="C3632" s="376" t="s">
        <v>1054</v>
      </c>
      <c r="D3632" s="376">
        <v>2030</v>
      </c>
      <c r="E3632" s="376">
        <v>2030</v>
      </c>
      <c r="F3632" s="376">
        <v>0.40444272241720852</v>
      </c>
      <c r="G3632" s="376">
        <v>8848.5269568257354</v>
      </c>
      <c r="H3632" s="376">
        <v>0.28157136688417045</v>
      </c>
      <c r="I3632" s="376">
        <v>0.85</v>
      </c>
    </row>
    <row r="3633" spans="1:9" x14ac:dyDescent="0.35">
      <c r="A3633" s="376" t="s">
        <v>1613</v>
      </c>
      <c r="B3633" s="376" t="s">
        <v>1609</v>
      </c>
      <c r="C3633" s="376" t="s">
        <v>1046</v>
      </c>
      <c r="D3633" s="376">
        <v>2030</v>
      </c>
      <c r="E3633" s="376">
        <v>2031</v>
      </c>
      <c r="F3633" s="376">
        <v>0.40444272241720852</v>
      </c>
      <c r="G3633" s="376">
        <v>8848.5269568257354</v>
      </c>
      <c r="H3633" s="376">
        <v>0.28157136688417045</v>
      </c>
      <c r="I3633" s="376">
        <v>0.85</v>
      </c>
    </row>
    <row r="3634" spans="1:9" x14ac:dyDescent="0.35">
      <c r="A3634" s="376" t="s">
        <v>1613</v>
      </c>
      <c r="B3634" s="376" t="s">
        <v>1609</v>
      </c>
      <c r="C3634" s="376" t="s">
        <v>644</v>
      </c>
      <c r="D3634" s="376">
        <v>2030</v>
      </c>
      <c r="E3634" s="376">
        <v>2031</v>
      </c>
      <c r="F3634" s="376">
        <v>0.40444272241720852</v>
      </c>
      <c r="G3634" s="376">
        <v>8848.5269568257354</v>
      </c>
      <c r="H3634" s="376">
        <v>0.28157136688417045</v>
      </c>
      <c r="I3634" s="376">
        <v>0.85</v>
      </c>
    </row>
    <row r="3635" spans="1:9" x14ac:dyDescent="0.35">
      <c r="A3635" s="376" t="s">
        <v>1613</v>
      </c>
      <c r="B3635" s="376" t="s">
        <v>1609</v>
      </c>
      <c r="C3635" s="376" t="s">
        <v>628</v>
      </c>
      <c r="D3635" s="376">
        <v>2030</v>
      </c>
      <c r="E3635" s="376">
        <v>2031</v>
      </c>
      <c r="F3635" s="376">
        <v>0.40444272241720852</v>
      </c>
      <c r="G3635" s="376">
        <v>8848.5269568257354</v>
      </c>
      <c r="H3635" s="376">
        <v>0.28157136688417045</v>
      </c>
      <c r="I3635" s="376">
        <v>0.85</v>
      </c>
    </row>
    <row r="3636" spans="1:9" x14ac:dyDescent="0.35">
      <c r="A3636" s="376" t="s">
        <v>1613</v>
      </c>
      <c r="B3636" s="376" t="s">
        <v>1609</v>
      </c>
      <c r="C3636" s="376" t="s">
        <v>1051</v>
      </c>
      <c r="D3636" s="376">
        <v>2030</v>
      </c>
      <c r="E3636" s="376">
        <v>2031</v>
      </c>
      <c r="F3636" s="376">
        <v>0.40444272241720852</v>
      </c>
      <c r="G3636" s="376">
        <v>8848.5269568257354</v>
      </c>
      <c r="H3636" s="376">
        <v>0.28157136688417045</v>
      </c>
      <c r="I3636" s="376">
        <v>0.85</v>
      </c>
    </row>
    <row r="3637" spans="1:9" x14ac:dyDescent="0.35">
      <c r="A3637" s="376" t="s">
        <v>1613</v>
      </c>
      <c r="B3637" s="376" t="s">
        <v>1609</v>
      </c>
      <c r="C3637" s="376" t="s">
        <v>1054</v>
      </c>
      <c r="D3637" s="376">
        <v>2030</v>
      </c>
      <c r="E3637" s="376">
        <v>2031</v>
      </c>
      <c r="F3637" s="376">
        <v>0.40444272241720852</v>
      </c>
      <c r="G3637" s="376">
        <v>8848.5269568257354</v>
      </c>
      <c r="H3637" s="376">
        <v>0.28157136688417045</v>
      </c>
      <c r="I3637" s="376">
        <v>0.85</v>
      </c>
    </row>
    <row r="3638" spans="1:9" x14ac:dyDescent="0.35">
      <c r="A3638" s="376" t="s">
        <v>1614</v>
      </c>
      <c r="B3638" s="376" t="s">
        <v>1609</v>
      </c>
      <c r="C3638" s="376" t="s">
        <v>1046</v>
      </c>
      <c r="D3638" s="376">
        <v>2030</v>
      </c>
      <c r="E3638" s="376">
        <v>2030</v>
      </c>
      <c r="F3638" s="376">
        <v>0.28070162831646173</v>
      </c>
      <c r="G3638" s="376">
        <v>6454.3984013550207</v>
      </c>
      <c r="H3638" s="376">
        <v>0.28157136688417045</v>
      </c>
      <c r="I3638" s="376">
        <v>0.85</v>
      </c>
    </row>
    <row r="3639" spans="1:9" x14ac:dyDescent="0.35">
      <c r="A3639" s="376" t="s">
        <v>1614</v>
      </c>
      <c r="B3639" s="376" t="s">
        <v>1609</v>
      </c>
      <c r="C3639" s="376" t="s">
        <v>644</v>
      </c>
      <c r="D3639" s="376">
        <v>2030</v>
      </c>
      <c r="E3639" s="376">
        <v>2030</v>
      </c>
      <c r="F3639" s="376">
        <v>0.28070162831646173</v>
      </c>
      <c r="G3639" s="376">
        <v>6454.3984013550207</v>
      </c>
      <c r="H3639" s="376">
        <v>0.28157136688417045</v>
      </c>
      <c r="I3639" s="376">
        <v>0.85</v>
      </c>
    </row>
    <row r="3640" spans="1:9" x14ac:dyDescent="0.35">
      <c r="A3640" s="376" t="s">
        <v>1614</v>
      </c>
      <c r="B3640" s="376" t="s">
        <v>1609</v>
      </c>
      <c r="C3640" s="376" t="s">
        <v>628</v>
      </c>
      <c r="D3640" s="376">
        <v>2030</v>
      </c>
      <c r="E3640" s="376">
        <v>2030</v>
      </c>
      <c r="F3640" s="376">
        <v>0.28070162831646173</v>
      </c>
      <c r="G3640" s="376">
        <v>6454.3984013550207</v>
      </c>
      <c r="H3640" s="376">
        <v>0.28157136688417045</v>
      </c>
      <c r="I3640" s="376">
        <v>0.85</v>
      </c>
    </row>
    <row r="3641" spans="1:9" x14ac:dyDescent="0.35">
      <c r="A3641" s="376" t="s">
        <v>1614</v>
      </c>
      <c r="B3641" s="376" t="s">
        <v>1609</v>
      </c>
      <c r="C3641" s="376" t="s">
        <v>1051</v>
      </c>
      <c r="D3641" s="376">
        <v>2030</v>
      </c>
      <c r="E3641" s="376">
        <v>2030</v>
      </c>
      <c r="F3641" s="376">
        <v>0.28070162831646173</v>
      </c>
      <c r="G3641" s="376">
        <v>6454.3984013550207</v>
      </c>
      <c r="H3641" s="376">
        <v>0.28157136688417045</v>
      </c>
      <c r="I3641" s="376">
        <v>0.85</v>
      </c>
    </row>
    <row r="3642" spans="1:9" x14ac:dyDescent="0.35">
      <c r="A3642" s="376" t="s">
        <v>1614</v>
      </c>
      <c r="B3642" s="376" t="s">
        <v>1609</v>
      </c>
      <c r="C3642" s="376" t="s">
        <v>1054</v>
      </c>
      <c r="D3642" s="376">
        <v>2030</v>
      </c>
      <c r="E3642" s="376">
        <v>2030</v>
      </c>
      <c r="F3642" s="376">
        <v>0.28070162831646173</v>
      </c>
      <c r="G3642" s="376">
        <v>6454.3984013550207</v>
      </c>
      <c r="H3642" s="376">
        <v>0.28157136688417045</v>
      </c>
      <c r="I3642" s="376">
        <v>0.85</v>
      </c>
    </row>
    <row r="3643" spans="1:9" x14ac:dyDescent="0.35">
      <c r="A3643" s="376" t="s">
        <v>1614</v>
      </c>
      <c r="B3643" s="376" t="s">
        <v>1609</v>
      </c>
      <c r="C3643" s="376" t="s">
        <v>1046</v>
      </c>
      <c r="D3643" s="376">
        <v>2030</v>
      </c>
      <c r="E3643" s="376">
        <v>2031</v>
      </c>
      <c r="F3643" s="376">
        <v>0.28070162831646173</v>
      </c>
      <c r="G3643" s="376">
        <v>6454.3984013550207</v>
      </c>
      <c r="H3643" s="376">
        <v>0.28157136688417045</v>
      </c>
      <c r="I3643" s="376">
        <v>0.85</v>
      </c>
    </row>
    <row r="3644" spans="1:9" x14ac:dyDescent="0.35">
      <c r="A3644" s="376" t="s">
        <v>1614</v>
      </c>
      <c r="B3644" s="376" t="s">
        <v>1609</v>
      </c>
      <c r="C3644" s="376" t="s">
        <v>644</v>
      </c>
      <c r="D3644" s="376">
        <v>2030</v>
      </c>
      <c r="E3644" s="376">
        <v>2031</v>
      </c>
      <c r="F3644" s="376">
        <v>0.28070162831646173</v>
      </c>
      <c r="G3644" s="376">
        <v>6454.3984013550207</v>
      </c>
      <c r="H3644" s="376">
        <v>0.28157136688417045</v>
      </c>
      <c r="I3644" s="376">
        <v>0.85</v>
      </c>
    </row>
    <row r="3645" spans="1:9" x14ac:dyDescent="0.35">
      <c r="A3645" s="376" t="s">
        <v>1614</v>
      </c>
      <c r="B3645" s="376" t="s">
        <v>1609</v>
      </c>
      <c r="C3645" s="376" t="s">
        <v>628</v>
      </c>
      <c r="D3645" s="376">
        <v>2030</v>
      </c>
      <c r="E3645" s="376">
        <v>2031</v>
      </c>
      <c r="F3645" s="376">
        <v>0.28070162831646173</v>
      </c>
      <c r="G3645" s="376">
        <v>6454.3984013550207</v>
      </c>
      <c r="H3645" s="376">
        <v>0.28157136688417045</v>
      </c>
      <c r="I3645" s="376">
        <v>0.85</v>
      </c>
    </row>
    <row r="3646" spans="1:9" x14ac:dyDescent="0.35">
      <c r="A3646" s="376" t="s">
        <v>1614</v>
      </c>
      <c r="B3646" s="376" t="s">
        <v>1609</v>
      </c>
      <c r="C3646" s="376" t="s">
        <v>1051</v>
      </c>
      <c r="D3646" s="376">
        <v>2030</v>
      </c>
      <c r="E3646" s="376">
        <v>2031</v>
      </c>
      <c r="F3646" s="376">
        <v>0.28070162831646173</v>
      </c>
      <c r="G3646" s="376">
        <v>6454.3984013550207</v>
      </c>
      <c r="H3646" s="376">
        <v>0.28157136688417045</v>
      </c>
      <c r="I3646" s="376">
        <v>0.85</v>
      </c>
    </row>
    <row r="3647" spans="1:9" x14ac:dyDescent="0.35">
      <c r="A3647" s="376" t="s">
        <v>1614</v>
      </c>
      <c r="B3647" s="376" t="s">
        <v>1609</v>
      </c>
      <c r="C3647" s="376" t="s">
        <v>1054</v>
      </c>
      <c r="D3647" s="376">
        <v>2030</v>
      </c>
      <c r="E3647" s="376">
        <v>2031</v>
      </c>
      <c r="F3647" s="376">
        <v>0.28070162831646173</v>
      </c>
      <c r="G3647" s="376">
        <v>6454.3984013550207</v>
      </c>
      <c r="H3647" s="376">
        <v>0.28157136688417045</v>
      </c>
      <c r="I3647" s="376">
        <v>0.85</v>
      </c>
    </row>
    <row r="3648" spans="1:9" x14ac:dyDescent="0.35">
      <c r="A3648" s="376" t="s">
        <v>1604</v>
      </c>
      <c r="B3648" s="376" t="s">
        <v>1609</v>
      </c>
      <c r="C3648" s="376" t="s">
        <v>1046</v>
      </c>
      <c r="D3648" s="376">
        <v>2030</v>
      </c>
      <c r="E3648" s="376">
        <v>2030</v>
      </c>
      <c r="F3648" s="376">
        <v>1</v>
      </c>
      <c r="G3648" s="376">
        <v>10872.741503138899</v>
      </c>
      <c r="H3648" s="376">
        <v>0</v>
      </c>
      <c r="I3648" s="376">
        <v>1</v>
      </c>
    </row>
    <row r="3649" spans="1:9" x14ac:dyDescent="0.35">
      <c r="A3649" s="376" t="s">
        <v>1604</v>
      </c>
      <c r="B3649" s="376" t="s">
        <v>1609</v>
      </c>
      <c r="C3649" s="376" t="s">
        <v>644</v>
      </c>
      <c r="D3649" s="376">
        <v>2030</v>
      </c>
      <c r="E3649" s="376">
        <v>2030</v>
      </c>
      <c r="F3649" s="376">
        <v>1</v>
      </c>
      <c r="G3649" s="376">
        <v>10872.741503138899</v>
      </c>
      <c r="H3649" s="376">
        <v>0</v>
      </c>
      <c r="I3649" s="376">
        <v>1</v>
      </c>
    </row>
    <row r="3650" spans="1:9" x14ac:dyDescent="0.35">
      <c r="A3650" s="376" t="s">
        <v>1604</v>
      </c>
      <c r="B3650" s="376" t="s">
        <v>1609</v>
      </c>
      <c r="C3650" s="376" t="s">
        <v>628</v>
      </c>
      <c r="D3650" s="376">
        <v>2030</v>
      </c>
      <c r="E3650" s="376">
        <v>2030</v>
      </c>
      <c r="F3650" s="376">
        <v>1</v>
      </c>
      <c r="G3650" s="376">
        <v>10872.741503138899</v>
      </c>
      <c r="H3650" s="376">
        <v>0</v>
      </c>
      <c r="I3650" s="376">
        <v>1</v>
      </c>
    </row>
    <row r="3651" spans="1:9" x14ac:dyDescent="0.35">
      <c r="A3651" s="376" t="s">
        <v>1604</v>
      </c>
      <c r="B3651" s="376" t="s">
        <v>1609</v>
      </c>
      <c r="C3651" s="376" t="s">
        <v>1051</v>
      </c>
      <c r="D3651" s="376">
        <v>2030</v>
      </c>
      <c r="E3651" s="376">
        <v>2030</v>
      </c>
      <c r="F3651" s="376">
        <v>1</v>
      </c>
      <c r="G3651" s="376">
        <v>10872.741503138899</v>
      </c>
      <c r="H3651" s="376">
        <v>0</v>
      </c>
      <c r="I3651" s="376">
        <v>1</v>
      </c>
    </row>
    <row r="3652" spans="1:9" x14ac:dyDescent="0.35">
      <c r="A3652" s="376" t="s">
        <v>1604</v>
      </c>
      <c r="B3652" s="376" t="s">
        <v>1609</v>
      </c>
      <c r="C3652" s="376" t="s">
        <v>1054</v>
      </c>
      <c r="D3652" s="376">
        <v>2030</v>
      </c>
      <c r="E3652" s="376">
        <v>2030</v>
      </c>
      <c r="F3652" s="376">
        <v>1</v>
      </c>
      <c r="G3652" s="376">
        <v>10872.741503138899</v>
      </c>
      <c r="H3652" s="376">
        <v>0</v>
      </c>
      <c r="I3652" s="376">
        <v>1</v>
      </c>
    </row>
    <row r="3653" spans="1:9" x14ac:dyDescent="0.35">
      <c r="A3653" s="376" t="s">
        <v>1604</v>
      </c>
      <c r="B3653" s="376" t="s">
        <v>1609</v>
      </c>
      <c r="C3653" s="376" t="s">
        <v>1046</v>
      </c>
      <c r="D3653" s="376">
        <v>2030</v>
      </c>
      <c r="E3653" s="376">
        <v>2031</v>
      </c>
      <c r="F3653" s="376">
        <v>1</v>
      </c>
      <c r="G3653" s="376">
        <v>10872.741503138899</v>
      </c>
      <c r="H3653" s="376">
        <v>0</v>
      </c>
      <c r="I3653" s="376">
        <v>1</v>
      </c>
    </row>
    <row r="3654" spans="1:9" x14ac:dyDescent="0.35">
      <c r="A3654" s="376" t="s">
        <v>1604</v>
      </c>
      <c r="B3654" s="376" t="s">
        <v>1609</v>
      </c>
      <c r="C3654" s="376" t="s">
        <v>644</v>
      </c>
      <c r="D3654" s="376">
        <v>2030</v>
      </c>
      <c r="E3654" s="376">
        <v>2031</v>
      </c>
      <c r="F3654" s="376">
        <v>1</v>
      </c>
      <c r="G3654" s="376">
        <v>10872.741503138899</v>
      </c>
      <c r="H3654" s="376">
        <v>0</v>
      </c>
      <c r="I3654" s="376">
        <v>1</v>
      </c>
    </row>
    <row r="3655" spans="1:9" x14ac:dyDescent="0.35">
      <c r="A3655" s="376" t="s">
        <v>1604</v>
      </c>
      <c r="B3655" s="376" t="s">
        <v>1609</v>
      </c>
      <c r="C3655" s="376" t="s">
        <v>628</v>
      </c>
      <c r="D3655" s="376">
        <v>2030</v>
      </c>
      <c r="E3655" s="376">
        <v>2031</v>
      </c>
      <c r="F3655" s="376">
        <v>1</v>
      </c>
      <c r="G3655" s="376">
        <v>10872.741503138899</v>
      </c>
      <c r="H3655" s="376">
        <v>0</v>
      </c>
      <c r="I3655" s="376">
        <v>1</v>
      </c>
    </row>
    <row r="3656" spans="1:9" x14ac:dyDescent="0.35">
      <c r="A3656" s="376" t="s">
        <v>1604</v>
      </c>
      <c r="B3656" s="376" t="s">
        <v>1609</v>
      </c>
      <c r="C3656" s="376" t="s">
        <v>1051</v>
      </c>
      <c r="D3656" s="376">
        <v>2030</v>
      </c>
      <c r="E3656" s="376">
        <v>2031</v>
      </c>
      <c r="F3656" s="376">
        <v>1</v>
      </c>
      <c r="G3656" s="376">
        <v>10872.741503138899</v>
      </c>
      <c r="H3656" s="376">
        <v>0</v>
      </c>
      <c r="I3656" s="376">
        <v>1</v>
      </c>
    </row>
    <row r="3657" spans="1:9" x14ac:dyDescent="0.35">
      <c r="A3657" s="376" t="s">
        <v>1604</v>
      </c>
      <c r="B3657" s="376" t="s">
        <v>1609</v>
      </c>
      <c r="C3657" s="376" t="s">
        <v>1054</v>
      </c>
      <c r="D3657" s="376">
        <v>2030</v>
      </c>
      <c r="E3657" s="376">
        <v>2031</v>
      </c>
      <c r="F3657" s="376">
        <v>1</v>
      </c>
      <c r="G3657" s="376">
        <v>10872.741503138899</v>
      </c>
      <c r="H3657" s="376">
        <v>0</v>
      </c>
      <c r="I3657" s="376">
        <v>1</v>
      </c>
    </row>
    <row r="3658" spans="1:9" x14ac:dyDescent="0.35">
      <c r="A3658" s="376" t="s">
        <v>1615</v>
      </c>
      <c r="B3658" s="376" t="s">
        <v>1609</v>
      </c>
      <c r="C3658" s="376" t="s">
        <v>1046</v>
      </c>
      <c r="D3658" s="376">
        <v>2030</v>
      </c>
      <c r="E3658" s="376">
        <v>2030</v>
      </c>
      <c r="F3658" s="376">
        <v>1</v>
      </c>
      <c r="G3658" s="376">
        <v>20148.813739673951</v>
      </c>
      <c r="H3658" s="376">
        <v>0</v>
      </c>
      <c r="I3658" s="376">
        <v>0.65716939790195539</v>
      </c>
    </row>
    <row r="3659" spans="1:9" x14ac:dyDescent="0.35">
      <c r="A3659" s="376" t="s">
        <v>1615</v>
      </c>
      <c r="B3659" s="376" t="s">
        <v>1609</v>
      </c>
      <c r="C3659" s="376" t="s">
        <v>644</v>
      </c>
      <c r="D3659" s="376">
        <v>2030</v>
      </c>
      <c r="E3659" s="376">
        <v>2030</v>
      </c>
      <c r="F3659" s="376">
        <v>1</v>
      </c>
      <c r="G3659" s="376">
        <v>20148.813739673951</v>
      </c>
      <c r="H3659" s="376">
        <v>0</v>
      </c>
      <c r="I3659" s="376">
        <v>0.65716939790195539</v>
      </c>
    </row>
    <row r="3660" spans="1:9" x14ac:dyDescent="0.35">
      <c r="A3660" s="376" t="s">
        <v>1615</v>
      </c>
      <c r="B3660" s="376" t="s">
        <v>1609</v>
      </c>
      <c r="C3660" s="376" t="s">
        <v>628</v>
      </c>
      <c r="D3660" s="376">
        <v>2030</v>
      </c>
      <c r="E3660" s="376">
        <v>2030</v>
      </c>
      <c r="F3660" s="376">
        <v>1</v>
      </c>
      <c r="G3660" s="376">
        <v>20148.813739673951</v>
      </c>
      <c r="H3660" s="376">
        <v>0</v>
      </c>
      <c r="I3660" s="376">
        <v>0.65716939790195539</v>
      </c>
    </row>
    <row r="3661" spans="1:9" x14ac:dyDescent="0.35">
      <c r="A3661" s="376" t="s">
        <v>1615</v>
      </c>
      <c r="B3661" s="376" t="s">
        <v>1609</v>
      </c>
      <c r="C3661" s="376" t="s">
        <v>1051</v>
      </c>
      <c r="D3661" s="376">
        <v>2030</v>
      </c>
      <c r="E3661" s="376">
        <v>2030</v>
      </c>
      <c r="F3661" s="376">
        <v>1</v>
      </c>
      <c r="G3661" s="376">
        <v>20148.813739673951</v>
      </c>
      <c r="H3661" s="376">
        <v>0</v>
      </c>
      <c r="I3661" s="376">
        <v>0.65716939790195539</v>
      </c>
    </row>
    <row r="3662" spans="1:9" x14ac:dyDescent="0.35">
      <c r="A3662" s="376" t="s">
        <v>1615</v>
      </c>
      <c r="B3662" s="376" t="s">
        <v>1609</v>
      </c>
      <c r="C3662" s="376" t="s">
        <v>1054</v>
      </c>
      <c r="D3662" s="376">
        <v>2030</v>
      </c>
      <c r="E3662" s="376">
        <v>2030</v>
      </c>
      <c r="F3662" s="376">
        <v>1</v>
      </c>
      <c r="G3662" s="376">
        <v>20148.813739673951</v>
      </c>
      <c r="H3662" s="376">
        <v>0</v>
      </c>
      <c r="I3662" s="376">
        <v>0.65716939790195539</v>
      </c>
    </row>
    <row r="3663" spans="1:9" x14ac:dyDescent="0.35">
      <c r="A3663" s="376" t="s">
        <v>1615</v>
      </c>
      <c r="B3663" s="376" t="s">
        <v>1609</v>
      </c>
      <c r="C3663" s="376" t="s">
        <v>1046</v>
      </c>
      <c r="D3663" s="376">
        <v>2030</v>
      </c>
      <c r="E3663" s="376">
        <v>2031</v>
      </c>
      <c r="F3663" s="376">
        <v>1</v>
      </c>
      <c r="G3663" s="376">
        <v>20148.813739673951</v>
      </c>
      <c r="H3663" s="376">
        <v>0</v>
      </c>
      <c r="I3663" s="376">
        <v>0.65716939790195539</v>
      </c>
    </row>
    <row r="3664" spans="1:9" x14ac:dyDescent="0.35">
      <c r="A3664" s="376" t="s">
        <v>1615</v>
      </c>
      <c r="B3664" s="376" t="s">
        <v>1609</v>
      </c>
      <c r="C3664" s="376" t="s">
        <v>644</v>
      </c>
      <c r="D3664" s="376">
        <v>2030</v>
      </c>
      <c r="E3664" s="376">
        <v>2031</v>
      </c>
      <c r="F3664" s="376">
        <v>1</v>
      </c>
      <c r="G3664" s="376">
        <v>20148.813739673951</v>
      </c>
      <c r="H3664" s="376">
        <v>0</v>
      </c>
      <c r="I3664" s="376">
        <v>0.65716939790195539</v>
      </c>
    </row>
    <row r="3665" spans="1:9" x14ac:dyDescent="0.35">
      <c r="A3665" s="376" t="s">
        <v>1615</v>
      </c>
      <c r="B3665" s="376" t="s">
        <v>1609</v>
      </c>
      <c r="C3665" s="376" t="s">
        <v>628</v>
      </c>
      <c r="D3665" s="376">
        <v>2030</v>
      </c>
      <c r="E3665" s="376">
        <v>2031</v>
      </c>
      <c r="F3665" s="376">
        <v>1</v>
      </c>
      <c r="G3665" s="376">
        <v>20148.813739673951</v>
      </c>
      <c r="H3665" s="376">
        <v>0</v>
      </c>
      <c r="I3665" s="376">
        <v>0.65716939790195539</v>
      </c>
    </row>
    <row r="3666" spans="1:9" x14ac:dyDescent="0.35">
      <c r="A3666" s="376" t="s">
        <v>1615</v>
      </c>
      <c r="B3666" s="376" t="s">
        <v>1609</v>
      </c>
      <c r="C3666" s="376" t="s">
        <v>1051</v>
      </c>
      <c r="D3666" s="376">
        <v>2030</v>
      </c>
      <c r="E3666" s="376">
        <v>2031</v>
      </c>
      <c r="F3666" s="376">
        <v>1</v>
      </c>
      <c r="G3666" s="376">
        <v>20148.813739673951</v>
      </c>
      <c r="H3666" s="376">
        <v>0</v>
      </c>
      <c r="I3666" s="376">
        <v>0.65716939790195539</v>
      </c>
    </row>
    <row r="3667" spans="1:9" x14ac:dyDescent="0.35">
      <c r="A3667" s="376" t="s">
        <v>1615</v>
      </c>
      <c r="B3667" s="376" t="s">
        <v>1609</v>
      </c>
      <c r="C3667" s="376" t="s">
        <v>1054</v>
      </c>
      <c r="D3667" s="376">
        <v>2030</v>
      </c>
      <c r="E3667" s="376">
        <v>2031</v>
      </c>
      <c r="F3667" s="376">
        <v>1</v>
      </c>
      <c r="G3667" s="376">
        <v>20148.813739673951</v>
      </c>
      <c r="H3667" s="376">
        <v>0</v>
      </c>
      <c r="I3667" s="376">
        <v>0.65716939790195539</v>
      </c>
    </row>
    <row r="3668" spans="1:9" x14ac:dyDescent="0.35">
      <c r="A3668" s="376" t="s">
        <v>1603</v>
      </c>
      <c r="B3668" s="376" t="s">
        <v>1609</v>
      </c>
      <c r="C3668" s="376" t="s">
        <v>1046</v>
      </c>
      <c r="D3668" s="376">
        <v>2030</v>
      </c>
      <c r="E3668" s="376">
        <v>2030</v>
      </c>
      <c r="F3668" s="376">
        <v>1</v>
      </c>
      <c r="G3668" s="376">
        <v>6101.463203368502</v>
      </c>
      <c r="H3668" s="376">
        <v>0</v>
      </c>
      <c r="I3668" s="376">
        <v>1</v>
      </c>
    </row>
    <row r="3669" spans="1:9" x14ac:dyDescent="0.35">
      <c r="A3669" s="376" t="s">
        <v>1603</v>
      </c>
      <c r="B3669" s="376" t="s">
        <v>1609</v>
      </c>
      <c r="C3669" s="376" t="s">
        <v>644</v>
      </c>
      <c r="D3669" s="376">
        <v>2030</v>
      </c>
      <c r="E3669" s="376">
        <v>2030</v>
      </c>
      <c r="F3669" s="376">
        <v>1</v>
      </c>
      <c r="G3669" s="376">
        <v>6101.463203368502</v>
      </c>
      <c r="H3669" s="376">
        <v>0</v>
      </c>
      <c r="I3669" s="376">
        <v>1</v>
      </c>
    </row>
    <row r="3670" spans="1:9" x14ac:dyDescent="0.35">
      <c r="A3670" s="376" t="s">
        <v>1603</v>
      </c>
      <c r="B3670" s="376" t="s">
        <v>1609</v>
      </c>
      <c r="C3670" s="376" t="s">
        <v>628</v>
      </c>
      <c r="D3670" s="376">
        <v>2030</v>
      </c>
      <c r="E3670" s="376">
        <v>2030</v>
      </c>
      <c r="F3670" s="376">
        <v>1</v>
      </c>
      <c r="G3670" s="376">
        <v>6101.463203368502</v>
      </c>
      <c r="H3670" s="376">
        <v>0</v>
      </c>
      <c r="I3670" s="376">
        <v>1</v>
      </c>
    </row>
    <row r="3671" spans="1:9" x14ac:dyDescent="0.35">
      <c r="A3671" s="376" t="s">
        <v>1603</v>
      </c>
      <c r="B3671" s="376" t="s">
        <v>1609</v>
      </c>
      <c r="C3671" s="376" t="s">
        <v>1051</v>
      </c>
      <c r="D3671" s="376">
        <v>2030</v>
      </c>
      <c r="E3671" s="376">
        <v>2030</v>
      </c>
      <c r="F3671" s="376">
        <v>1</v>
      </c>
      <c r="G3671" s="376">
        <v>6101.463203368502</v>
      </c>
      <c r="H3671" s="376">
        <v>0</v>
      </c>
      <c r="I3671" s="376">
        <v>1</v>
      </c>
    </row>
    <row r="3672" spans="1:9" x14ac:dyDescent="0.35">
      <c r="A3672" s="376" t="s">
        <v>1603</v>
      </c>
      <c r="B3672" s="376" t="s">
        <v>1609</v>
      </c>
      <c r="C3672" s="376" t="s">
        <v>1054</v>
      </c>
      <c r="D3672" s="376">
        <v>2030</v>
      </c>
      <c r="E3672" s="376">
        <v>2030</v>
      </c>
      <c r="F3672" s="376">
        <v>1</v>
      </c>
      <c r="G3672" s="376">
        <v>6101.463203368502</v>
      </c>
      <c r="H3672" s="376">
        <v>0</v>
      </c>
      <c r="I3672" s="376">
        <v>1</v>
      </c>
    </row>
    <row r="3673" spans="1:9" x14ac:dyDescent="0.35">
      <c r="A3673" s="376" t="s">
        <v>1603</v>
      </c>
      <c r="B3673" s="376" t="s">
        <v>1609</v>
      </c>
      <c r="C3673" s="376" t="s">
        <v>1046</v>
      </c>
      <c r="D3673" s="376">
        <v>2030</v>
      </c>
      <c r="E3673" s="376">
        <v>2031</v>
      </c>
      <c r="F3673" s="376">
        <v>1</v>
      </c>
      <c r="G3673" s="376">
        <v>6101.463203368502</v>
      </c>
      <c r="H3673" s="376">
        <v>0</v>
      </c>
      <c r="I3673" s="376">
        <v>1</v>
      </c>
    </row>
    <row r="3674" spans="1:9" x14ac:dyDescent="0.35">
      <c r="A3674" s="376" t="s">
        <v>1603</v>
      </c>
      <c r="B3674" s="376" t="s">
        <v>1609</v>
      </c>
      <c r="C3674" s="376" t="s">
        <v>644</v>
      </c>
      <c r="D3674" s="376">
        <v>2030</v>
      </c>
      <c r="E3674" s="376">
        <v>2031</v>
      </c>
      <c r="F3674" s="376">
        <v>1</v>
      </c>
      <c r="G3674" s="376">
        <v>6101.463203368502</v>
      </c>
      <c r="H3674" s="376">
        <v>0</v>
      </c>
      <c r="I3674" s="376">
        <v>1</v>
      </c>
    </row>
    <row r="3675" spans="1:9" x14ac:dyDescent="0.35">
      <c r="A3675" s="376" t="s">
        <v>1603</v>
      </c>
      <c r="B3675" s="376" t="s">
        <v>1609</v>
      </c>
      <c r="C3675" s="376" t="s">
        <v>628</v>
      </c>
      <c r="D3675" s="376">
        <v>2030</v>
      </c>
      <c r="E3675" s="376">
        <v>2031</v>
      </c>
      <c r="F3675" s="376">
        <v>1</v>
      </c>
      <c r="G3675" s="376">
        <v>6101.463203368502</v>
      </c>
      <c r="H3675" s="376">
        <v>0</v>
      </c>
      <c r="I3675" s="376">
        <v>1</v>
      </c>
    </row>
    <row r="3676" spans="1:9" x14ac:dyDescent="0.35">
      <c r="A3676" s="376" t="s">
        <v>1603</v>
      </c>
      <c r="B3676" s="376" t="s">
        <v>1609</v>
      </c>
      <c r="C3676" s="376" t="s">
        <v>1051</v>
      </c>
      <c r="D3676" s="376">
        <v>2030</v>
      </c>
      <c r="E3676" s="376">
        <v>2031</v>
      </c>
      <c r="F3676" s="376">
        <v>1</v>
      </c>
      <c r="G3676" s="376">
        <v>6101.463203368502</v>
      </c>
      <c r="H3676" s="376">
        <v>0</v>
      </c>
      <c r="I3676" s="376">
        <v>1</v>
      </c>
    </row>
    <row r="3677" spans="1:9" x14ac:dyDescent="0.35">
      <c r="A3677" s="376" t="s">
        <v>1603</v>
      </c>
      <c r="B3677" s="376" t="s">
        <v>1609</v>
      </c>
      <c r="C3677" s="376" t="s">
        <v>1054</v>
      </c>
      <c r="D3677" s="376">
        <v>2030</v>
      </c>
      <c r="E3677" s="376">
        <v>2031</v>
      </c>
      <c r="F3677" s="376">
        <v>1</v>
      </c>
      <c r="G3677" s="376">
        <v>6101.463203368502</v>
      </c>
      <c r="H3677" s="376">
        <v>0</v>
      </c>
      <c r="I3677" s="376">
        <v>1</v>
      </c>
    </row>
    <row r="3678" spans="1:9" x14ac:dyDescent="0.35">
      <c r="A3678" s="376" t="s">
        <v>1605</v>
      </c>
      <c r="B3678" s="376" t="s">
        <v>1609</v>
      </c>
      <c r="C3678" s="376" t="s">
        <v>1046</v>
      </c>
      <c r="D3678" s="376">
        <v>2030</v>
      </c>
      <c r="E3678" s="376">
        <v>2030</v>
      </c>
      <c r="F3678" s="376">
        <v>0.23884589662749595</v>
      </c>
      <c r="G3678" s="376">
        <v>10426.102375692073</v>
      </c>
      <c r="H3678" s="376">
        <v>0</v>
      </c>
      <c r="I3678" s="376">
        <v>1</v>
      </c>
    </row>
    <row r="3679" spans="1:9" x14ac:dyDescent="0.35">
      <c r="A3679" s="376" t="s">
        <v>1605</v>
      </c>
      <c r="B3679" s="376" t="s">
        <v>1609</v>
      </c>
      <c r="C3679" s="376" t="s">
        <v>644</v>
      </c>
      <c r="D3679" s="376">
        <v>2030</v>
      </c>
      <c r="E3679" s="376">
        <v>2030</v>
      </c>
      <c r="F3679" s="376">
        <v>0.23884589662749595</v>
      </c>
      <c r="G3679" s="376">
        <v>10426.102375692073</v>
      </c>
      <c r="H3679" s="376">
        <v>0</v>
      </c>
      <c r="I3679" s="376">
        <v>1</v>
      </c>
    </row>
    <row r="3680" spans="1:9" x14ac:dyDescent="0.35">
      <c r="A3680" s="376" t="s">
        <v>1605</v>
      </c>
      <c r="B3680" s="376" t="s">
        <v>1609</v>
      </c>
      <c r="C3680" s="376" t="s">
        <v>628</v>
      </c>
      <c r="D3680" s="376">
        <v>2030</v>
      </c>
      <c r="E3680" s="376">
        <v>2030</v>
      </c>
      <c r="F3680" s="376">
        <v>0.23884589662749595</v>
      </c>
      <c r="G3680" s="376">
        <v>10426.102375692073</v>
      </c>
      <c r="H3680" s="376">
        <v>0</v>
      </c>
      <c r="I3680" s="376">
        <v>1</v>
      </c>
    </row>
    <row r="3681" spans="1:9" x14ac:dyDescent="0.35">
      <c r="A3681" s="376" t="s">
        <v>1605</v>
      </c>
      <c r="B3681" s="376" t="s">
        <v>1609</v>
      </c>
      <c r="C3681" s="376" t="s">
        <v>1051</v>
      </c>
      <c r="D3681" s="376">
        <v>2030</v>
      </c>
      <c r="E3681" s="376">
        <v>2030</v>
      </c>
      <c r="F3681" s="376">
        <v>0.23884589662749595</v>
      </c>
      <c r="G3681" s="376">
        <v>10426.102375692073</v>
      </c>
      <c r="H3681" s="376">
        <v>0</v>
      </c>
      <c r="I3681" s="376">
        <v>1</v>
      </c>
    </row>
    <row r="3682" spans="1:9" x14ac:dyDescent="0.35">
      <c r="A3682" s="376" t="s">
        <v>1605</v>
      </c>
      <c r="B3682" s="376" t="s">
        <v>1609</v>
      </c>
      <c r="C3682" s="376" t="s">
        <v>1054</v>
      </c>
      <c r="D3682" s="376">
        <v>2030</v>
      </c>
      <c r="E3682" s="376">
        <v>2030</v>
      </c>
      <c r="F3682" s="376">
        <v>0.23884589662749595</v>
      </c>
      <c r="G3682" s="376">
        <v>10426.102375692073</v>
      </c>
      <c r="H3682" s="376">
        <v>0</v>
      </c>
      <c r="I3682" s="376">
        <v>1</v>
      </c>
    </row>
    <row r="3683" spans="1:9" x14ac:dyDescent="0.35">
      <c r="A3683" s="376" t="s">
        <v>1605</v>
      </c>
      <c r="B3683" s="376" t="s">
        <v>1609</v>
      </c>
      <c r="C3683" s="376" t="s">
        <v>1046</v>
      </c>
      <c r="D3683" s="376">
        <v>2030</v>
      </c>
      <c r="E3683" s="376">
        <v>2031</v>
      </c>
      <c r="F3683" s="376">
        <v>0.23884589662749595</v>
      </c>
      <c r="G3683" s="376">
        <v>10426.102375692073</v>
      </c>
      <c r="H3683" s="376">
        <v>0</v>
      </c>
      <c r="I3683" s="376">
        <v>1</v>
      </c>
    </row>
    <row r="3684" spans="1:9" x14ac:dyDescent="0.35">
      <c r="A3684" s="376" t="s">
        <v>1605</v>
      </c>
      <c r="B3684" s="376" t="s">
        <v>1609</v>
      </c>
      <c r="C3684" s="376" t="s">
        <v>644</v>
      </c>
      <c r="D3684" s="376">
        <v>2030</v>
      </c>
      <c r="E3684" s="376">
        <v>2031</v>
      </c>
      <c r="F3684" s="376">
        <v>0.23884589662749595</v>
      </c>
      <c r="G3684" s="376">
        <v>10426.102375692073</v>
      </c>
      <c r="H3684" s="376">
        <v>0</v>
      </c>
      <c r="I3684" s="376">
        <v>1</v>
      </c>
    </row>
    <row r="3685" spans="1:9" x14ac:dyDescent="0.35">
      <c r="A3685" s="376" t="s">
        <v>1605</v>
      </c>
      <c r="B3685" s="376" t="s">
        <v>1609</v>
      </c>
      <c r="C3685" s="376" t="s">
        <v>628</v>
      </c>
      <c r="D3685" s="376">
        <v>2030</v>
      </c>
      <c r="E3685" s="376">
        <v>2031</v>
      </c>
      <c r="F3685" s="376">
        <v>0.23884589662749595</v>
      </c>
      <c r="G3685" s="376">
        <v>10426.102375692073</v>
      </c>
      <c r="H3685" s="376">
        <v>0</v>
      </c>
      <c r="I3685" s="376">
        <v>1</v>
      </c>
    </row>
    <row r="3686" spans="1:9" x14ac:dyDescent="0.35">
      <c r="A3686" s="376" t="s">
        <v>1605</v>
      </c>
      <c r="B3686" s="376" t="s">
        <v>1609</v>
      </c>
      <c r="C3686" s="376" t="s">
        <v>1051</v>
      </c>
      <c r="D3686" s="376">
        <v>2030</v>
      </c>
      <c r="E3686" s="376">
        <v>2031</v>
      </c>
      <c r="F3686" s="376">
        <v>0.23884589662749595</v>
      </c>
      <c r="G3686" s="376">
        <v>10426.102375692073</v>
      </c>
      <c r="H3686" s="376">
        <v>0</v>
      </c>
      <c r="I3686" s="376">
        <v>1</v>
      </c>
    </row>
    <row r="3687" spans="1:9" x14ac:dyDescent="0.35">
      <c r="A3687" s="376" t="s">
        <v>1605</v>
      </c>
      <c r="B3687" s="376" t="s">
        <v>1609</v>
      </c>
      <c r="C3687" s="376" t="s">
        <v>1054</v>
      </c>
      <c r="D3687" s="376">
        <v>2030</v>
      </c>
      <c r="E3687" s="376">
        <v>2031</v>
      </c>
      <c r="F3687" s="376">
        <v>0.23884589662749595</v>
      </c>
      <c r="G3687" s="376">
        <v>10426.102375692073</v>
      </c>
      <c r="H3687" s="376">
        <v>0</v>
      </c>
      <c r="I3687" s="376">
        <v>1</v>
      </c>
    </row>
    <row r="3688" spans="1:9" x14ac:dyDescent="0.35">
      <c r="A3688" s="376" t="s">
        <v>1636</v>
      </c>
      <c r="B3688" s="376" t="s">
        <v>1609</v>
      </c>
      <c r="C3688" s="376" t="s">
        <v>1046</v>
      </c>
      <c r="D3688" s="376">
        <v>2030</v>
      </c>
      <c r="E3688" s="376">
        <v>2030</v>
      </c>
      <c r="F3688" s="376">
        <v>1</v>
      </c>
      <c r="G3688" s="376">
        <v>3182.4549343510666</v>
      </c>
      <c r="H3688" s="376">
        <v>0</v>
      </c>
      <c r="I3688" s="376">
        <v>1</v>
      </c>
    </row>
    <row r="3689" spans="1:9" x14ac:dyDescent="0.35">
      <c r="A3689" s="376" t="s">
        <v>1636</v>
      </c>
      <c r="B3689" s="376" t="s">
        <v>1609</v>
      </c>
      <c r="C3689" s="376" t="s">
        <v>644</v>
      </c>
      <c r="D3689" s="376">
        <v>2030</v>
      </c>
      <c r="E3689" s="376">
        <v>2030</v>
      </c>
      <c r="F3689" s="376">
        <v>1</v>
      </c>
      <c r="G3689" s="376">
        <v>3182.4549343510666</v>
      </c>
      <c r="H3689" s="376">
        <v>0</v>
      </c>
      <c r="I3689" s="376">
        <v>1</v>
      </c>
    </row>
    <row r="3690" spans="1:9" x14ac:dyDescent="0.35">
      <c r="A3690" s="376" t="s">
        <v>1636</v>
      </c>
      <c r="B3690" s="376" t="s">
        <v>1609</v>
      </c>
      <c r="C3690" s="376" t="s">
        <v>628</v>
      </c>
      <c r="D3690" s="376">
        <v>2030</v>
      </c>
      <c r="E3690" s="376">
        <v>2030</v>
      </c>
      <c r="F3690" s="376">
        <v>1</v>
      </c>
      <c r="G3690" s="376">
        <v>3182.4549343510666</v>
      </c>
      <c r="H3690" s="376">
        <v>0</v>
      </c>
      <c r="I3690" s="376">
        <v>1</v>
      </c>
    </row>
    <row r="3691" spans="1:9" x14ac:dyDescent="0.35">
      <c r="A3691" s="376" t="s">
        <v>1636</v>
      </c>
      <c r="B3691" s="376" t="s">
        <v>1609</v>
      </c>
      <c r="C3691" s="376" t="s">
        <v>1051</v>
      </c>
      <c r="D3691" s="376">
        <v>2030</v>
      </c>
      <c r="E3691" s="376">
        <v>2030</v>
      </c>
      <c r="F3691" s="376">
        <v>1</v>
      </c>
      <c r="G3691" s="376">
        <v>3182.4549343510666</v>
      </c>
      <c r="H3691" s="376">
        <v>0</v>
      </c>
      <c r="I3691" s="376">
        <v>1</v>
      </c>
    </row>
    <row r="3692" spans="1:9" x14ac:dyDescent="0.35">
      <c r="A3692" s="376" t="s">
        <v>1636</v>
      </c>
      <c r="B3692" s="376" t="s">
        <v>1609</v>
      </c>
      <c r="C3692" s="376" t="s">
        <v>1054</v>
      </c>
      <c r="D3692" s="376">
        <v>2030</v>
      </c>
      <c r="E3692" s="376">
        <v>2030</v>
      </c>
      <c r="F3692" s="376">
        <v>1</v>
      </c>
      <c r="G3692" s="376">
        <v>3182.4549343510666</v>
      </c>
      <c r="H3692" s="376">
        <v>0</v>
      </c>
      <c r="I3692" s="376">
        <v>1</v>
      </c>
    </row>
    <row r="3693" spans="1:9" x14ac:dyDescent="0.35">
      <c r="A3693" s="376" t="s">
        <v>1636</v>
      </c>
      <c r="B3693" s="376" t="s">
        <v>1609</v>
      </c>
      <c r="C3693" s="376" t="s">
        <v>1046</v>
      </c>
      <c r="D3693" s="376">
        <v>2030</v>
      </c>
      <c r="E3693" s="376">
        <v>2031</v>
      </c>
      <c r="F3693" s="376">
        <v>1</v>
      </c>
      <c r="G3693" s="376">
        <v>3182.4549343510666</v>
      </c>
      <c r="H3693" s="376">
        <v>0</v>
      </c>
      <c r="I3693" s="376">
        <v>1</v>
      </c>
    </row>
    <row r="3694" spans="1:9" x14ac:dyDescent="0.35">
      <c r="A3694" s="376" t="s">
        <v>1636</v>
      </c>
      <c r="B3694" s="376" t="s">
        <v>1609</v>
      </c>
      <c r="C3694" s="376" t="s">
        <v>644</v>
      </c>
      <c r="D3694" s="376">
        <v>2030</v>
      </c>
      <c r="E3694" s="376">
        <v>2031</v>
      </c>
      <c r="F3694" s="376">
        <v>1</v>
      </c>
      <c r="G3694" s="376">
        <v>3182.4549343510666</v>
      </c>
      <c r="H3694" s="376">
        <v>0</v>
      </c>
      <c r="I3694" s="376">
        <v>1</v>
      </c>
    </row>
    <row r="3695" spans="1:9" x14ac:dyDescent="0.35">
      <c r="A3695" s="376" t="s">
        <v>1636</v>
      </c>
      <c r="B3695" s="376" t="s">
        <v>1609</v>
      </c>
      <c r="C3695" s="376" t="s">
        <v>628</v>
      </c>
      <c r="D3695" s="376">
        <v>2030</v>
      </c>
      <c r="E3695" s="376">
        <v>2031</v>
      </c>
      <c r="F3695" s="376">
        <v>1</v>
      </c>
      <c r="G3695" s="376">
        <v>3182.4549343510666</v>
      </c>
      <c r="H3695" s="376">
        <v>0</v>
      </c>
      <c r="I3695" s="376">
        <v>1</v>
      </c>
    </row>
    <row r="3696" spans="1:9" x14ac:dyDescent="0.35">
      <c r="A3696" s="376" t="s">
        <v>1636</v>
      </c>
      <c r="B3696" s="376" t="s">
        <v>1609</v>
      </c>
      <c r="C3696" s="376" t="s">
        <v>1051</v>
      </c>
      <c r="D3696" s="376">
        <v>2030</v>
      </c>
      <c r="E3696" s="376">
        <v>2031</v>
      </c>
      <c r="F3696" s="376">
        <v>1</v>
      </c>
      <c r="G3696" s="376">
        <v>3182.4549343510666</v>
      </c>
      <c r="H3696" s="376">
        <v>0</v>
      </c>
      <c r="I3696" s="376">
        <v>1</v>
      </c>
    </row>
    <row r="3697" spans="1:9" x14ac:dyDescent="0.35">
      <c r="A3697" s="376" t="s">
        <v>1636</v>
      </c>
      <c r="B3697" s="376" t="s">
        <v>1609</v>
      </c>
      <c r="C3697" s="376" t="s">
        <v>1054</v>
      </c>
      <c r="D3697" s="376">
        <v>2030</v>
      </c>
      <c r="E3697" s="376">
        <v>2031</v>
      </c>
      <c r="F3697" s="376">
        <v>1</v>
      </c>
      <c r="G3697" s="376">
        <v>3182.4549343510666</v>
      </c>
      <c r="H3697" s="376">
        <v>0</v>
      </c>
      <c r="I3697" s="376">
        <v>1</v>
      </c>
    </row>
    <row r="3698" spans="1:9" x14ac:dyDescent="0.35">
      <c r="A3698" s="376" t="s">
        <v>1606</v>
      </c>
      <c r="B3698" s="376" t="s">
        <v>1609</v>
      </c>
      <c r="C3698" s="376" t="s">
        <v>1046</v>
      </c>
      <c r="D3698" s="376">
        <v>2030</v>
      </c>
      <c r="E3698" s="376">
        <v>2030</v>
      </c>
      <c r="F3698" s="376">
        <v>1</v>
      </c>
      <c r="G3698" s="376">
        <v>5642.6305836721367</v>
      </c>
      <c r="H3698" s="376">
        <v>0</v>
      </c>
      <c r="I3698" s="376">
        <v>1</v>
      </c>
    </row>
    <row r="3699" spans="1:9" x14ac:dyDescent="0.35">
      <c r="A3699" s="376" t="s">
        <v>1606</v>
      </c>
      <c r="B3699" s="376" t="s">
        <v>1609</v>
      </c>
      <c r="C3699" s="376" t="s">
        <v>644</v>
      </c>
      <c r="D3699" s="376">
        <v>2030</v>
      </c>
      <c r="E3699" s="376">
        <v>2030</v>
      </c>
      <c r="F3699" s="376">
        <v>1</v>
      </c>
      <c r="G3699" s="376">
        <v>5642.6305836721367</v>
      </c>
      <c r="H3699" s="376">
        <v>0</v>
      </c>
      <c r="I3699" s="376">
        <v>1</v>
      </c>
    </row>
    <row r="3700" spans="1:9" x14ac:dyDescent="0.35">
      <c r="A3700" s="376" t="s">
        <v>1606</v>
      </c>
      <c r="B3700" s="376" t="s">
        <v>1609</v>
      </c>
      <c r="C3700" s="376" t="s">
        <v>628</v>
      </c>
      <c r="D3700" s="376">
        <v>2030</v>
      </c>
      <c r="E3700" s="376">
        <v>2030</v>
      </c>
      <c r="F3700" s="376">
        <v>1</v>
      </c>
      <c r="G3700" s="376">
        <v>5642.6305836721367</v>
      </c>
      <c r="H3700" s="376">
        <v>0</v>
      </c>
      <c r="I3700" s="376">
        <v>1</v>
      </c>
    </row>
    <row r="3701" spans="1:9" x14ac:dyDescent="0.35">
      <c r="A3701" s="376" t="s">
        <v>1606</v>
      </c>
      <c r="B3701" s="376" t="s">
        <v>1609</v>
      </c>
      <c r="C3701" s="376" t="s">
        <v>1051</v>
      </c>
      <c r="D3701" s="376">
        <v>2030</v>
      </c>
      <c r="E3701" s="376">
        <v>2030</v>
      </c>
      <c r="F3701" s="376">
        <v>1</v>
      </c>
      <c r="G3701" s="376">
        <v>5642.6305836721367</v>
      </c>
      <c r="H3701" s="376">
        <v>0</v>
      </c>
      <c r="I3701" s="376">
        <v>1</v>
      </c>
    </row>
    <row r="3702" spans="1:9" x14ac:dyDescent="0.35">
      <c r="A3702" s="376" t="s">
        <v>1606</v>
      </c>
      <c r="B3702" s="376" t="s">
        <v>1609</v>
      </c>
      <c r="C3702" s="376" t="s">
        <v>1054</v>
      </c>
      <c r="D3702" s="376">
        <v>2030</v>
      </c>
      <c r="E3702" s="376">
        <v>2030</v>
      </c>
      <c r="F3702" s="376">
        <v>1</v>
      </c>
      <c r="G3702" s="376">
        <v>5642.6305836721367</v>
      </c>
      <c r="H3702" s="376">
        <v>0</v>
      </c>
      <c r="I3702" s="376">
        <v>1</v>
      </c>
    </row>
    <row r="3703" spans="1:9" x14ac:dyDescent="0.35">
      <c r="A3703" s="376" t="s">
        <v>1606</v>
      </c>
      <c r="B3703" s="376" t="s">
        <v>1609</v>
      </c>
      <c r="C3703" s="376" t="s">
        <v>1046</v>
      </c>
      <c r="D3703" s="376">
        <v>2030</v>
      </c>
      <c r="E3703" s="376">
        <v>2031</v>
      </c>
      <c r="F3703" s="376">
        <v>1</v>
      </c>
      <c r="G3703" s="376">
        <v>5642.6305836721367</v>
      </c>
      <c r="H3703" s="376">
        <v>0</v>
      </c>
      <c r="I3703" s="376">
        <v>1</v>
      </c>
    </row>
    <row r="3704" spans="1:9" x14ac:dyDescent="0.35">
      <c r="A3704" s="376" t="s">
        <v>1606</v>
      </c>
      <c r="B3704" s="376" t="s">
        <v>1609</v>
      </c>
      <c r="C3704" s="376" t="s">
        <v>644</v>
      </c>
      <c r="D3704" s="376">
        <v>2030</v>
      </c>
      <c r="E3704" s="376">
        <v>2031</v>
      </c>
      <c r="F3704" s="376">
        <v>1</v>
      </c>
      <c r="G3704" s="376">
        <v>5642.6305836721367</v>
      </c>
      <c r="H3704" s="376">
        <v>0</v>
      </c>
      <c r="I3704" s="376">
        <v>1</v>
      </c>
    </row>
    <row r="3705" spans="1:9" x14ac:dyDescent="0.35">
      <c r="A3705" s="376" t="s">
        <v>1606</v>
      </c>
      <c r="B3705" s="376" t="s">
        <v>1609</v>
      </c>
      <c r="C3705" s="376" t="s">
        <v>628</v>
      </c>
      <c r="D3705" s="376">
        <v>2030</v>
      </c>
      <c r="E3705" s="376">
        <v>2031</v>
      </c>
      <c r="F3705" s="376">
        <v>1</v>
      </c>
      <c r="G3705" s="376">
        <v>5642.6305836721367</v>
      </c>
      <c r="H3705" s="376">
        <v>0</v>
      </c>
      <c r="I3705" s="376">
        <v>1</v>
      </c>
    </row>
    <row r="3706" spans="1:9" x14ac:dyDescent="0.35">
      <c r="A3706" s="376" t="s">
        <v>1606</v>
      </c>
      <c r="B3706" s="376" t="s">
        <v>1609</v>
      </c>
      <c r="C3706" s="376" t="s">
        <v>1051</v>
      </c>
      <c r="D3706" s="376">
        <v>2030</v>
      </c>
      <c r="E3706" s="376">
        <v>2031</v>
      </c>
      <c r="F3706" s="376">
        <v>1</v>
      </c>
      <c r="G3706" s="376">
        <v>5642.6305836721367</v>
      </c>
      <c r="H3706" s="376">
        <v>0</v>
      </c>
      <c r="I3706" s="376">
        <v>1</v>
      </c>
    </row>
    <row r="3707" spans="1:9" x14ac:dyDescent="0.35">
      <c r="A3707" s="376" t="s">
        <v>1606</v>
      </c>
      <c r="B3707" s="376" t="s">
        <v>1609</v>
      </c>
      <c r="C3707" s="376" t="s">
        <v>1054</v>
      </c>
      <c r="D3707" s="376">
        <v>2030</v>
      </c>
      <c r="E3707" s="376">
        <v>2031</v>
      </c>
      <c r="F3707" s="376">
        <v>1</v>
      </c>
      <c r="G3707" s="376">
        <v>5642.6305836721367</v>
      </c>
      <c r="H3707" s="376">
        <v>0</v>
      </c>
      <c r="I3707" s="376">
        <v>1</v>
      </c>
    </row>
    <row r="3708" spans="1:9" x14ac:dyDescent="0.35">
      <c r="A3708" s="376" t="s">
        <v>1612</v>
      </c>
      <c r="B3708" s="376" t="s">
        <v>1609</v>
      </c>
      <c r="C3708" s="376" t="s">
        <v>1046</v>
      </c>
      <c r="D3708" s="376">
        <v>2031</v>
      </c>
      <c r="E3708" s="376">
        <v>2031</v>
      </c>
      <c r="F3708" s="376">
        <v>0.37384575124303709</v>
      </c>
      <c r="G3708" s="376">
        <v>9928.6887826901675</v>
      </c>
      <c r="H3708" s="376">
        <v>0.29978371344302385</v>
      </c>
      <c r="I3708" s="376">
        <v>0.85</v>
      </c>
    </row>
    <row r="3709" spans="1:9" x14ac:dyDescent="0.35">
      <c r="A3709" s="376" t="s">
        <v>1612</v>
      </c>
      <c r="B3709" s="376" t="s">
        <v>1609</v>
      </c>
      <c r="C3709" s="376" t="s">
        <v>644</v>
      </c>
      <c r="D3709" s="376">
        <v>2031</v>
      </c>
      <c r="E3709" s="376">
        <v>2031</v>
      </c>
      <c r="F3709" s="376">
        <v>0.37384575124303709</v>
      </c>
      <c r="G3709" s="376">
        <v>9928.6887826901675</v>
      </c>
      <c r="H3709" s="376">
        <v>0.29978371344302385</v>
      </c>
      <c r="I3709" s="376">
        <v>0.85</v>
      </c>
    </row>
    <row r="3710" spans="1:9" x14ac:dyDescent="0.35">
      <c r="A3710" s="376" t="s">
        <v>1612</v>
      </c>
      <c r="B3710" s="376" t="s">
        <v>1609</v>
      </c>
      <c r="C3710" s="376" t="s">
        <v>628</v>
      </c>
      <c r="D3710" s="376">
        <v>2031</v>
      </c>
      <c r="E3710" s="376">
        <v>2031</v>
      </c>
      <c r="F3710" s="376">
        <v>0.37384575124303709</v>
      </c>
      <c r="G3710" s="376">
        <v>9928.6887826901675</v>
      </c>
      <c r="H3710" s="376">
        <v>0.29978371344302385</v>
      </c>
      <c r="I3710" s="376">
        <v>0.85</v>
      </c>
    </row>
    <row r="3711" spans="1:9" x14ac:dyDescent="0.35">
      <c r="A3711" s="376" t="s">
        <v>1612</v>
      </c>
      <c r="B3711" s="376" t="s">
        <v>1609</v>
      </c>
      <c r="C3711" s="376" t="s">
        <v>1051</v>
      </c>
      <c r="D3711" s="376">
        <v>2031</v>
      </c>
      <c r="E3711" s="376">
        <v>2031</v>
      </c>
      <c r="F3711" s="376">
        <v>0.37384575124303709</v>
      </c>
      <c r="G3711" s="376">
        <v>9928.6887826901675</v>
      </c>
      <c r="H3711" s="376">
        <v>0.29978371344302385</v>
      </c>
      <c r="I3711" s="376">
        <v>0.85</v>
      </c>
    </row>
    <row r="3712" spans="1:9" x14ac:dyDescent="0.35">
      <c r="A3712" s="376" t="s">
        <v>1612</v>
      </c>
      <c r="B3712" s="376" t="s">
        <v>1609</v>
      </c>
      <c r="C3712" s="376" t="s">
        <v>1054</v>
      </c>
      <c r="D3712" s="376">
        <v>2031</v>
      </c>
      <c r="E3712" s="376">
        <v>2031</v>
      </c>
      <c r="F3712" s="376">
        <v>0.37384575124303709</v>
      </c>
      <c r="G3712" s="376">
        <v>9928.6887826901675</v>
      </c>
      <c r="H3712" s="376">
        <v>0.29978371344302385</v>
      </c>
      <c r="I3712" s="376">
        <v>0.85</v>
      </c>
    </row>
    <row r="3713" spans="1:9" x14ac:dyDescent="0.35">
      <c r="A3713" s="376" t="s">
        <v>1613</v>
      </c>
      <c r="B3713" s="376" t="s">
        <v>1609</v>
      </c>
      <c r="C3713" s="376" t="s">
        <v>1046</v>
      </c>
      <c r="D3713" s="376">
        <v>2031</v>
      </c>
      <c r="E3713" s="376">
        <v>2031</v>
      </c>
      <c r="F3713" s="376">
        <v>0.40444272241720852</v>
      </c>
      <c r="G3713" s="376">
        <v>8848.5269568257354</v>
      </c>
      <c r="H3713" s="376">
        <v>0.28493994567377445</v>
      </c>
      <c r="I3713" s="376">
        <v>0.85</v>
      </c>
    </row>
    <row r="3714" spans="1:9" x14ac:dyDescent="0.35">
      <c r="A3714" s="376" t="s">
        <v>1613</v>
      </c>
      <c r="B3714" s="376" t="s">
        <v>1609</v>
      </c>
      <c r="C3714" s="376" t="s">
        <v>644</v>
      </c>
      <c r="D3714" s="376">
        <v>2031</v>
      </c>
      <c r="E3714" s="376">
        <v>2031</v>
      </c>
      <c r="F3714" s="376">
        <v>0.40444272241720852</v>
      </c>
      <c r="G3714" s="376">
        <v>8848.5269568257354</v>
      </c>
      <c r="H3714" s="376">
        <v>0.28493994567377445</v>
      </c>
      <c r="I3714" s="376">
        <v>0.85</v>
      </c>
    </row>
    <row r="3715" spans="1:9" x14ac:dyDescent="0.35">
      <c r="A3715" s="376" t="s">
        <v>1613</v>
      </c>
      <c r="B3715" s="376" t="s">
        <v>1609</v>
      </c>
      <c r="C3715" s="376" t="s">
        <v>628</v>
      </c>
      <c r="D3715" s="376">
        <v>2031</v>
      </c>
      <c r="E3715" s="376">
        <v>2031</v>
      </c>
      <c r="F3715" s="376">
        <v>0.40444272241720852</v>
      </c>
      <c r="G3715" s="376">
        <v>8848.5269568257354</v>
      </c>
      <c r="H3715" s="376">
        <v>0.28493994567377445</v>
      </c>
      <c r="I3715" s="376">
        <v>0.85</v>
      </c>
    </row>
    <row r="3716" spans="1:9" x14ac:dyDescent="0.35">
      <c r="A3716" s="376" t="s">
        <v>1613</v>
      </c>
      <c r="B3716" s="376" t="s">
        <v>1609</v>
      </c>
      <c r="C3716" s="376" t="s">
        <v>1051</v>
      </c>
      <c r="D3716" s="376">
        <v>2031</v>
      </c>
      <c r="E3716" s="376">
        <v>2031</v>
      </c>
      <c r="F3716" s="376">
        <v>0.40444272241720852</v>
      </c>
      <c r="G3716" s="376">
        <v>8848.5269568257354</v>
      </c>
      <c r="H3716" s="376">
        <v>0.28493994567377445</v>
      </c>
      <c r="I3716" s="376">
        <v>0.85</v>
      </c>
    </row>
    <row r="3717" spans="1:9" x14ac:dyDescent="0.35">
      <c r="A3717" s="376" t="s">
        <v>1613</v>
      </c>
      <c r="B3717" s="376" t="s">
        <v>1609</v>
      </c>
      <c r="C3717" s="376" t="s">
        <v>1054</v>
      </c>
      <c r="D3717" s="376">
        <v>2031</v>
      </c>
      <c r="E3717" s="376">
        <v>2031</v>
      </c>
      <c r="F3717" s="376">
        <v>0.40444272241720852</v>
      </c>
      <c r="G3717" s="376">
        <v>8848.5269568257354</v>
      </c>
      <c r="H3717" s="376">
        <v>0.28493994567377445</v>
      </c>
      <c r="I3717" s="376">
        <v>0.85</v>
      </c>
    </row>
    <row r="3718" spans="1:9" x14ac:dyDescent="0.35">
      <c r="A3718" s="376" t="s">
        <v>1614</v>
      </c>
      <c r="B3718" s="376" t="s">
        <v>1609</v>
      </c>
      <c r="C3718" s="376" t="s">
        <v>1046</v>
      </c>
      <c r="D3718" s="376">
        <v>2031</v>
      </c>
      <c r="E3718" s="376">
        <v>2031</v>
      </c>
      <c r="F3718" s="376">
        <v>0.28070162831646173</v>
      </c>
      <c r="G3718" s="376">
        <v>6454.3984013550207</v>
      </c>
      <c r="H3718" s="376">
        <v>0.28493994567377445</v>
      </c>
      <c r="I3718" s="376">
        <v>0.85</v>
      </c>
    </row>
    <row r="3719" spans="1:9" x14ac:dyDescent="0.35">
      <c r="A3719" s="376" t="s">
        <v>1614</v>
      </c>
      <c r="B3719" s="376" t="s">
        <v>1609</v>
      </c>
      <c r="C3719" s="376" t="s">
        <v>644</v>
      </c>
      <c r="D3719" s="376">
        <v>2031</v>
      </c>
      <c r="E3719" s="376">
        <v>2031</v>
      </c>
      <c r="F3719" s="376">
        <v>0.28070162831646173</v>
      </c>
      <c r="G3719" s="376">
        <v>6454.3984013550207</v>
      </c>
      <c r="H3719" s="376">
        <v>0.28493994567377445</v>
      </c>
      <c r="I3719" s="376">
        <v>0.85</v>
      </c>
    </row>
    <row r="3720" spans="1:9" x14ac:dyDescent="0.35">
      <c r="A3720" s="376" t="s">
        <v>1614</v>
      </c>
      <c r="B3720" s="376" t="s">
        <v>1609</v>
      </c>
      <c r="C3720" s="376" t="s">
        <v>628</v>
      </c>
      <c r="D3720" s="376">
        <v>2031</v>
      </c>
      <c r="E3720" s="376">
        <v>2031</v>
      </c>
      <c r="F3720" s="376">
        <v>0.28070162831646173</v>
      </c>
      <c r="G3720" s="376">
        <v>6454.3984013550207</v>
      </c>
      <c r="H3720" s="376">
        <v>0.28493994567377445</v>
      </c>
      <c r="I3720" s="376">
        <v>0.85</v>
      </c>
    </row>
    <row r="3721" spans="1:9" x14ac:dyDescent="0.35">
      <c r="A3721" s="376" t="s">
        <v>1614</v>
      </c>
      <c r="B3721" s="376" t="s">
        <v>1609</v>
      </c>
      <c r="C3721" s="376" t="s">
        <v>1051</v>
      </c>
      <c r="D3721" s="376">
        <v>2031</v>
      </c>
      <c r="E3721" s="376">
        <v>2031</v>
      </c>
      <c r="F3721" s="376">
        <v>0.28070162831646173</v>
      </c>
      <c r="G3721" s="376">
        <v>6454.3984013550207</v>
      </c>
      <c r="H3721" s="376">
        <v>0.28493994567377445</v>
      </c>
      <c r="I3721" s="376">
        <v>0.85</v>
      </c>
    </row>
    <row r="3722" spans="1:9" x14ac:dyDescent="0.35">
      <c r="A3722" s="376" t="s">
        <v>1614</v>
      </c>
      <c r="B3722" s="376" t="s">
        <v>1609</v>
      </c>
      <c r="C3722" s="376" t="s">
        <v>1054</v>
      </c>
      <c r="D3722" s="376">
        <v>2031</v>
      </c>
      <c r="E3722" s="376">
        <v>2031</v>
      </c>
      <c r="F3722" s="376">
        <v>0.28070162831646173</v>
      </c>
      <c r="G3722" s="376">
        <v>6454.3984013550207</v>
      </c>
      <c r="H3722" s="376">
        <v>0.28493994567377445</v>
      </c>
      <c r="I3722" s="376">
        <v>0.85</v>
      </c>
    </row>
    <row r="3723" spans="1:9" x14ac:dyDescent="0.35">
      <c r="A3723" s="376" t="s">
        <v>1604</v>
      </c>
      <c r="B3723" s="376" t="s">
        <v>1609</v>
      </c>
      <c r="C3723" s="376" t="s">
        <v>1046</v>
      </c>
      <c r="D3723" s="376">
        <v>2031</v>
      </c>
      <c r="E3723" s="376">
        <v>2031</v>
      </c>
      <c r="F3723" s="376">
        <v>1</v>
      </c>
      <c r="G3723" s="376">
        <v>10872.741503138899</v>
      </c>
      <c r="H3723" s="376">
        <v>0</v>
      </c>
      <c r="I3723" s="376">
        <v>1</v>
      </c>
    </row>
    <row r="3724" spans="1:9" x14ac:dyDescent="0.35">
      <c r="A3724" s="376" t="s">
        <v>1604</v>
      </c>
      <c r="B3724" s="376" t="s">
        <v>1609</v>
      </c>
      <c r="C3724" s="376" t="s">
        <v>644</v>
      </c>
      <c r="D3724" s="376">
        <v>2031</v>
      </c>
      <c r="E3724" s="376">
        <v>2031</v>
      </c>
      <c r="F3724" s="376">
        <v>1</v>
      </c>
      <c r="G3724" s="376">
        <v>10872.741503138899</v>
      </c>
      <c r="H3724" s="376">
        <v>0</v>
      </c>
      <c r="I3724" s="376">
        <v>1</v>
      </c>
    </row>
    <row r="3725" spans="1:9" x14ac:dyDescent="0.35">
      <c r="A3725" s="376" t="s">
        <v>1604</v>
      </c>
      <c r="B3725" s="376" t="s">
        <v>1609</v>
      </c>
      <c r="C3725" s="376" t="s">
        <v>628</v>
      </c>
      <c r="D3725" s="376">
        <v>2031</v>
      </c>
      <c r="E3725" s="376">
        <v>2031</v>
      </c>
      <c r="F3725" s="376">
        <v>1</v>
      </c>
      <c r="G3725" s="376">
        <v>10872.741503138899</v>
      </c>
      <c r="H3725" s="376">
        <v>0</v>
      </c>
      <c r="I3725" s="376">
        <v>1</v>
      </c>
    </row>
    <row r="3726" spans="1:9" x14ac:dyDescent="0.35">
      <c r="A3726" s="376" t="s">
        <v>1604</v>
      </c>
      <c r="B3726" s="376" t="s">
        <v>1609</v>
      </c>
      <c r="C3726" s="376" t="s">
        <v>1051</v>
      </c>
      <c r="D3726" s="376">
        <v>2031</v>
      </c>
      <c r="E3726" s="376">
        <v>2031</v>
      </c>
      <c r="F3726" s="376">
        <v>1</v>
      </c>
      <c r="G3726" s="376">
        <v>10872.741503138899</v>
      </c>
      <c r="H3726" s="376">
        <v>0</v>
      </c>
      <c r="I3726" s="376">
        <v>1</v>
      </c>
    </row>
    <row r="3727" spans="1:9" x14ac:dyDescent="0.35">
      <c r="A3727" s="376" t="s">
        <v>1604</v>
      </c>
      <c r="B3727" s="376" t="s">
        <v>1609</v>
      </c>
      <c r="C3727" s="376" t="s">
        <v>1054</v>
      </c>
      <c r="D3727" s="376">
        <v>2031</v>
      </c>
      <c r="E3727" s="376">
        <v>2031</v>
      </c>
      <c r="F3727" s="376">
        <v>1</v>
      </c>
      <c r="G3727" s="376">
        <v>10872.741503138899</v>
      </c>
      <c r="H3727" s="376">
        <v>0</v>
      </c>
      <c r="I3727" s="376">
        <v>1</v>
      </c>
    </row>
    <row r="3728" spans="1:9" x14ac:dyDescent="0.35">
      <c r="A3728" s="376" t="s">
        <v>1615</v>
      </c>
      <c r="B3728" s="376" t="s">
        <v>1609</v>
      </c>
      <c r="C3728" s="376" t="s">
        <v>1046</v>
      </c>
      <c r="D3728" s="376">
        <v>2031</v>
      </c>
      <c r="E3728" s="376">
        <v>2031</v>
      </c>
      <c r="F3728" s="376">
        <v>1</v>
      </c>
      <c r="G3728" s="376">
        <v>20148.813739673951</v>
      </c>
      <c r="H3728" s="376">
        <v>0</v>
      </c>
      <c r="I3728" s="376">
        <v>0.65716939790195539</v>
      </c>
    </row>
    <row r="3729" spans="1:9" x14ac:dyDescent="0.35">
      <c r="A3729" s="376" t="s">
        <v>1615</v>
      </c>
      <c r="B3729" s="376" t="s">
        <v>1609</v>
      </c>
      <c r="C3729" s="376" t="s">
        <v>644</v>
      </c>
      <c r="D3729" s="376">
        <v>2031</v>
      </c>
      <c r="E3729" s="376">
        <v>2031</v>
      </c>
      <c r="F3729" s="376">
        <v>1</v>
      </c>
      <c r="G3729" s="376">
        <v>20148.813739673951</v>
      </c>
      <c r="H3729" s="376">
        <v>0</v>
      </c>
      <c r="I3729" s="376">
        <v>0.65716939790195539</v>
      </c>
    </row>
    <row r="3730" spans="1:9" x14ac:dyDescent="0.35">
      <c r="A3730" s="376" t="s">
        <v>1615</v>
      </c>
      <c r="B3730" s="376" t="s">
        <v>1609</v>
      </c>
      <c r="C3730" s="376" t="s">
        <v>628</v>
      </c>
      <c r="D3730" s="376">
        <v>2031</v>
      </c>
      <c r="E3730" s="376">
        <v>2031</v>
      </c>
      <c r="F3730" s="376">
        <v>1</v>
      </c>
      <c r="G3730" s="376">
        <v>20148.813739673951</v>
      </c>
      <c r="H3730" s="376">
        <v>0</v>
      </c>
      <c r="I3730" s="376">
        <v>0.65716939790195539</v>
      </c>
    </row>
    <row r="3731" spans="1:9" x14ac:dyDescent="0.35">
      <c r="A3731" s="376" t="s">
        <v>1615</v>
      </c>
      <c r="B3731" s="376" t="s">
        <v>1609</v>
      </c>
      <c r="C3731" s="376" t="s">
        <v>1051</v>
      </c>
      <c r="D3731" s="376">
        <v>2031</v>
      </c>
      <c r="E3731" s="376">
        <v>2031</v>
      </c>
      <c r="F3731" s="376">
        <v>1</v>
      </c>
      <c r="G3731" s="376">
        <v>20148.813739673951</v>
      </c>
      <c r="H3731" s="376">
        <v>0</v>
      </c>
      <c r="I3731" s="376">
        <v>0.65716939790195539</v>
      </c>
    </row>
    <row r="3732" spans="1:9" x14ac:dyDescent="0.35">
      <c r="A3732" s="376" t="s">
        <v>1615</v>
      </c>
      <c r="B3732" s="376" t="s">
        <v>1609</v>
      </c>
      <c r="C3732" s="376" t="s">
        <v>1054</v>
      </c>
      <c r="D3732" s="376">
        <v>2031</v>
      </c>
      <c r="E3732" s="376">
        <v>2031</v>
      </c>
      <c r="F3732" s="376">
        <v>1</v>
      </c>
      <c r="G3732" s="376">
        <v>20148.813739673951</v>
      </c>
      <c r="H3732" s="376">
        <v>0</v>
      </c>
      <c r="I3732" s="376">
        <v>0.65716939790195539</v>
      </c>
    </row>
    <row r="3733" spans="1:9" x14ac:dyDescent="0.35">
      <c r="A3733" s="376" t="s">
        <v>1603</v>
      </c>
      <c r="B3733" s="376" t="s">
        <v>1609</v>
      </c>
      <c r="C3733" s="376" t="s">
        <v>1046</v>
      </c>
      <c r="D3733" s="376">
        <v>2031</v>
      </c>
      <c r="E3733" s="376">
        <v>2031</v>
      </c>
      <c r="F3733" s="376">
        <v>1</v>
      </c>
      <c r="G3733" s="376">
        <v>6101.463203368502</v>
      </c>
      <c r="H3733" s="376">
        <v>0</v>
      </c>
      <c r="I3733" s="376">
        <v>1</v>
      </c>
    </row>
    <row r="3734" spans="1:9" x14ac:dyDescent="0.35">
      <c r="A3734" s="376" t="s">
        <v>1603</v>
      </c>
      <c r="B3734" s="376" t="s">
        <v>1609</v>
      </c>
      <c r="C3734" s="376" t="s">
        <v>644</v>
      </c>
      <c r="D3734" s="376">
        <v>2031</v>
      </c>
      <c r="E3734" s="376">
        <v>2031</v>
      </c>
      <c r="F3734" s="376">
        <v>1</v>
      </c>
      <c r="G3734" s="376">
        <v>6101.463203368502</v>
      </c>
      <c r="H3734" s="376">
        <v>0</v>
      </c>
      <c r="I3734" s="376">
        <v>1</v>
      </c>
    </row>
    <row r="3735" spans="1:9" x14ac:dyDescent="0.35">
      <c r="A3735" s="376" t="s">
        <v>1603</v>
      </c>
      <c r="B3735" s="376" t="s">
        <v>1609</v>
      </c>
      <c r="C3735" s="376" t="s">
        <v>628</v>
      </c>
      <c r="D3735" s="376">
        <v>2031</v>
      </c>
      <c r="E3735" s="376">
        <v>2031</v>
      </c>
      <c r="F3735" s="376">
        <v>1</v>
      </c>
      <c r="G3735" s="376">
        <v>6101.463203368502</v>
      </c>
      <c r="H3735" s="376">
        <v>0</v>
      </c>
      <c r="I3735" s="376">
        <v>1</v>
      </c>
    </row>
    <row r="3736" spans="1:9" x14ac:dyDescent="0.35">
      <c r="A3736" s="376" t="s">
        <v>1603</v>
      </c>
      <c r="B3736" s="376" t="s">
        <v>1609</v>
      </c>
      <c r="C3736" s="376" t="s">
        <v>1051</v>
      </c>
      <c r="D3736" s="376">
        <v>2031</v>
      </c>
      <c r="E3736" s="376">
        <v>2031</v>
      </c>
      <c r="F3736" s="376">
        <v>1</v>
      </c>
      <c r="G3736" s="376">
        <v>6101.463203368502</v>
      </c>
      <c r="H3736" s="376">
        <v>0</v>
      </c>
      <c r="I3736" s="376">
        <v>1</v>
      </c>
    </row>
    <row r="3737" spans="1:9" x14ac:dyDescent="0.35">
      <c r="A3737" s="376" t="s">
        <v>1603</v>
      </c>
      <c r="B3737" s="376" t="s">
        <v>1609</v>
      </c>
      <c r="C3737" s="376" t="s">
        <v>1054</v>
      </c>
      <c r="D3737" s="376">
        <v>2031</v>
      </c>
      <c r="E3737" s="376">
        <v>2031</v>
      </c>
      <c r="F3737" s="376">
        <v>1</v>
      </c>
      <c r="G3737" s="376">
        <v>6101.463203368502</v>
      </c>
      <c r="H3737" s="376">
        <v>0</v>
      </c>
      <c r="I3737" s="376">
        <v>1</v>
      </c>
    </row>
    <row r="3738" spans="1:9" x14ac:dyDescent="0.35">
      <c r="A3738" s="376" t="s">
        <v>1605</v>
      </c>
      <c r="B3738" s="376" t="s">
        <v>1609</v>
      </c>
      <c r="C3738" s="376" t="s">
        <v>1046</v>
      </c>
      <c r="D3738" s="376">
        <v>2031</v>
      </c>
      <c r="E3738" s="376">
        <v>2031</v>
      </c>
      <c r="F3738" s="376">
        <v>0.23884589662749595</v>
      </c>
      <c r="G3738" s="376">
        <v>10426.102375692073</v>
      </c>
      <c r="H3738" s="376">
        <v>0</v>
      </c>
      <c r="I3738" s="376">
        <v>1</v>
      </c>
    </row>
    <row r="3739" spans="1:9" x14ac:dyDescent="0.35">
      <c r="A3739" s="376" t="s">
        <v>1605</v>
      </c>
      <c r="B3739" s="376" t="s">
        <v>1609</v>
      </c>
      <c r="C3739" s="376" t="s">
        <v>644</v>
      </c>
      <c r="D3739" s="376">
        <v>2031</v>
      </c>
      <c r="E3739" s="376">
        <v>2031</v>
      </c>
      <c r="F3739" s="376">
        <v>0.23884589662749595</v>
      </c>
      <c r="G3739" s="376">
        <v>10426.102375692073</v>
      </c>
      <c r="H3739" s="376">
        <v>0</v>
      </c>
      <c r="I3739" s="376">
        <v>1</v>
      </c>
    </row>
    <row r="3740" spans="1:9" x14ac:dyDescent="0.35">
      <c r="A3740" s="376" t="s">
        <v>1605</v>
      </c>
      <c r="B3740" s="376" t="s">
        <v>1609</v>
      </c>
      <c r="C3740" s="376" t="s">
        <v>628</v>
      </c>
      <c r="D3740" s="376">
        <v>2031</v>
      </c>
      <c r="E3740" s="376">
        <v>2031</v>
      </c>
      <c r="F3740" s="376">
        <v>0.23884589662749595</v>
      </c>
      <c r="G3740" s="376">
        <v>10426.102375692073</v>
      </c>
      <c r="H3740" s="376">
        <v>0</v>
      </c>
      <c r="I3740" s="376">
        <v>1</v>
      </c>
    </row>
    <row r="3741" spans="1:9" x14ac:dyDescent="0.35">
      <c r="A3741" s="376" t="s">
        <v>1605</v>
      </c>
      <c r="B3741" s="376" t="s">
        <v>1609</v>
      </c>
      <c r="C3741" s="376" t="s">
        <v>1051</v>
      </c>
      <c r="D3741" s="376">
        <v>2031</v>
      </c>
      <c r="E3741" s="376">
        <v>2031</v>
      </c>
      <c r="F3741" s="376">
        <v>0.23884589662749595</v>
      </c>
      <c r="G3741" s="376">
        <v>10426.102375692073</v>
      </c>
      <c r="H3741" s="376">
        <v>0</v>
      </c>
      <c r="I3741" s="376">
        <v>1</v>
      </c>
    </row>
    <row r="3742" spans="1:9" x14ac:dyDescent="0.35">
      <c r="A3742" s="376" t="s">
        <v>1605</v>
      </c>
      <c r="B3742" s="376" t="s">
        <v>1609</v>
      </c>
      <c r="C3742" s="376" t="s">
        <v>1054</v>
      </c>
      <c r="D3742" s="376">
        <v>2031</v>
      </c>
      <c r="E3742" s="376">
        <v>2031</v>
      </c>
      <c r="F3742" s="376">
        <v>0.23884589662749595</v>
      </c>
      <c r="G3742" s="376">
        <v>10426.102375692073</v>
      </c>
      <c r="H3742" s="376">
        <v>0</v>
      </c>
      <c r="I3742" s="376">
        <v>1</v>
      </c>
    </row>
    <row r="3743" spans="1:9" x14ac:dyDescent="0.35">
      <c r="A3743" s="376" t="s">
        <v>1636</v>
      </c>
      <c r="B3743" s="376" t="s">
        <v>1609</v>
      </c>
      <c r="C3743" s="376" t="s">
        <v>1046</v>
      </c>
      <c r="D3743" s="376">
        <v>2031</v>
      </c>
      <c r="E3743" s="376">
        <v>2031</v>
      </c>
      <c r="F3743" s="376">
        <v>1</v>
      </c>
      <c r="G3743" s="376">
        <v>3118.8058356640454</v>
      </c>
      <c r="H3743" s="376">
        <v>0</v>
      </c>
      <c r="I3743" s="376">
        <v>1</v>
      </c>
    </row>
    <row r="3744" spans="1:9" x14ac:dyDescent="0.35">
      <c r="A3744" s="376" t="s">
        <v>1636</v>
      </c>
      <c r="B3744" s="376" t="s">
        <v>1609</v>
      </c>
      <c r="C3744" s="376" t="s">
        <v>644</v>
      </c>
      <c r="D3744" s="376">
        <v>2031</v>
      </c>
      <c r="E3744" s="376">
        <v>2031</v>
      </c>
      <c r="F3744" s="376">
        <v>1</v>
      </c>
      <c r="G3744" s="376">
        <v>3118.8058356640454</v>
      </c>
      <c r="H3744" s="376">
        <v>0</v>
      </c>
      <c r="I3744" s="376">
        <v>1</v>
      </c>
    </row>
    <row r="3745" spans="1:9" x14ac:dyDescent="0.35">
      <c r="A3745" s="376" t="s">
        <v>1636</v>
      </c>
      <c r="B3745" s="376" t="s">
        <v>1609</v>
      </c>
      <c r="C3745" s="376" t="s">
        <v>628</v>
      </c>
      <c r="D3745" s="376">
        <v>2031</v>
      </c>
      <c r="E3745" s="376">
        <v>2031</v>
      </c>
      <c r="F3745" s="376">
        <v>1</v>
      </c>
      <c r="G3745" s="376">
        <v>3118.8058356640454</v>
      </c>
      <c r="H3745" s="376">
        <v>0</v>
      </c>
      <c r="I3745" s="376">
        <v>1</v>
      </c>
    </row>
    <row r="3746" spans="1:9" x14ac:dyDescent="0.35">
      <c r="A3746" s="376" t="s">
        <v>1636</v>
      </c>
      <c r="B3746" s="376" t="s">
        <v>1609</v>
      </c>
      <c r="C3746" s="376" t="s">
        <v>1051</v>
      </c>
      <c r="D3746" s="376">
        <v>2031</v>
      </c>
      <c r="E3746" s="376">
        <v>2031</v>
      </c>
      <c r="F3746" s="376">
        <v>1</v>
      </c>
      <c r="G3746" s="376">
        <v>3118.8058356640454</v>
      </c>
      <c r="H3746" s="376">
        <v>0</v>
      </c>
      <c r="I3746" s="376">
        <v>1</v>
      </c>
    </row>
    <row r="3747" spans="1:9" x14ac:dyDescent="0.35">
      <c r="A3747" s="376" t="s">
        <v>1636</v>
      </c>
      <c r="B3747" s="376" t="s">
        <v>1609</v>
      </c>
      <c r="C3747" s="376" t="s">
        <v>1054</v>
      </c>
      <c r="D3747" s="376">
        <v>2031</v>
      </c>
      <c r="E3747" s="376">
        <v>2031</v>
      </c>
      <c r="F3747" s="376">
        <v>1</v>
      </c>
      <c r="G3747" s="376">
        <v>3118.8058356640454</v>
      </c>
      <c r="H3747" s="376">
        <v>0</v>
      </c>
      <c r="I3747" s="376">
        <v>1</v>
      </c>
    </row>
    <row r="3748" spans="1:9" x14ac:dyDescent="0.35">
      <c r="A3748" s="376" t="s">
        <v>1606</v>
      </c>
      <c r="B3748" s="376" t="s">
        <v>1609</v>
      </c>
      <c r="C3748" s="376" t="s">
        <v>1046</v>
      </c>
      <c r="D3748" s="376">
        <v>2031</v>
      </c>
      <c r="E3748" s="376">
        <v>2031</v>
      </c>
      <c r="F3748" s="376">
        <v>1</v>
      </c>
      <c r="G3748" s="376">
        <v>5586.2042778354153</v>
      </c>
      <c r="H3748" s="376">
        <v>0</v>
      </c>
      <c r="I3748" s="376">
        <v>1</v>
      </c>
    </row>
    <row r="3749" spans="1:9" x14ac:dyDescent="0.35">
      <c r="A3749" s="376" t="s">
        <v>1606</v>
      </c>
      <c r="B3749" s="376" t="s">
        <v>1609</v>
      </c>
      <c r="C3749" s="376" t="s">
        <v>644</v>
      </c>
      <c r="D3749" s="376">
        <v>2031</v>
      </c>
      <c r="E3749" s="376">
        <v>2031</v>
      </c>
      <c r="F3749" s="376">
        <v>1</v>
      </c>
      <c r="G3749" s="376">
        <v>5586.2042778354153</v>
      </c>
      <c r="H3749" s="376">
        <v>0</v>
      </c>
      <c r="I3749" s="376">
        <v>1</v>
      </c>
    </row>
    <row r="3750" spans="1:9" x14ac:dyDescent="0.35">
      <c r="A3750" s="376" t="s">
        <v>1606</v>
      </c>
      <c r="B3750" s="376" t="s">
        <v>1609</v>
      </c>
      <c r="C3750" s="376" t="s">
        <v>628</v>
      </c>
      <c r="D3750" s="376">
        <v>2031</v>
      </c>
      <c r="E3750" s="376">
        <v>2031</v>
      </c>
      <c r="F3750" s="376">
        <v>1</v>
      </c>
      <c r="G3750" s="376">
        <v>5586.2042778354153</v>
      </c>
      <c r="H3750" s="376">
        <v>0</v>
      </c>
      <c r="I3750" s="376">
        <v>1</v>
      </c>
    </row>
    <row r="3751" spans="1:9" x14ac:dyDescent="0.35">
      <c r="A3751" s="376" t="s">
        <v>1606</v>
      </c>
      <c r="B3751" s="376" t="s">
        <v>1609</v>
      </c>
      <c r="C3751" s="376" t="s">
        <v>1051</v>
      </c>
      <c r="D3751" s="376">
        <v>2031</v>
      </c>
      <c r="E3751" s="376">
        <v>2031</v>
      </c>
      <c r="F3751" s="376">
        <v>1</v>
      </c>
      <c r="G3751" s="376">
        <v>5586.2042778354153</v>
      </c>
      <c r="H3751" s="376">
        <v>0</v>
      </c>
      <c r="I3751" s="376">
        <v>1</v>
      </c>
    </row>
    <row r="3752" spans="1:9" x14ac:dyDescent="0.35">
      <c r="A3752" s="376" t="s">
        <v>1606</v>
      </c>
      <c r="B3752" s="376" t="s">
        <v>1609</v>
      </c>
      <c r="C3752" s="376" t="s">
        <v>1054</v>
      </c>
      <c r="D3752" s="376">
        <v>2031</v>
      </c>
      <c r="E3752" s="376">
        <v>2031</v>
      </c>
      <c r="F3752" s="376">
        <v>1</v>
      </c>
      <c r="G3752" s="376">
        <v>5586.2042778354153</v>
      </c>
      <c r="H3752" s="376">
        <v>0</v>
      </c>
      <c r="I3752" s="376">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396"/>
  <sheetViews>
    <sheetView workbookViewId="0"/>
  </sheetViews>
  <sheetFormatPr defaultRowHeight="14.5" x14ac:dyDescent="0.35"/>
  <cols>
    <col min="2" max="2" width="25.54296875" customWidth="1"/>
  </cols>
  <sheetData>
    <row r="1" spans="1:7" s="263" customFormat="1" x14ac:dyDescent="0.35">
      <c r="C1" t="s">
        <v>1177</v>
      </c>
    </row>
    <row r="2" spans="1:7" x14ac:dyDescent="0.35">
      <c r="A2" s="263" t="s">
        <v>1043</v>
      </c>
      <c r="B2" s="228" t="s">
        <v>157</v>
      </c>
      <c r="C2" t="s">
        <v>739</v>
      </c>
      <c r="D2" s="304" t="s">
        <v>750</v>
      </c>
      <c r="G2" s="228"/>
    </row>
    <row r="3" spans="1:7" x14ac:dyDescent="0.35">
      <c r="A3" s="263" t="s">
        <v>771</v>
      </c>
      <c r="B3" t="s">
        <v>1612</v>
      </c>
      <c r="C3">
        <f t="shared" ref="C3:C30" si="0">SUMIF($C$270:$C$304,$A3,E$270:E$304)+SUMIF($C$270:$C$304,$A3,F$270:F$304)</f>
        <v>4221.6879099389189</v>
      </c>
      <c r="D3" s="304">
        <f>SUMIF(Capacity!$C$320:$C$357,Capacity!$A3,Capacity!E$320:E$357)</f>
        <v>4821.9399999999996</v>
      </c>
    </row>
    <row r="4" spans="1:7" x14ac:dyDescent="0.35">
      <c r="A4" s="263" t="s">
        <v>776</v>
      </c>
      <c r="B4" s="263" t="s">
        <v>1612</v>
      </c>
      <c r="C4" s="263">
        <f t="shared" si="0"/>
        <v>8301.4749971849287</v>
      </c>
      <c r="D4" s="304">
        <f>SUMIF(Capacity!$C$320:$C$357,Capacity!$A4,Capacity!E$320:E$357)</f>
        <v>8095.5</v>
      </c>
    </row>
    <row r="5" spans="1:7" x14ac:dyDescent="0.35">
      <c r="A5" s="263" t="s">
        <v>779</v>
      </c>
      <c r="B5" s="263" t="s">
        <v>1612</v>
      </c>
      <c r="C5" s="263">
        <f t="shared" si="0"/>
        <v>188.06627317444458</v>
      </c>
      <c r="D5" s="304">
        <f>SUMIF(Capacity!$C$320:$C$357,Capacity!$A5,Capacity!E$320:E$357)</f>
        <v>183.4</v>
      </c>
    </row>
    <row r="6" spans="1:7" x14ac:dyDescent="0.35">
      <c r="A6" s="263" t="s">
        <v>780</v>
      </c>
      <c r="B6" s="263" t="s">
        <v>1612</v>
      </c>
      <c r="C6" s="263">
        <f t="shared" si="0"/>
        <v>519.2741552497655</v>
      </c>
      <c r="D6" s="304">
        <f>SUMIF(Capacity!$C$320:$C$357,Capacity!$A6,Capacity!E$320:E$357)</f>
        <v>506.39</v>
      </c>
    </row>
    <row r="7" spans="1:7" x14ac:dyDescent="0.35">
      <c r="A7" s="263" t="s">
        <v>799</v>
      </c>
      <c r="B7" s="263" t="s">
        <v>1612</v>
      </c>
      <c r="C7" s="263">
        <f t="shared" si="0"/>
        <v>7926.7575623790099</v>
      </c>
      <c r="D7" s="304">
        <f>SUMIF(Capacity!$C$320:$C$357,Capacity!$A7,Capacity!E$320:E$357)</f>
        <v>8590.08</v>
      </c>
    </row>
    <row r="8" spans="1:7" x14ac:dyDescent="0.35">
      <c r="A8" s="263" t="s">
        <v>752</v>
      </c>
      <c r="B8" s="263" t="s">
        <v>1612</v>
      </c>
      <c r="C8" s="263">
        <f t="shared" si="0"/>
        <v>11853.145808232712</v>
      </c>
      <c r="D8" s="304">
        <f>SUMIF(Capacity!$C$320:$C$357,Capacity!$A8,Capacity!E$320:E$357)</f>
        <v>10938.25</v>
      </c>
    </row>
    <row r="9" spans="1:7" x14ac:dyDescent="0.35">
      <c r="A9" s="263" t="s">
        <v>753</v>
      </c>
      <c r="B9" s="263" t="s">
        <v>1612</v>
      </c>
      <c r="C9" s="263">
        <f t="shared" si="0"/>
        <v>18437.180660414531</v>
      </c>
      <c r="D9" s="304">
        <f>SUMIF(Capacity!$C$320:$C$357,Capacity!$A9,Capacity!E$320:E$357)</f>
        <v>18073.72</v>
      </c>
    </row>
    <row r="10" spans="1:7" x14ac:dyDescent="0.35">
      <c r="A10" s="263" t="s">
        <v>807</v>
      </c>
      <c r="B10" s="263" t="s">
        <v>1612</v>
      </c>
      <c r="C10" s="263">
        <f t="shared" si="0"/>
        <v>453.49197736459308</v>
      </c>
      <c r="D10" s="304">
        <f>SUMIF(Capacity!$C$320:$C$357,Capacity!$A10,Capacity!E$320:E$357)</f>
        <v>442.24</v>
      </c>
    </row>
    <row r="11" spans="1:7" x14ac:dyDescent="0.35">
      <c r="A11" s="263" t="s">
        <v>773</v>
      </c>
      <c r="B11" s="263" t="s">
        <v>1612</v>
      </c>
      <c r="C11" s="263">
        <f t="shared" si="0"/>
        <v>485.13507244702879</v>
      </c>
      <c r="D11" s="304">
        <f>SUMIF(Capacity!$C$320:$C$357,Capacity!$A11,Capacity!E$320:E$357)</f>
        <v>454.78</v>
      </c>
    </row>
    <row r="12" spans="1:7" x14ac:dyDescent="0.35">
      <c r="A12" s="263" t="s">
        <v>751</v>
      </c>
      <c r="B12" s="263" t="s">
        <v>1612</v>
      </c>
      <c r="C12" s="263">
        <f t="shared" si="0"/>
        <v>16228.768869778105</v>
      </c>
      <c r="D12" s="304">
        <f>SUMIF(Capacity!$C$320:$C$357,Capacity!$A12,Capacity!E$320:E$357)</f>
        <v>15606.18</v>
      </c>
    </row>
    <row r="13" spans="1:7" x14ac:dyDescent="0.35">
      <c r="A13" s="263" t="s">
        <v>754</v>
      </c>
      <c r="B13" s="263" t="s">
        <v>1612</v>
      </c>
      <c r="C13" s="263">
        <f t="shared" si="0"/>
        <v>15410.164381582681</v>
      </c>
      <c r="D13" s="304">
        <f>SUMIF(Capacity!$C$320:$C$357,Capacity!$A13,Capacity!E$320:E$357)</f>
        <v>12448.41</v>
      </c>
    </row>
    <row r="14" spans="1:7" x14ac:dyDescent="0.35">
      <c r="A14" s="263" t="s">
        <v>768</v>
      </c>
      <c r="B14" s="263" t="s">
        <v>1612</v>
      </c>
      <c r="C14" s="263">
        <f t="shared" si="0"/>
        <v>13679.065164298636</v>
      </c>
      <c r="D14" s="304">
        <f>SUMIF(Capacity!$C$320:$C$357,Capacity!$A14,Capacity!E$320:E$357)</f>
        <v>12723.44</v>
      </c>
    </row>
    <row r="15" spans="1:7" x14ac:dyDescent="0.35">
      <c r="A15" s="263" t="s">
        <v>749</v>
      </c>
      <c r="B15" s="263" t="s">
        <v>1612</v>
      </c>
      <c r="C15" s="263">
        <f t="shared" si="0"/>
        <v>28197.320301443204</v>
      </c>
      <c r="D15" s="304">
        <f>SUMIF(Capacity!$C$320:$C$357,Capacity!$A15,Capacity!E$320:E$357)</f>
        <v>26960.75</v>
      </c>
    </row>
    <row r="16" spans="1:7" x14ac:dyDescent="0.35">
      <c r="A16" s="263" t="s">
        <v>259</v>
      </c>
      <c r="B16" s="263" t="s">
        <v>1612</v>
      </c>
      <c r="C16" s="263">
        <f t="shared" si="0"/>
        <v>10937.667271506813</v>
      </c>
      <c r="D16" s="304">
        <f>SUMIF(Capacity!$C$320:$C$357,Capacity!$A16,Capacity!E$320:E$357)</f>
        <v>10558.44</v>
      </c>
    </row>
    <row r="17" spans="1:4" x14ac:dyDescent="0.35">
      <c r="A17" s="263" t="s">
        <v>181</v>
      </c>
      <c r="B17" s="263" t="s">
        <v>1612</v>
      </c>
      <c r="C17" s="263">
        <f t="shared" si="0"/>
        <v>8685.5257373493005</v>
      </c>
      <c r="D17" s="304">
        <f>SUMIF(Capacity!$C$320:$C$357,Capacity!$A17,Capacity!E$320:E$357)</f>
        <v>7878.07</v>
      </c>
    </row>
    <row r="18" spans="1:4" x14ac:dyDescent="0.35">
      <c r="A18" s="263" t="s">
        <v>784</v>
      </c>
      <c r="B18" s="263" t="s">
        <v>1612</v>
      </c>
      <c r="C18" s="263">
        <f t="shared" si="0"/>
        <v>10198.559297809323</v>
      </c>
      <c r="D18" s="304">
        <f>SUMIF(Capacity!$C$320:$C$357,Capacity!$A18,Capacity!E$320:E$357)</f>
        <v>9807.7000000000007</v>
      </c>
    </row>
    <row r="19" spans="1:4" x14ac:dyDescent="0.35">
      <c r="A19" s="263" t="s">
        <v>787</v>
      </c>
      <c r="B19" s="263" t="s">
        <v>1612</v>
      </c>
      <c r="C19" s="263">
        <f t="shared" si="0"/>
        <v>1856.9329377705037</v>
      </c>
      <c r="D19" s="304">
        <f>SUMIF(Capacity!$C$320:$C$357,Capacity!$A19,Capacity!E$320:E$357)</f>
        <v>1758.22</v>
      </c>
    </row>
    <row r="20" spans="1:4" x14ac:dyDescent="0.35">
      <c r="A20" s="263" t="s">
        <v>788</v>
      </c>
      <c r="B20" s="263" t="s">
        <v>1612</v>
      </c>
      <c r="C20" s="263">
        <f t="shared" si="0"/>
        <v>14231.735506175159</v>
      </c>
      <c r="D20" s="304">
        <f>SUMIF(Capacity!$C$320:$C$357,Capacity!$A20,Capacity!E$320:E$357)</f>
        <v>13647.19</v>
      </c>
    </row>
    <row r="21" spans="1:4" x14ac:dyDescent="0.35">
      <c r="A21" s="263" t="s">
        <v>260</v>
      </c>
      <c r="B21" s="263" t="s">
        <v>1612</v>
      </c>
      <c r="C21" s="263">
        <f t="shared" si="0"/>
        <v>4307.047672106075</v>
      </c>
      <c r="D21" s="304">
        <f>SUMIF(Capacity!$C$320:$C$357,Capacity!$A21,Capacity!E$320:E$357)</f>
        <v>3905.33</v>
      </c>
    </row>
    <row r="22" spans="1:4" x14ac:dyDescent="0.35">
      <c r="A22" s="263" t="s">
        <v>782</v>
      </c>
      <c r="B22" s="263" t="s">
        <v>1612</v>
      </c>
      <c r="C22" s="263">
        <f t="shared" si="0"/>
        <v>1609.7894776778207</v>
      </c>
      <c r="D22" s="304">
        <f>SUMIF(Capacity!$C$320:$C$357,Capacity!$A22,Capacity!E$320:E$357)</f>
        <v>1543.74</v>
      </c>
    </row>
    <row r="23" spans="1:4" x14ac:dyDescent="0.35">
      <c r="A23" s="263" t="s">
        <v>797</v>
      </c>
      <c r="B23" s="263" t="s">
        <v>1612</v>
      </c>
      <c r="C23" s="263">
        <f t="shared" si="0"/>
        <v>16249.526196543926</v>
      </c>
      <c r="D23" s="304">
        <f>SUMIF(Capacity!$C$320:$C$357,Capacity!$A23,Capacity!E$320:E$357)</f>
        <v>15690.810000000001</v>
      </c>
    </row>
    <row r="24" spans="1:4" x14ac:dyDescent="0.35">
      <c r="A24" s="263" t="s">
        <v>796</v>
      </c>
      <c r="B24" s="263" t="s">
        <v>1612</v>
      </c>
      <c r="C24" s="263">
        <f t="shared" si="0"/>
        <v>5206.5230434513524</v>
      </c>
      <c r="D24" s="304">
        <f>SUMIF(Capacity!$C$320:$C$357,Capacity!$A24,Capacity!E$320:E$357)</f>
        <v>4992.8999999999996</v>
      </c>
    </row>
    <row r="25" spans="1:4" x14ac:dyDescent="0.35">
      <c r="A25" s="263" t="s">
        <v>764</v>
      </c>
      <c r="B25" s="263" t="s">
        <v>1612</v>
      </c>
      <c r="C25" s="263">
        <f t="shared" si="0"/>
        <v>478.41673317921885</v>
      </c>
      <c r="D25" s="304">
        <f>SUMIF(Capacity!$C$320:$C$357,Capacity!$A25,Capacity!E$320:E$357)</f>
        <v>279.02</v>
      </c>
    </row>
    <row r="26" spans="1:4" x14ac:dyDescent="0.35">
      <c r="A26" s="263" t="s">
        <v>1053</v>
      </c>
      <c r="B26" s="263" t="s">
        <v>1612</v>
      </c>
      <c r="C26" s="263">
        <f t="shared" si="0"/>
        <v>382.35687704160898</v>
      </c>
      <c r="D26" s="304">
        <f>SUMIF(Capacity!$C$320:$C$357,Capacity!$A26,Capacity!E$320:E$357)</f>
        <v>253.03</v>
      </c>
    </row>
    <row r="27" spans="1:4" s="304" customFormat="1" x14ac:dyDescent="0.35">
      <c r="A27" s="304" t="s">
        <v>1400</v>
      </c>
      <c r="B27" s="304" t="s">
        <v>1612</v>
      </c>
      <c r="C27" s="304">
        <f t="shared" si="0"/>
        <v>39.120656061096291</v>
      </c>
      <c r="D27" s="304">
        <f>SUMIF(Capacity!$C$320:$C$357,Capacity!$A27,Capacity!E$320:E$357)</f>
        <v>38.15</v>
      </c>
    </row>
    <row r="28" spans="1:4" s="304" customFormat="1" x14ac:dyDescent="0.35">
      <c r="A28" s="304" t="s">
        <v>1398</v>
      </c>
      <c r="B28" s="304" t="s">
        <v>1612</v>
      </c>
      <c r="C28" s="304">
        <f t="shared" si="0"/>
        <v>146.09116589947473</v>
      </c>
      <c r="D28" s="304">
        <f>SUMIF(Capacity!$C$320:$C$357,Capacity!$A28,Capacity!E$320:E$357)</f>
        <v>126.63</v>
      </c>
    </row>
    <row r="29" spans="1:4" s="304" customFormat="1" x14ac:dyDescent="0.35">
      <c r="A29" s="304" t="s">
        <v>1401</v>
      </c>
      <c r="B29" s="304" t="s">
        <v>1612</v>
      </c>
      <c r="C29" s="304">
        <f t="shared" si="0"/>
        <v>202.07504455086104</v>
      </c>
      <c r="D29" s="304">
        <f>SUMIF(Capacity!$C$320:$C$357,Capacity!$A29,Capacity!E$320:E$357)</f>
        <v>174.44</v>
      </c>
    </row>
    <row r="30" spans="1:4" s="304" customFormat="1" x14ac:dyDescent="0.35">
      <c r="A30" s="304" t="s">
        <v>1397</v>
      </c>
      <c r="B30" s="304" t="s">
        <v>1612</v>
      </c>
      <c r="C30" s="304">
        <f t="shared" si="0"/>
        <v>271.59924938889685</v>
      </c>
      <c r="D30" s="304">
        <f>SUMIF(Capacity!$C$320:$C$357,Capacity!$A30,Capacity!E$320:E$357)</f>
        <v>248.4</v>
      </c>
    </row>
    <row r="31" spans="1:4" x14ac:dyDescent="0.35">
      <c r="A31" s="263" t="s">
        <v>809</v>
      </c>
      <c r="B31" s="263" t="s">
        <v>1612</v>
      </c>
      <c r="C31" s="263">
        <f>SUMIF($D$270:$D$304,$A31,E$270:E$304)+SUMIF($D$270:$D$304,$A31,F$270:F$304)</f>
        <v>658.88611590032895</v>
      </c>
      <c r="D31" s="304">
        <f>SUMIF(Capacity!$D$320:$D$357,Capacity!$A31,Capacity!E$320:E$357)</f>
        <v>587.62</v>
      </c>
    </row>
    <row r="32" spans="1:4" x14ac:dyDescent="0.35">
      <c r="A32" s="263" t="s">
        <v>771</v>
      </c>
      <c r="B32" t="s">
        <v>1613</v>
      </c>
      <c r="C32" s="263">
        <f t="shared" ref="C32:C55" si="1">SUMIF($C$270:$C$304,$A3,G$270:G$304)</f>
        <v>2115.41</v>
      </c>
      <c r="D32" s="304">
        <f>SUMIF(Capacity!$C$320:$C$357,Capacity!$A3,Capacity!F$320:F$357)</f>
        <v>2115.41</v>
      </c>
    </row>
    <row r="33" spans="1:4" x14ac:dyDescent="0.35">
      <c r="A33" s="263" t="s">
        <v>776</v>
      </c>
      <c r="B33" s="263" t="s">
        <v>1613</v>
      </c>
      <c r="C33" s="263">
        <f t="shared" si="1"/>
        <v>685.61</v>
      </c>
      <c r="D33" s="304">
        <f>SUMIF(Capacity!$C$320:$C$357,Capacity!$A4,Capacity!F$320:F$357)</f>
        <v>685.61</v>
      </c>
    </row>
    <row r="34" spans="1:4" x14ac:dyDescent="0.35">
      <c r="A34" s="263" t="s">
        <v>779</v>
      </c>
      <c r="B34" s="263" t="s">
        <v>1613</v>
      </c>
      <c r="C34" s="263">
        <f t="shared" si="1"/>
        <v>62.01</v>
      </c>
      <c r="D34" s="304">
        <f>SUMIF(Capacity!$C$320:$C$357,Capacity!$A5,Capacity!F$320:F$357)</f>
        <v>62.01</v>
      </c>
    </row>
    <row r="35" spans="1:4" x14ac:dyDescent="0.35">
      <c r="A35" s="263" t="s">
        <v>780</v>
      </c>
      <c r="B35" s="263" t="s">
        <v>1613</v>
      </c>
      <c r="C35" s="263">
        <f t="shared" si="1"/>
        <v>304.07</v>
      </c>
      <c r="D35" s="304">
        <f>SUMIF(Capacity!$C$320:$C$357,Capacity!$A6,Capacity!F$320:F$357)</f>
        <v>304.07</v>
      </c>
    </row>
    <row r="36" spans="1:4" x14ac:dyDescent="0.35">
      <c r="A36" s="304" t="s">
        <v>799</v>
      </c>
      <c r="B36" s="263" t="s">
        <v>1613</v>
      </c>
      <c r="C36" s="263">
        <f t="shared" si="1"/>
        <v>414.01</v>
      </c>
      <c r="D36" s="304">
        <f>SUMIF(Capacity!$C$320:$C$357,Capacity!$A7,Capacity!F$320:F$357)</f>
        <v>414.01</v>
      </c>
    </row>
    <row r="37" spans="1:4" x14ac:dyDescent="0.35">
      <c r="A37" s="263" t="s">
        <v>752</v>
      </c>
      <c r="B37" s="263" t="s">
        <v>1613</v>
      </c>
      <c r="C37" s="263">
        <f t="shared" si="1"/>
        <v>824.9</v>
      </c>
      <c r="D37" s="304">
        <f>SUMIF(Capacity!$C$320:$C$357,Capacity!$A8,Capacity!F$320:F$357)</f>
        <v>824.9</v>
      </c>
    </row>
    <row r="38" spans="1:4" x14ac:dyDescent="0.35">
      <c r="A38" s="263" t="s">
        <v>753</v>
      </c>
      <c r="B38" s="263" t="s">
        <v>1613</v>
      </c>
      <c r="C38" s="263">
        <f t="shared" si="1"/>
        <v>549.49</v>
      </c>
      <c r="D38" s="304">
        <f>SUMIF(Capacity!$C$320:$C$357,Capacity!$A9,Capacity!F$320:F$357)</f>
        <v>549.49</v>
      </c>
    </row>
    <row r="39" spans="1:4" x14ac:dyDescent="0.35">
      <c r="A39" s="263" t="s">
        <v>807</v>
      </c>
      <c r="B39" s="263" t="s">
        <v>1613</v>
      </c>
      <c r="C39" s="263">
        <f t="shared" si="1"/>
        <v>519.66</v>
      </c>
      <c r="D39" s="304">
        <f>SUMIF(Capacity!$C$320:$C$357,Capacity!$A10,Capacity!F$320:F$357)</f>
        <v>519.66</v>
      </c>
    </row>
    <row r="40" spans="1:4" x14ac:dyDescent="0.35">
      <c r="A40" s="263" t="s">
        <v>773</v>
      </c>
      <c r="B40" s="263" t="s">
        <v>1613</v>
      </c>
      <c r="C40" s="263">
        <f t="shared" si="1"/>
        <v>67.67</v>
      </c>
      <c r="D40" s="304">
        <f>SUMIF(Capacity!$C$320:$C$357,Capacity!$A11,Capacity!F$320:F$357)</f>
        <v>67.67</v>
      </c>
    </row>
    <row r="41" spans="1:4" x14ac:dyDescent="0.35">
      <c r="A41" s="263" t="s">
        <v>751</v>
      </c>
      <c r="B41" s="263" t="s">
        <v>1613</v>
      </c>
      <c r="C41" s="263">
        <f t="shared" si="1"/>
        <v>6561.82</v>
      </c>
      <c r="D41" s="304">
        <f>SUMIF(Capacity!$C$320:$C$357,Capacity!$A12,Capacity!F$320:F$357)</f>
        <v>6561.82</v>
      </c>
    </row>
    <row r="42" spans="1:4" x14ac:dyDescent="0.35">
      <c r="A42" s="263" t="s">
        <v>754</v>
      </c>
      <c r="B42" s="263" t="s">
        <v>1613</v>
      </c>
      <c r="C42" s="263">
        <f t="shared" si="1"/>
        <v>357</v>
      </c>
      <c r="D42" s="304">
        <f>SUMIF(Capacity!$C$320:$C$357,Capacity!$A13,Capacity!F$320:F$357)</f>
        <v>357</v>
      </c>
    </row>
    <row r="43" spans="1:4" x14ac:dyDescent="0.35">
      <c r="A43" s="263" t="s">
        <v>768</v>
      </c>
      <c r="B43" s="263" t="s">
        <v>1613</v>
      </c>
      <c r="C43" s="263">
        <f t="shared" si="1"/>
        <v>0</v>
      </c>
      <c r="D43" s="304">
        <f>SUMIF(Capacity!$C$320:$C$357,Capacity!$A14,Capacity!F$320:F$357)</f>
        <v>0</v>
      </c>
    </row>
    <row r="44" spans="1:4" x14ac:dyDescent="0.35">
      <c r="A44" s="263" t="s">
        <v>749</v>
      </c>
      <c r="B44" s="263" t="s">
        <v>1613</v>
      </c>
      <c r="C44" s="263">
        <f t="shared" si="1"/>
        <v>3512.73</v>
      </c>
      <c r="D44" s="304">
        <f>SUMIF(Capacity!$C$320:$C$357,Capacity!$A15,Capacity!F$320:F$357)</f>
        <v>3512.73</v>
      </c>
    </row>
    <row r="45" spans="1:4" x14ac:dyDescent="0.35">
      <c r="A45" s="263" t="s">
        <v>259</v>
      </c>
      <c r="B45" s="263" t="s">
        <v>1613</v>
      </c>
      <c r="C45" s="263">
        <f t="shared" si="1"/>
        <v>4048.58</v>
      </c>
      <c r="D45" s="304">
        <f>SUMIF(Capacity!$C$320:$C$357,Capacity!$A16,Capacity!F$320:F$357)</f>
        <v>3929.52</v>
      </c>
    </row>
    <row r="46" spans="1:4" x14ac:dyDescent="0.35">
      <c r="A46" s="263" t="s">
        <v>181</v>
      </c>
      <c r="B46" s="263" t="s">
        <v>1613</v>
      </c>
      <c r="C46" s="263">
        <f t="shared" si="1"/>
        <v>831.82</v>
      </c>
      <c r="D46" s="304">
        <f>SUMIF(Capacity!$C$320:$C$357,Capacity!$A17,Capacity!F$320:F$357)</f>
        <v>950.88</v>
      </c>
    </row>
    <row r="47" spans="1:4" x14ac:dyDescent="0.35">
      <c r="A47" s="263" t="s">
        <v>784</v>
      </c>
      <c r="B47" s="263" t="s">
        <v>1613</v>
      </c>
      <c r="C47" s="263">
        <f t="shared" si="1"/>
        <v>0</v>
      </c>
      <c r="D47" s="304">
        <f>SUMIF(Capacity!$C$320:$C$357,Capacity!$A18,Capacity!F$320:F$357)</f>
        <v>0</v>
      </c>
    </row>
    <row r="48" spans="1:4" x14ac:dyDescent="0.35">
      <c r="A48" s="304" t="s">
        <v>787</v>
      </c>
      <c r="B48" s="263" t="s">
        <v>1613</v>
      </c>
      <c r="C48" s="263">
        <f t="shared" si="1"/>
        <v>533.58000000000004</v>
      </c>
      <c r="D48" s="304">
        <f>SUMIF(Capacity!$C$320:$C$357,Capacity!$A19,Capacity!F$320:F$357)</f>
        <v>533.58000000000004</v>
      </c>
    </row>
    <row r="49" spans="1:4" x14ac:dyDescent="0.35">
      <c r="A49" s="263" t="s">
        <v>788</v>
      </c>
      <c r="B49" s="263" t="s">
        <v>1613</v>
      </c>
      <c r="C49" s="263">
        <f t="shared" si="1"/>
        <v>1027.18</v>
      </c>
      <c r="D49" s="304">
        <f>SUMIF(Capacity!$C$320:$C$357,Capacity!$A20,Capacity!F$320:F$357)</f>
        <v>1027.18</v>
      </c>
    </row>
    <row r="50" spans="1:4" x14ac:dyDescent="0.35">
      <c r="A50" s="263" t="s">
        <v>260</v>
      </c>
      <c r="B50" s="263" t="s">
        <v>1613</v>
      </c>
      <c r="C50" s="263">
        <f t="shared" si="1"/>
        <v>0</v>
      </c>
      <c r="D50" s="304">
        <f>SUMIF(Capacity!$C$320:$C$357,Capacity!$A21,Capacity!F$320:F$357)</f>
        <v>0</v>
      </c>
    </row>
    <row r="51" spans="1:4" x14ac:dyDescent="0.35">
      <c r="A51" s="263" t="s">
        <v>782</v>
      </c>
      <c r="B51" s="263" t="s">
        <v>1613</v>
      </c>
      <c r="C51" s="263">
        <f t="shared" si="1"/>
        <v>0</v>
      </c>
      <c r="D51" s="304">
        <f>SUMIF(Capacity!$C$320:$C$357,Capacity!$A22,Capacity!F$320:F$357)</f>
        <v>0</v>
      </c>
    </row>
    <row r="52" spans="1:4" x14ac:dyDescent="0.35">
      <c r="A52" s="263" t="s">
        <v>797</v>
      </c>
      <c r="B52" s="263" t="s">
        <v>1613</v>
      </c>
      <c r="C52" s="263">
        <f t="shared" si="1"/>
        <v>100</v>
      </c>
      <c r="D52" s="304">
        <f>SUMIF(Capacity!$C$320:$C$357,Capacity!$A23,Capacity!F$320:F$357)</f>
        <v>100</v>
      </c>
    </row>
    <row r="53" spans="1:4" x14ac:dyDescent="0.35">
      <c r="A53" s="263" t="s">
        <v>796</v>
      </c>
      <c r="B53" s="263" t="s">
        <v>1613</v>
      </c>
      <c r="C53" s="263">
        <f t="shared" si="1"/>
        <v>0</v>
      </c>
      <c r="D53" s="304">
        <f>SUMIF(Capacity!$C$320:$C$357,Capacity!$A24,Capacity!F$320:F$357)</f>
        <v>0</v>
      </c>
    </row>
    <row r="54" spans="1:4" x14ac:dyDescent="0.35">
      <c r="A54" s="263" t="s">
        <v>764</v>
      </c>
      <c r="B54" s="263" t="s">
        <v>1613</v>
      </c>
      <c r="C54" s="263">
        <f t="shared" si="1"/>
        <v>788.27</v>
      </c>
      <c r="D54" s="304">
        <f>SUMIF(Capacity!$C$320:$C$357,Capacity!$A25,Capacity!F$320:F$357)</f>
        <v>748.51</v>
      </c>
    </row>
    <row r="55" spans="1:4" x14ac:dyDescent="0.35">
      <c r="A55" s="263" t="s">
        <v>1053</v>
      </c>
      <c r="B55" s="263" t="s">
        <v>1613</v>
      </c>
      <c r="C55" s="263">
        <f t="shared" si="1"/>
        <v>923.92</v>
      </c>
      <c r="D55" s="304">
        <f>SUMIF(Capacity!$C$320:$C$357,Capacity!$A26,Capacity!F$320:F$357)</f>
        <v>923.92</v>
      </c>
    </row>
    <row r="56" spans="1:4" s="304" customFormat="1" x14ac:dyDescent="0.35">
      <c r="A56" s="304" t="s">
        <v>1400</v>
      </c>
      <c r="B56" s="304" t="s">
        <v>1613</v>
      </c>
      <c r="C56" s="304">
        <f>SUMIF($C$270:$C$304,$A56,G$270:G$304)</f>
        <v>15.03</v>
      </c>
      <c r="D56" s="304">
        <f>SUMIF(Capacity!$C$320:$C$357,Capacity!$A56,Capacity!F$320:F$357)</f>
        <v>15.03</v>
      </c>
    </row>
    <row r="57" spans="1:4" s="304" customFormat="1" x14ac:dyDescent="0.35">
      <c r="A57" s="304" t="s">
        <v>1398</v>
      </c>
      <c r="B57" s="304" t="s">
        <v>1613</v>
      </c>
      <c r="C57" s="304">
        <f>SUMIF($C$270:$C$304,$A57,G$270:G$304)</f>
        <v>43.34</v>
      </c>
      <c r="D57" s="304">
        <f>SUMIF(Capacity!$C$320:$C$357,Capacity!$A57,Capacity!F$320:F$357)</f>
        <v>43.34</v>
      </c>
    </row>
    <row r="58" spans="1:4" s="304" customFormat="1" x14ac:dyDescent="0.35">
      <c r="A58" s="304" t="s">
        <v>1401</v>
      </c>
      <c r="B58" s="304" t="s">
        <v>1613</v>
      </c>
      <c r="C58" s="304">
        <f>SUMIF($C$270:$C$304,$A58,G$270:G$304)</f>
        <v>66.34</v>
      </c>
      <c r="D58" s="304">
        <f>SUMIF(Capacity!$C$320:$C$357,Capacity!$A58,Capacity!F$320:F$357)</f>
        <v>66.34</v>
      </c>
    </row>
    <row r="59" spans="1:4" s="304" customFormat="1" x14ac:dyDescent="0.35">
      <c r="A59" s="304" t="s">
        <v>1397</v>
      </c>
      <c r="B59" s="304" t="s">
        <v>1613</v>
      </c>
      <c r="C59" s="304">
        <f>SUMIF($C$270:$C$304,$A59,G$270:G$304)</f>
        <v>32.5</v>
      </c>
      <c r="D59" s="304">
        <f>SUMIF(Capacity!$C$320:$C$357,Capacity!$A59,Capacity!F$320:F$357)</f>
        <v>32.5</v>
      </c>
    </row>
    <row r="60" spans="1:4" x14ac:dyDescent="0.35">
      <c r="A60" s="263" t="s">
        <v>809</v>
      </c>
      <c r="B60" s="263" t="s">
        <v>1613</v>
      </c>
      <c r="C60" s="263">
        <f>SUMIF($D$270:$D$304,$A60,G$270:G$304)</f>
        <v>157.21</v>
      </c>
      <c r="D60" s="304">
        <f>SUMIF(Capacity!$D$320:$D$357,Capacity!$A60,Capacity!F$320:F$357)</f>
        <v>157.21</v>
      </c>
    </row>
    <row r="61" spans="1:4" x14ac:dyDescent="0.35">
      <c r="A61" s="263" t="s">
        <v>771</v>
      </c>
      <c r="B61" t="s">
        <v>1615</v>
      </c>
      <c r="C61" s="263">
        <f t="shared" ref="C61:C84" si="2">SUMIF($C$270:$C$304,$A3,I$270:I$304)</f>
        <v>120.45336881227493</v>
      </c>
      <c r="D61" s="304">
        <f>SUMIF(Capacity!$C$320:$C$357,Capacity!$A3,Capacity!H$320:H$357)</f>
        <v>120.45336881227493</v>
      </c>
    </row>
    <row r="62" spans="1:4" x14ac:dyDescent="0.35">
      <c r="A62" s="263" t="s">
        <v>776</v>
      </c>
      <c r="B62" s="263" t="s">
        <v>1615</v>
      </c>
      <c r="C62" s="263">
        <f t="shared" si="2"/>
        <v>118.23945393281176</v>
      </c>
      <c r="D62" s="304">
        <f>SUMIF(Capacity!$C$320:$C$357,Capacity!$A4,Capacity!H$320:H$357)</f>
        <v>118.23945393281176</v>
      </c>
    </row>
    <row r="63" spans="1:4" x14ac:dyDescent="0.35">
      <c r="A63" s="263" t="s">
        <v>779</v>
      </c>
      <c r="B63" s="263" t="s">
        <v>1615</v>
      </c>
      <c r="C63" s="263">
        <f t="shared" si="2"/>
        <v>33.911553312412323</v>
      </c>
      <c r="D63" s="304">
        <f>SUMIF(Capacity!$C$320:$C$357,Capacity!$A5,Capacity!H$320:H$357)</f>
        <v>33.911553312412323</v>
      </c>
    </row>
    <row r="64" spans="1:4" x14ac:dyDescent="0.35">
      <c r="A64" s="263" t="s">
        <v>780</v>
      </c>
      <c r="B64" s="263" t="s">
        <v>1615</v>
      </c>
      <c r="C64" s="263">
        <f t="shared" si="2"/>
        <v>79.630652648628327</v>
      </c>
      <c r="D64" s="304">
        <f>SUMIF(Capacity!$C$320:$C$357,Capacity!$A6,Capacity!H$320:H$357)</f>
        <v>79.630652648628327</v>
      </c>
    </row>
    <row r="65" spans="1:4" x14ac:dyDescent="0.35">
      <c r="A65" s="304" t="s">
        <v>799</v>
      </c>
      <c r="B65" s="263" t="s">
        <v>1615</v>
      </c>
      <c r="C65" s="263">
        <f t="shared" si="2"/>
        <v>230.53999334769844</v>
      </c>
      <c r="D65" s="304">
        <f>SUMIF(Capacity!$C$320:$C$357,Capacity!$A7,Capacity!H$320:H$357)</f>
        <v>230.53999334769844</v>
      </c>
    </row>
    <row r="66" spans="1:4" x14ac:dyDescent="0.35">
      <c r="A66" s="263" t="s">
        <v>752</v>
      </c>
      <c r="B66" s="263" t="s">
        <v>1615</v>
      </c>
      <c r="C66" s="263">
        <f t="shared" si="2"/>
        <v>652.15606877901348</v>
      </c>
      <c r="D66" s="304">
        <f>SUMIF(Capacity!$C$320:$C$357,Capacity!$A8,Capacity!H$320:H$357)</f>
        <v>652.15606877901348</v>
      </c>
    </row>
    <row r="67" spans="1:4" x14ac:dyDescent="0.35">
      <c r="A67" s="263" t="s">
        <v>753</v>
      </c>
      <c r="B67" s="263" t="s">
        <v>1615</v>
      </c>
      <c r="C67" s="263">
        <f t="shared" si="2"/>
        <v>339.09210545344115</v>
      </c>
      <c r="D67" s="304">
        <f>SUMIF(Capacity!$C$320:$C$357,Capacity!$A9,Capacity!H$320:H$357)</f>
        <v>339.09210545344115</v>
      </c>
    </row>
    <row r="68" spans="1:4" x14ac:dyDescent="0.35">
      <c r="A68" s="263" t="s">
        <v>807</v>
      </c>
      <c r="B68" s="263" t="s">
        <v>1615</v>
      </c>
      <c r="C68" s="263">
        <f t="shared" si="2"/>
        <v>36.594021605518513</v>
      </c>
      <c r="D68" s="304">
        <f>SUMIF(Capacity!$C$320:$C$357,Capacity!$A10,Capacity!H$320:H$357)</f>
        <v>36.594021605518513</v>
      </c>
    </row>
    <row r="69" spans="1:4" x14ac:dyDescent="0.35">
      <c r="A69" s="263" t="s">
        <v>773</v>
      </c>
      <c r="B69" s="263" t="s">
        <v>1615</v>
      </c>
      <c r="C69" s="263">
        <f t="shared" si="2"/>
        <v>29.677419354838708</v>
      </c>
      <c r="D69" s="304">
        <f>SUMIF(Capacity!$C$320:$C$357,Capacity!$A11,Capacity!H$320:H$357)</f>
        <v>29.677419354838708</v>
      </c>
    </row>
    <row r="70" spans="1:4" x14ac:dyDescent="0.35">
      <c r="A70" s="263" t="s">
        <v>751</v>
      </c>
      <c r="B70" s="263" t="s">
        <v>1615</v>
      </c>
      <c r="C70" s="263">
        <f t="shared" si="2"/>
        <v>638.06451612903231</v>
      </c>
      <c r="D70" s="304">
        <f>SUMIF(Capacity!$C$320:$C$357,Capacity!$A12,Capacity!H$320:H$357)</f>
        <v>638.06451612903231</v>
      </c>
    </row>
    <row r="71" spans="1:4" x14ac:dyDescent="0.35">
      <c r="A71" s="263" t="s">
        <v>754</v>
      </c>
      <c r="B71" s="263" t="s">
        <v>1615</v>
      </c>
      <c r="C71" s="263">
        <f t="shared" si="2"/>
        <v>311.61290322580646</v>
      </c>
      <c r="D71" s="304">
        <f>SUMIF(Capacity!$C$320:$C$357,Capacity!$A13,Capacity!H$320:H$357)</f>
        <v>311.61290322580646</v>
      </c>
    </row>
    <row r="72" spans="1:4" x14ac:dyDescent="0.35">
      <c r="A72" s="263" t="s">
        <v>768</v>
      </c>
      <c r="B72" s="263" t="s">
        <v>1615</v>
      </c>
      <c r="C72" s="263">
        <f t="shared" si="2"/>
        <v>54.789081885856078</v>
      </c>
      <c r="D72" s="304">
        <f>SUMIF(Capacity!$C$320:$C$357,Capacity!$A14,Capacity!H$320:H$357)</f>
        <v>54.789081885856078</v>
      </c>
    </row>
    <row r="73" spans="1:4" x14ac:dyDescent="0.35">
      <c r="A73" s="263" t="s">
        <v>749</v>
      </c>
      <c r="B73" s="263" t="s">
        <v>1615</v>
      </c>
      <c r="C73" s="263">
        <f t="shared" si="2"/>
        <v>787.59305210918114</v>
      </c>
      <c r="D73" s="304">
        <f>SUMIF(Capacity!$C$320:$C$357,Capacity!$A15,Capacity!H$320:H$357)</f>
        <v>787.59305210918114</v>
      </c>
    </row>
    <row r="74" spans="1:4" x14ac:dyDescent="0.35">
      <c r="A74" s="263" t="s">
        <v>259</v>
      </c>
      <c r="B74" s="263" t="s">
        <v>1615</v>
      </c>
      <c r="C74" s="263">
        <f t="shared" si="2"/>
        <v>147.22522648083623</v>
      </c>
      <c r="D74" s="304">
        <f>SUMIF(Capacity!$C$320:$C$357,Capacity!$A16,Capacity!H$320:H$357)</f>
        <v>147.22522648083623</v>
      </c>
    </row>
    <row r="75" spans="1:4" x14ac:dyDescent="0.35">
      <c r="A75" s="263" t="s">
        <v>181</v>
      </c>
      <c r="B75" s="263" t="s">
        <v>1615</v>
      </c>
      <c r="C75" s="263">
        <f t="shared" si="2"/>
        <v>172.05003484320557</v>
      </c>
      <c r="D75" s="304">
        <f>SUMIF(Capacity!$C$320:$C$357,Capacity!$A17,Capacity!H$320:H$357)</f>
        <v>172.05003484320557</v>
      </c>
    </row>
    <row r="76" spans="1:4" x14ac:dyDescent="0.35">
      <c r="A76" s="263" t="s">
        <v>784</v>
      </c>
      <c r="B76" s="263" t="s">
        <v>1615</v>
      </c>
      <c r="C76" s="263">
        <f t="shared" si="2"/>
        <v>807.44250871080135</v>
      </c>
      <c r="D76" s="304">
        <f>SUMIF(Capacity!$C$320:$C$357,Capacity!$A18,Capacity!H$320:H$357)</f>
        <v>807.44250871080135</v>
      </c>
    </row>
    <row r="77" spans="1:4" x14ac:dyDescent="0.35">
      <c r="A77" s="304" t="s">
        <v>787</v>
      </c>
      <c r="B77" s="263" t="s">
        <v>1615</v>
      </c>
      <c r="C77" s="263">
        <f t="shared" si="2"/>
        <v>418.75958188153311</v>
      </c>
      <c r="D77" s="304">
        <f>SUMIF(Capacity!$C$320:$C$357,Capacity!$A19,Capacity!H$320:H$357)</f>
        <v>418.75958188153311</v>
      </c>
    </row>
    <row r="78" spans="1:4" x14ac:dyDescent="0.35">
      <c r="A78" s="263" t="s">
        <v>788</v>
      </c>
      <c r="B78" s="263" t="s">
        <v>1615</v>
      </c>
      <c r="C78" s="263">
        <f t="shared" si="2"/>
        <v>1675.0383275261324</v>
      </c>
      <c r="D78" s="304">
        <f>SUMIF(Capacity!$C$320:$C$357,Capacity!$A20,Capacity!H$320:H$357)</f>
        <v>1675.0383275261324</v>
      </c>
    </row>
    <row r="79" spans="1:4" x14ac:dyDescent="0.35">
      <c r="A79" s="263" t="s">
        <v>260</v>
      </c>
      <c r="B79" s="263" t="s">
        <v>1615</v>
      </c>
      <c r="C79" s="263">
        <f t="shared" si="2"/>
        <v>0</v>
      </c>
      <c r="D79" s="304">
        <f>SUMIF(Capacity!$C$320:$C$357,Capacity!$A21,Capacity!H$320:H$357)</f>
        <v>0</v>
      </c>
    </row>
    <row r="80" spans="1:4" x14ac:dyDescent="0.35">
      <c r="A80" s="263" t="s">
        <v>782</v>
      </c>
      <c r="B80" s="263" t="s">
        <v>1615</v>
      </c>
      <c r="C80" s="263">
        <f t="shared" si="2"/>
        <v>0</v>
      </c>
      <c r="D80" s="304">
        <f>SUMIF(Capacity!$C$320:$C$357,Capacity!$A22,Capacity!H$320:H$357)</f>
        <v>0</v>
      </c>
    </row>
    <row r="81" spans="1:4" x14ac:dyDescent="0.35">
      <c r="A81" s="263" t="s">
        <v>797</v>
      </c>
      <c r="B81" s="263" t="s">
        <v>1615</v>
      </c>
      <c r="C81" s="263">
        <f t="shared" si="2"/>
        <v>0</v>
      </c>
      <c r="D81" s="304">
        <f>SUMIF(Capacity!$C$320:$C$357,Capacity!$A23,Capacity!H$320:H$357)</f>
        <v>0</v>
      </c>
    </row>
    <row r="82" spans="1:4" x14ac:dyDescent="0.35">
      <c r="A82" s="263" t="s">
        <v>796</v>
      </c>
      <c r="B82" s="263" t="s">
        <v>1615</v>
      </c>
      <c r="C82" s="263">
        <f t="shared" si="2"/>
        <v>0</v>
      </c>
      <c r="D82" s="304">
        <f>SUMIF(Capacity!$C$320:$C$357,Capacity!$A24,Capacity!H$320:H$357)</f>
        <v>0</v>
      </c>
    </row>
    <row r="83" spans="1:4" x14ac:dyDescent="0.35">
      <c r="A83" s="263" t="s">
        <v>764</v>
      </c>
      <c r="B83" s="263" t="s">
        <v>1615</v>
      </c>
      <c r="C83" s="263">
        <f t="shared" si="2"/>
        <v>0</v>
      </c>
      <c r="D83" s="304">
        <f>SUMIF(Capacity!$C$320:$C$357,Capacity!$A25,Capacity!H$320:H$357)</f>
        <v>0</v>
      </c>
    </row>
    <row r="84" spans="1:4" x14ac:dyDescent="0.35">
      <c r="A84" s="263" t="s">
        <v>1053</v>
      </c>
      <c r="B84" s="263" t="s">
        <v>1615</v>
      </c>
      <c r="C84" s="263">
        <f t="shared" si="2"/>
        <v>0</v>
      </c>
      <c r="D84" s="304">
        <f>SUMIF(Capacity!$C$320:$C$357,Capacity!$A26,Capacity!H$320:H$357)</f>
        <v>0</v>
      </c>
    </row>
    <row r="85" spans="1:4" s="304" customFormat="1" x14ac:dyDescent="0.35">
      <c r="A85" s="304" t="s">
        <v>1400</v>
      </c>
      <c r="B85" s="304" t="s">
        <v>1615</v>
      </c>
      <c r="C85" s="304">
        <f>SUMIF($C$270:$C$304,$A85,I$270:I$304)</f>
        <v>9.3827821082011305</v>
      </c>
      <c r="D85" s="304">
        <f>SUMIF(Capacity!$C$320:$C$357,Capacity!$A85,Capacity!H$320:H$357)</f>
        <v>9.3827821082011305</v>
      </c>
    </row>
    <row r="86" spans="1:4" s="304" customFormat="1" x14ac:dyDescent="0.35">
      <c r="A86" s="304" t="s">
        <v>1398</v>
      </c>
      <c r="B86" s="304" t="s">
        <v>1615</v>
      </c>
      <c r="C86" s="304">
        <f>SUMIF($C$270:$C$304,$A86,I$270:I$304)</f>
        <v>7.9900744416873453</v>
      </c>
      <c r="D86" s="304">
        <f>SUMIF(Capacity!$C$320:$C$357,Capacity!$A86,Capacity!H$320:H$357)</f>
        <v>7.9900744416873453</v>
      </c>
    </row>
    <row r="87" spans="1:4" s="304" customFormat="1" x14ac:dyDescent="0.35">
      <c r="A87" s="304" t="s">
        <v>1401</v>
      </c>
      <c r="B87" s="304" t="s">
        <v>1615</v>
      </c>
      <c r="C87" s="304">
        <f>SUMIF($C$270:$C$304,$A87,I$270:I$304)</f>
        <v>10.272952853598015</v>
      </c>
      <c r="D87" s="304">
        <f>SUMIF(Capacity!$C$320:$C$357,Capacity!$A87,Capacity!H$320:H$357)</f>
        <v>10.272952853598015</v>
      </c>
    </row>
    <row r="88" spans="1:4" s="304" customFormat="1" x14ac:dyDescent="0.35">
      <c r="A88" s="304" t="s">
        <v>1397</v>
      </c>
      <c r="B88" s="304" t="s">
        <v>1615</v>
      </c>
      <c r="C88" s="304">
        <f>SUMIF($C$270:$C$304,$A88,I$270:I$304)</f>
        <v>99.484320557491287</v>
      </c>
      <c r="D88" s="304">
        <f>SUMIF(Capacity!$C$320:$C$357,Capacity!$A88,Capacity!H$320:H$357)</f>
        <v>99.484320557491287</v>
      </c>
    </row>
    <row r="89" spans="1:4" x14ac:dyDescent="0.35">
      <c r="A89" s="263" t="s">
        <v>809</v>
      </c>
      <c r="B89" s="263" t="s">
        <v>1615</v>
      </c>
      <c r="C89" s="263">
        <f>SUMIF($D$270:$D$304,$A89,I$270:I$304)</f>
        <v>127.13012996097777</v>
      </c>
      <c r="D89" s="304">
        <f>SUMIF(Capacity!$D$320:$D$357,Capacity!$A89,Capacity!H$320:H$357)</f>
        <v>127.13012996097777</v>
      </c>
    </row>
    <row r="90" spans="1:4" x14ac:dyDescent="0.35">
      <c r="A90" s="263" t="s">
        <v>771</v>
      </c>
      <c r="B90" t="s">
        <v>1604</v>
      </c>
      <c r="C90" s="263">
        <f t="shared" ref="C90:C113" si="3">SUMIF($C$270:$C$304,$A3,J$270:J$304)</f>
        <v>751.75450334479672</v>
      </c>
      <c r="D90" s="304">
        <f>SUMIF(Capacity!$C$320:$C$357,Capacity!$A3,Capacity!I$320:I$357)</f>
        <v>723.09</v>
      </c>
    </row>
    <row r="91" spans="1:4" x14ac:dyDescent="0.35">
      <c r="A91" s="263" t="s">
        <v>776</v>
      </c>
      <c r="B91" s="263" t="s">
        <v>1604</v>
      </c>
      <c r="C91" s="263">
        <f t="shared" si="3"/>
        <v>2044.4761591470074</v>
      </c>
      <c r="D91" s="304">
        <f>SUMIF(Capacity!$C$320:$C$357,Capacity!$A4,Capacity!I$320:I$357)</f>
        <v>1948.21</v>
      </c>
    </row>
    <row r="92" spans="1:4" x14ac:dyDescent="0.35">
      <c r="A92" s="263" t="s">
        <v>779</v>
      </c>
      <c r="B92" s="263" t="s">
        <v>1604</v>
      </c>
      <c r="C92" s="263">
        <f t="shared" si="3"/>
        <v>3025.8563206446829</v>
      </c>
      <c r="D92" s="304">
        <f>SUMIF(Capacity!$C$320:$C$357,Capacity!$A5,Capacity!I$320:I$357)</f>
        <v>2910.48</v>
      </c>
    </row>
    <row r="93" spans="1:4" x14ac:dyDescent="0.35">
      <c r="A93" s="263" t="s">
        <v>780</v>
      </c>
      <c r="B93" s="263" t="s">
        <v>1604</v>
      </c>
      <c r="C93" s="263">
        <f t="shared" si="3"/>
        <v>2413.9232270204488</v>
      </c>
      <c r="D93" s="304">
        <f>SUMIF(Capacity!$C$320:$C$357,Capacity!$A6,Capacity!I$320:I$357)</f>
        <v>2369.48</v>
      </c>
    </row>
    <row r="94" spans="1:4" x14ac:dyDescent="0.35">
      <c r="A94" s="304" t="s">
        <v>799</v>
      </c>
      <c r="B94" s="263" t="s">
        <v>1604</v>
      </c>
      <c r="C94" s="263">
        <f t="shared" si="3"/>
        <v>3960.1199211449912</v>
      </c>
      <c r="D94" s="304">
        <f>SUMIF(Capacity!$C$320:$C$357,Capacity!$A7,Capacity!I$320:I$357)</f>
        <v>3781.65</v>
      </c>
    </row>
    <row r="95" spans="1:4" x14ac:dyDescent="0.35">
      <c r="A95" s="263" t="s">
        <v>752</v>
      </c>
      <c r="B95" s="263" t="s">
        <v>1604</v>
      </c>
      <c r="C95" s="263">
        <f t="shared" si="3"/>
        <v>2016.0627519965651</v>
      </c>
      <c r="D95" s="304">
        <f>SUMIF(Capacity!$C$320:$C$357,Capacity!$A8,Capacity!I$320:I$357)</f>
        <v>1930.97</v>
      </c>
    </row>
    <row r="96" spans="1:4" x14ac:dyDescent="0.35">
      <c r="A96" s="263" t="s">
        <v>753</v>
      </c>
      <c r="B96" s="263" t="s">
        <v>1604</v>
      </c>
      <c r="C96" s="263">
        <f t="shared" si="3"/>
        <v>3502.168156940882</v>
      </c>
      <c r="D96" s="304">
        <f>SUMIF(Capacity!$C$320:$C$357,Capacity!$A9,Capacity!I$320:I$357)</f>
        <v>3421.03</v>
      </c>
    </row>
    <row r="97" spans="1:4" x14ac:dyDescent="0.35">
      <c r="A97" s="263" t="s">
        <v>807</v>
      </c>
      <c r="B97" s="263" t="s">
        <v>1604</v>
      </c>
      <c r="C97" s="263">
        <f t="shared" si="3"/>
        <v>1887.6670043536958</v>
      </c>
      <c r="D97" s="304">
        <f>SUMIF(Capacity!$C$320:$C$357,Capacity!$A10,Capacity!I$320:I$357)</f>
        <v>1815.69</v>
      </c>
    </row>
    <row r="98" spans="1:4" x14ac:dyDescent="0.35">
      <c r="A98" s="263" t="s">
        <v>773</v>
      </c>
      <c r="B98" s="263" t="s">
        <v>1604</v>
      </c>
      <c r="C98" s="263">
        <f t="shared" si="3"/>
        <v>0</v>
      </c>
      <c r="D98" s="304">
        <f>SUMIF(Capacity!$C$320:$C$357,Capacity!$A11,Capacity!I$320:I$357)</f>
        <v>0</v>
      </c>
    </row>
    <row r="99" spans="1:4" x14ac:dyDescent="0.35">
      <c r="A99" s="263" t="s">
        <v>751</v>
      </c>
      <c r="B99" s="263" t="s">
        <v>1604</v>
      </c>
      <c r="C99" s="263">
        <f t="shared" si="3"/>
        <v>772</v>
      </c>
      <c r="D99" s="304">
        <f>SUMIF(Capacity!$C$320:$C$357,Capacity!$A12,Capacity!I$320:I$357)</f>
        <v>772</v>
      </c>
    </row>
    <row r="100" spans="1:4" x14ac:dyDescent="0.35">
      <c r="A100" s="263" t="s">
        <v>754</v>
      </c>
      <c r="B100" s="263" t="s">
        <v>1604</v>
      </c>
      <c r="C100" s="263">
        <f t="shared" si="3"/>
        <v>3223.66</v>
      </c>
      <c r="D100" s="304">
        <f>SUMIF(Capacity!$C$320:$C$357,Capacity!$A13,Capacity!I$320:I$357)</f>
        <v>3223.66</v>
      </c>
    </row>
    <row r="101" spans="1:4" x14ac:dyDescent="0.35">
      <c r="A101" s="263" t="s">
        <v>768</v>
      </c>
      <c r="B101" s="263" t="s">
        <v>1604</v>
      </c>
      <c r="C101" s="263">
        <f t="shared" si="3"/>
        <v>220</v>
      </c>
      <c r="D101" s="304">
        <f>SUMIF(Capacity!$C$320:$C$357,Capacity!$A14,Capacity!I$320:I$357)</f>
        <v>120</v>
      </c>
    </row>
    <row r="102" spans="1:4" x14ac:dyDescent="0.35">
      <c r="A102" s="263" t="s">
        <v>749</v>
      </c>
      <c r="B102" s="263" t="s">
        <v>1604</v>
      </c>
      <c r="C102" s="263">
        <f t="shared" si="3"/>
        <v>3331.84</v>
      </c>
      <c r="D102" s="304">
        <f>SUMIF(Capacity!$C$320:$C$357,Capacity!$A15,Capacity!I$320:I$357)</f>
        <v>3331.84</v>
      </c>
    </row>
    <row r="103" spans="1:4" x14ac:dyDescent="0.35">
      <c r="A103" s="263" t="s">
        <v>259</v>
      </c>
      <c r="B103" s="263" t="s">
        <v>1604</v>
      </c>
      <c r="C103" s="263">
        <f t="shared" si="3"/>
        <v>1673.6</v>
      </c>
      <c r="D103" s="304">
        <f>SUMIF(Capacity!$C$320:$C$357,Capacity!$A16,Capacity!I$320:I$357)</f>
        <v>1673.6</v>
      </c>
    </row>
    <row r="104" spans="1:4" x14ac:dyDescent="0.35">
      <c r="A104" s="263" t="s">
        <v>181</v>
      </c>
      <c r="B104" s="263" t="s">
        <v>1604</v>
      </c>
      <c r="C104" s="263">
        <f t="shared" si="3"/>
        <v>2479.9299999999998</v>
      </c>
      <c r="D104" s="304">
        <f>SUMIF(Capacity!$C$320:$C$357,Capacity!$A17,Capacity!I$320:I$357)</f>
        <v>2449.9299999999998</v>
      </c>
    </row>
    <row r="105" spans="1:4" x14ac:dyDescent="0.35">
      <c r="A105" s="263" t="s">
        <v>784</v>
      </c>
      <c r="B105" s="263" t="s">
        <v>1604</v>
      </c>
      <c r="C105" s="263">
        <f t="shared" si="3"/>
        <v>3586.6</v>
      </c>
      <c r="D105" s="304">
        <f>SUMIF(Capacity!$C$320:$C$357,Capacity!$A18,Capacity!I$320:I$357)</f>
        <v>3599.8</v>
      </c>
    </row>
    <row r="106" spans="1:4" x14ac:dyDescent="0.35">
      <c r="A106" s="304" t="s">
        <v>787</v>
      </c>
      <c r="B106" s="263" t="s">
        <v>1604</v>
      </c>
      <c r="C106" s="263">
        <f t="shared" si="3"/>
        <v>1856.5</v>
      </c>
      <c r="D106" s="304">
        <f>SUMIF(Capacity!$C$320:$C$357,Capacity!$A19,Capacity!I$320:I$357)</f>
        <v>1881.5</v>
      </c>
    </row>
    <row r="107" spans="1:4" x14ac:dyDescent="0.35">
      <c r="A107" s="263" t="s">
        <v>788</v>
      </c>
      <c r="B107" s="263" t="s">
        <v>1604</v>
      </c>
      <c r="C107" s="263">
        <f t="shared" si="3"/>
        <v>2178.1999999999998</v>
      </c>
      <c r="D107" s="304">
        <f>SUMIF(Capacity!$C$320:$C$357,Capacity!$A20,Capacity!I$320:I$357)</f>
        <v>2203.1999999999998</v>
      </c>
    </row>
    <row r="108" spans="1:4" x14ac:dyDescent="0.35">
      <c r="A108" s="263" t="s">
        <v>260</v>
      </c>
      <c r="B108" s="263" t="s">
        <v>1604</v>
      </c>
      <c r="C108" s="263">
        <f t="shared" si="3"/>
        <v>111.92500905886615</v>
      </c>
      <c r="D108" s="304">
        <f>SUMIF(Capacity!$C$320:$C$357,Capacity!$A21,Capacity!I$320:I$357)</f>
        <v>110</v>
      </c>
    </row>
    <row r="109" spans="1:4" x14ac:dyDescent="0.35">
      <c r="A109" s="263" t="s">
        <v>782</v>
      </c>
      <c r="B109" s="263" t="s">
        <v>1604</v>
      </c>
      <c r="C109" s="263">
        <f t="shared" si="3"/>
        <v>194.3425157294858</v>
      </c>
      <c r="D109" s="304">
        <f>SUMIF(Capacity!$C$320:$C$357,Capacity!$A22,Capacity!I$320:I$357)</f>
        <v>191</v>
      </c>
    </row>
    <row r="110" spans="1:4" x14ac:dyDescent="0.35">
      <c r="A110" s="263" t="s">
        <v>797</v>
      </c>
      <c r="B110" s="263" t="s">
        <v>1604</v>
      </c>
      <c r="C110" s="263">
        <f t="shared" si="3"/>
        <v>1609.8886302994367</v>
      </c>
      <c r="D110" s="304">
        <f>SUMIF(Capacity!$C$320:$C$357,Capacity!$A23,Capacity!I$320:I$357)</f>
        <v>1582.2</v>
      </c>
    </row>
    <row r="111" spans="1:4" x14ac:dyDescent="0.35">
      <c r="A111" s="263" t="s">
        <v>796</v>
      </c>
      <c r="B111" s="263" t="s">
        <v>1604</v>
      </c>
      <c r="C111" s="263">
        <f t="shared" si="3"/>
        <v>2188.5612771354217</v>
      </c>
      <c r="D111" s="304">
        <f>SUMIF(Capacity!$C$320:$C$357,Capacity!$A24,Capacity!I$320:I$357)</f>
        <v>2150.92</v>
      </c>
    </row>
    <row r="112" spans="1:4" x14ac:dyDescent="0.35">
      <c r="A112" s="263" t="s">
        <v>764</v>
      </c>
      <c r="B112" s="263" t="s">
        <v>1604</v>
      </c>
      <c r="C112" s="263">
        <f t="shared" si="3"/>
        <v>506.80121212121219</v>
      </c>
      <c r="D112" s="304">
        <f>SUMIF(Capacity!$C$320:$C$357,Capacity!$A25,Capacity!I$320:I$357)</f>
        <v>431.23</v>
      </c>
    </row>
    <row r="113" spans="1:4" x14ac:dyDescent="0.35">
      <c r="A113" s="263" t="s">
        <v>1053</v>
      </c>
      <c r="B113" s="263" t="s">
        <v>1604</v>
      </c>
      <c r="C113" s="263">
        <f t="shared" si="3"/>
        <v>1757.6013556555772</v>
      </c>
      <c r="D113" s="304">
        <f>SUMIF(Capacity!$C$320:$C$357,Capacity!$A26,Capacity!I$320:I$357)</f>
        <v>1606.5100000000002</v>
      </c>
    </row>
    <row r="114" spans="1:4" s="304" customFormat="1" x14ac:dyDescent="0.35">
      <c r="A114" s="304" t="s">
        <v>1400</v>
      </c>
      <c r="B114" s="304" t="s">
        <v>1604</v>
      </c>
      <c r="C114" s="304">
        <f>SUMIF($C$270:$C$304,$A114,J$270:J$304)</f>
        <v>105.74195540693312</v>
      </c>
      <c r="D114" s="304">
        <f>SUMIF(Capacity!$C$320:$C$357,Capacity!$A114,Capacity!I$320:I$357)</f>
        <v>101.71</v>
      </c>
    </row>
    <row r="115" spans="1:4" s="304" customFormat="1" x14ac:dyDescent="0.35">
      <c r="A115" s="304" t="s">
        <v>1398</v>
      </c>
      <c r="B115" s="304" t="s">
        <v>1604</v>
      </c>
      <c r="C115" s="304">
        <f>SUMIF($C$270:$C$304,$A115,J$270:J$304)</f>
        <v>0</v>
      </c>
      <c r="D115" s="304">
        <f>SUMIF(Capacity!$C$320:$C$357,Capacity!$A115,Capacity!I$320:I$357)</f>
        <v>0</v>
      </c>
    </row>
    <row r="116" spans="1:4" s="304" customFormat="1" x14ac:dyDescent="0.35">
      <c r="A116" s="304" t="s">
        <v>1401</v>
      </c>
      <c r="B116" s="304" t="s">
        <v>1604</v>
      </c>
      <c r="C116" s="304">
        <f>SUMIF($C$270:$C$304,$A116,J$270:J$304)</f>
        <v>0</v>
      </c>
      <c r="D116" s="304">
        <f>SUMIF(Capacity!$C$320:$C$357,Capacity!$A116,Capacity!I$320:I$357)</f>
        <v>0</v>
      </c>
    </row>
    <row r="117" spans="1:4" s="304" customFormat="1" x14ac:dyDescent="0.35">
      <c r="A117" s="304" t="s">
        <v>1397</v>
      </c>
      <c r="B117" s="304" t="s">
        <v>1604</v>
      </c>
      <c r="C117" s="304">
        <f>SUMIF($C$270:$C$304,$A117,J$270:J$304)</f>
        <v>0</v>
      </c>
      <c r="D117" s="304">
        <f>SUMIF(Capacity!$C$320:$C$357,Capacity!$A117,Capacity!I$320:I$357)</f>
        <v>0</v>
      </c>
    </row>
    <row r="118" spans="1:4" x14ac:dyDescent="0.35">
      <c r="A118" s="263" t="s">
        <v>809</v>
      </c>
      <c r="B118" s="263" t="s">
        <v>1604</v>
      </c>
      <c r="C118" s="304">
        <f>SUMIF($D$270:$D$304,$A118,J$270:J$304)</f>
        <v>105.74195540693312</v>
      </c>
      <c r="D118" s="304">
        <f>SUMIF(Capacity!$D$320:$D$357,Capacity!$A118,Capacity!I$320:I$357)</f>
        <v>101.71</v>
      </c>
    </row>
    <row r="119" spans="1:4" x14ac:dyDescent="0.35">
      <c r="A119" s="263" t="s">
        <v>771</v>
      </c>
      <c r="B119" t="s">
        <v>1606</v>
      </c>
      <c r="C119" s="263">
        <f t="shared" ref="C119:C142" si="4">SUMIF($C$270:$C$304,$A3,K$270:K$304)</f>
        <v>0</v>
      </c>
      <c r="D119" s="304">
        <f>SUMIF(Capacity!$C$320:$C$357,Capacity!$A3,Capacity!J$320:J$357)</f>
        <v>0</v>
      </c>
    </row>
    <row r="120" spans="1:4" x14ac:dyDescent="0.35">
      <c r="A120" s="263" t="s">
        <v>776</v>
      </c>
      <c r="B120" s="263" t="s">
        <v>1606</v>
      </c>
      <c r="C120" s="263">
        <f t="shared" si="4"/>
        <v>0</v>
      </c>
      <c r="D120" s="304">
        <f>SUMIF(Capacity!$C$320:$C$357,Capacity!$A4,Capacity!J$320:J$357)</f>
        <v>0</v>
      </c>
    </row>
    <row r="121" spans="1:4" x14ac:dyDescent="0.35">
      <c r="A121" s="263" t="s">
        <v>779</v>
      </c>
      <c r="B121" s="263" t="s">
        <v>1606</v>
      </c>
      <c r="C121" s="263">
        <f t="shared" si="4"/>
        <v>0</v>
      </c>
      <c r="D121" s="304">
        <f>SUMIF(Capacity!$C$320:$C$357,Capacity!$A5,Capacity!J$320:J$357)</f>
        <v>0</v>
      </c>
    </row>
    <row r="122" spans="1:4" x14ac:dyDescent="0.35">
      <c r="A122" s="263" t="s">
        <v>780</v>
      </c>
      <c r="B122" s="263" t="s">
        <v>1606</v>
      </c>
      <c r="C122" s="263">
        <f t="shared" si="4"/>
        <v>0</v>
      </c>
      <c r="D122" s="304">
        <f>SUMIF(Capacity!$C$320:$C$357,Capacity!$A6,Capacity!J$320:J$357)</f>
        <v>0</v>
      </c>
    </row>
    <row r="123" spans="1:4" x14ac:dyDescent="0.35">
      <c r="A123" s="304" t="s">
        <v>799</v>
      </c>
      <c r="B123" s="263" t="s">
        <v>1606</v>
      </c>
      <c r="C123" s="263">
        <f t="shared" si="4"/>
        <v>0</v>
      </c>
      <c r="D123" s="304">
        <f>SUMIF(Capacity!$C$320:$C$357,Capacity!$A7,Capacity!J$320:J$357)</f>
        <v>0</v>
      </c>
    </row>
    <row r="124" spans="1:4" x14ac:dyDescent="0.35">
      <c r="A124" s="263" t="s">
        <v>752</v>
      </c>
      <c r="B124" s="263" t="s">
        <v>1606</v>
      </c>
      <c r="C124" s="263">
        <f t="shared" si="4"/>
        <v>4299.72</v>
      </c>
      <c r="D124" s="304">
        <f>SUMIF(Capacity!$C$320:$C$357,Capacity!$A8,Capacity!J$320:J$357)</f>
        <v>4293.72</v>
      </c>
    </row>
    <row r="125" spans="1:4" x14ac:dyDescent="0.35">
      <c r="A125" s="263" t="s">
        <v>753</v>
      </c>
      <c r="B125" s="263" t="s">
        <v>1606</v>
      </c>
      <c r="C125" s="263">
        <f t="shared" si="4"/>
        <v>0</v>
      </c>
      <c r="D125" s="304">
        <f>SUMIF(Capacity!$C$320:$C$357,Capacity!$A9,Capacity!J$320:J$357)</f>
        <v>0</v>
      </c>
    </row>
    <row r="126" spans="1:4" x14ac:dyDescent="0.35">
      <c r="A126" s="263" t="s">
        <v>807</v>
      </c>
      <c r="B126" s="263" t="s">
        <v>1606</v>
      </c>
      <c r="C126" s="263">
        <f t="shared" si="4"/>
        <v>0</v>
      </c>
      <c r="D126" s="304">
        <f>SUMIF(Capacity!$C$320:$C$357,Capacity!$A10,Capacity!J$320:J$357)</f>
        <v>0</v>
      </c>
    </row>
    <row r="127" spans="1:4" x14ac:dyDescent="0.35">
      <c r="A127" s="263" t="s">
        <v>773</v>
      </c>
      <c r="B127" s="263" t="s">
        <v>1606</v>
      </c>
      <c r="C127" s="263">
        <f t="shared" si="4"/>
        <v>0</v>
      </c>
      <c r="D127" s="304">
        <f>SUMIF(Capacity!$C$320:$C$357,Capacity!$A11,Capacity!J$320:J$357)</f>
        <v>0</v>
      </c>
    </row>
    <row r="128" spans="1:4" x14ac:dyDescent="0.35">
      <c r="A128" s="263" t="s">
        <v>751</v>
      </c>
      <c r="B128" s="263" t="s">
        <v>1606</v>
      </c>
      <c r="C128" s="263">
        <f t="shared" si="4"/>
        <v>6073.07</v>
      </c>
      <c r="D128" s="304">
        <f>SUMIF(Capacity!$C$320:$C$357,Capacity!$A12,Capacity!J$320:J$357)</f>
        <v>5681.9866666666667</v>
      </c>
    </row>
    <row r="129" spans="1:4" x14ac:dyDescent="0.35">
      <c r="A129" s="263" t="s">
        <v>754</v>
      </c>
      <c r="B129" s="263" t="s">
        <v>1606</v>
      </c>
      <c r="C129" s="263">
        <f t="shared" si="4"/>
        <v>2519.89</v>
      </c>
      <c r="D129" s="304">
        <f>SUMIF(Capacity!$C$320:$C$357,Capacity!$A13,Capacity!J$320:J$357)</f>
        <v>2512.5233333333331</v>
      </c>
    </row>
    <row r="130" spans="1:4" x14ac:dyDescent="0.35">
      <c r="A130" s="263" t="s">
        <v>768</v>
      </c>
      <c r="B130" s="263" t="s">
        <v>1606</v>
      </c>
      <c r="C130" s="263">
        <f t="shared" si="4"/>
        <v>0</v>
      </c>
      <c r="D130" s="304">
        <f>SUMIF(Capacity!$C$320:$C$357,Capacity!$A14,Capacity!J$320:J$357)</f>
        <v>0</v>
      </c>
    </row>
    <row r="131" spans="1:4" x14ac:dyDescent="0.35">
      <c r="A131" s="263" t="s">
        <v>749</v>
      </c>
      <c r="B131" s="263" t="s">
        <v>1606</v>
      </c>
      <c r="C131" s="263">
        <f t="shared" si="4"/>
        <v>4794.13</v>
      </c>
      <c r="D131" s="304">
        <f>SUMIF(Capacity!$C$320:$C$357,Capacity!$A15,Capacity!J$320:J$357)</f>
        <v>4782.53</v>
      </c>
    </row>
    <row r="132" spans="1:4" x14ac:dyDescent="0.35">
      <c r="A132" s="263" t="s">
        <v>259</v>
      </c>
      <c r="B132" s="263" t="s">
        <v>1606</v>
      </c>
      <c r="C132" s="263">
        <f t="shared" si="4"/>
        <v>4090.45</v>
      </c>
      <c r="D132" s="304">
        <f>SUMIF(Capacity!$C$320:$C$357,Capacity!$A16,Capacity!J$320:J$357)</f>
        <v>3922.5166666666664</v>
      </c>
    </row>
    <row r="133" spans="1:4" x14ac:dyDescent="0.35">
      <c r="A133" s="263" t="s">
        <v>181</v>
      </c>
      <c r="B133" s="263" t="s">
        <v>1606</v>
      </c>
      <c r="C133" s="263">
        <f t="shared" si="4"/>
        <v>128.1</v>
      </c>
      <c r="D133" s="304">
        <f>SUMIF(Capacity!$C$320:$C$357,Capacity!$A17,Capacity!J$320:J$357)</f>
        <v>119</v>
      </c>
    </row>
    <row r="134" spans="1:4" x14ac:dyDescent="0.35">
      <c r="A134" s="263" t="s">
        <v>784</v>
      </c>
      <c r="B134" s="263" t="s">
        <v>1606</v>
      </c>
      <c r="C134" s="263">
        <f t="shared" si="4"/>
        <v>4694.8999999999996</v>
      </c>
      <c r="D134" s="304">
        <f>SUMIF(Capacity!$C$320:$C$357,Capacity!$A18,Capacity!J$320:J$357)</f>
        <v>4365.333333333333</v>
      </c>
    </row>
    <row r="135" spans="1:4" x14ac:dyDescent="0.35">
      <c r="A135" s="304" t="s">
        <v>787</v>
      </c>
      <c r="B135" s="263" t="s">
        <v>1606</v>
      </c>
      <c r="C135" s="263">
        <f t="shared" si="4"/>
        <v>52.5</v>
      </c>
      <c r="D135" s="304">
        <f>SUMIF(Capacity!$C$320:$C$357,Capacity!$A19,Capacity!J$320:J$357)</f>
        <v>52.166666666666664</v>
      </c>
    </row>
    <row r="136" spans="1:4" x14ac:dyDescent="0.35">
      <c r="A136" s="263" t="s">
        <v>788</v>
      </c>
      <c r="B136" s="263" t="s">
        <v>1606</v>
      </c>
      <c r="C136" s="263">
        <f t="shared" si="4"/>
        <v>8968.9050000000007</v>
      </c>
      <c r="D136" s="304">
        <f>SUMIF(Capacity!$C$320:$C$357,Capacity!$A20,Capacity!J$320:J$357)</f>
        <v>8350.08</v>
      </c>
    </row>
    <row r="137" spans="1:4" x14ac:dyDescent="0.35">
      <c r="A137" s="263" t="s">
        <v>260</v>
      </c>
      <c r="B137" s="263" t="s">
        <v>1606</v>
      </c>
      <c r="C137" s="263">
        <f t="shared" si="4"/>
        <v>0</v>
      </c>
      <c r="D137" s="304">
        <f>SUMIF(Capacity!$C$320:$C$357,Capacity!$A21,Capacity!J$320:J$357)</f>
        <v>0</v>
      </c>
    </row>
    <row r="138" spans="1:4" x14ac:dyDescent="0.35">
      <c r="A138" s="263" t="s">
        <v>782</v>
      </c>
      <c r="B138" s="263" t="s">
        <v>1606</v>
      </c>
      <c r="C138" s="263">
        <f t="shared" si="4"/>
        <v>0</v>
      </c>
      <c r="D138" s="304">
        <f>SUMIF(Capacity!$C$320:$C$357,Capacity!$A22,Capacity!J$320:J$357)</f>
        <v>0</v>
      </c>
    </row>
    <row r="139" spans="1:4" x14ac:dyDescent="0.35">
      <c r="A139" s="263" t="s">
        <v>797</v>
      </c>
      <c r="B139" s="263" t="s">
        <v>1606</v>
      </c>
      <c r="C139" s="263">
        <f t="shared" si="4"/>
        <v>0</v>
      </c>
      <c r="D139" s="304">
        <f>SUMIF(Capacity!$C$320:$C$357,Capacity!$A23,Capacity!J$320:J$357)</f>
        <v>0</v>
      </c>
    </row>
    <row r="140" spans="1:4" x14ac:dyDescent="0.35">
      <c r="A140" s="263" t="s">
        <v>796</v>
      </c>
      <c r="B140" s="263" t="s">
        <v>1606</v>
      </c>
      <c r="C140" s="263">
        <f t="shared" si="4"/>
        <v>0</v>
      </c>
      <c r="D140" s="304">
        <f>SUMIF(Capacity!$C$320:$C$357,Capacity!$A24,Capacity!J$320:J$357)</f>
        <v>0</v>
      </c>
    </row>
    <row r="141" spans="1:4" x14ac:dyDescent="0.35">
      <c r="A141" s="263" t="s">
        <v>764</v>
      </c>
      <c r="B141" s="263" t="s">
        <v>1606</v>
      </c>
      <c r="C141" s="263">
        <f t="shared" si="4"/>
        <v>0</v>
      </c>
      <c r="D141" s="304">
        <f>SUMIF(Capacity!$C$320:$C$357,Capacity!$A25,Capacity!J$320:J$357)</f>
        <v>0</v>
      </c>
    </row>
    <row r="142" spans="1:4" x14ac:dyDescent="0.35">
      <c r="A142" s="263" t="s">
        <v>1053</v>
      </c>
      <c r="B142" s="263" t="s">
        <v>1606</v>
      </c>
      <c r="C142" s="263">
        <f t="shared" si="4"/>
        <v>0</v>
      </c>
      <c r="D142" s="304">
        <f>SUMIF(Capacity!$C$320:$C$357,Capacity!$A26,Capacity!J$320:J$357)</f>
        <v>0</v>
      </c>
    </row>
    <row r="143" spans="1:4" s="304" customFormat="1" x14ac:dyDescent="0.35">
      <c r="A143" s="304" t="s">
        <v>1400</v>
      </c>
      <c r="B143" s="304" t="s">
        <v>1606</v>
      </c>
      <c r="C143" s="304">
        <f>SUMIF($C$270:$C$304,$A143,K$270:K$304)</f>
        <v>0</v>
      </c>
      <c r="D143" s="304">
        <f>SUMIF(Capacity!$C$320:$C$357,Capacity!$A143,Capacity!J$320:J$357)</f>
        <v>0</v>
      </c>
    </row>
    <row r="144" spans="1:4" s="304" customFormat="1" x14ac:dyDescent="0.35">
      <c r="A144" s="304" t="s">
        <v>1398</v>
      </c>
      <c r="B144" s="304" t="s">
        <v>1606</v>
      </c>
      <c r="C144" s="304">
        <f>SUMIF($C$270:$C$304,$A144,K$270:K$304)</f>
        <v>0</v>
      </c>
      <c r="D144" s="304">
        <f>SUMIF(Capacity!$C$320:$C$357,Capacity!$A144,Capacity!J$320:J$357)</f>
        <v>0</v>
      </c>
    </row>
    <row r="145" spans="1:4" s="304" customFormat="1" x14ac:dyDescent="0.35">
      <c r="A145" s="304" t="s">
        <v>1401</v>
      </c>
      <c r="B145" s="304" t="s">
        <v>1606</v>
      </c>
      <c r="C145" s="304">
        <f>SUMIF($C$270:$C$304,$A145,K$270:K$304)</f>
        <v>0</v>
      </c>
      <c r="D145" s="304">
        <f>SUMIF(Capacity!$C$320:$C$357,Capacity!$A145,Capacity!J$320:J$357)</f>
        <v>0</v>
      </c>
    </row>
    <row r="146" spans="1:4" s="304" customFormat="1" x14ac:dyDescent="0.35">
      <c r="A146" s="304" t="s">
        <v>1397</v>
      </c>
      <c r="B146" s="304" t="s">
        <v>1606</v>
      </c>
      <c r="C146" s="304">
        <f>SUMIF($C$270:$C$304,$A146,K$270:K$304)</f>
        <v>0</v>
      </c>
      <c r="D146" s="304">
        <f>SUMIF(Capacity!$C$320:$C$357,Capacity!$A146,Capacity!J$320:J$357)</f>
        <v>0</v>
      </c>
    </row>
    <row r="147" spans="1:4" x14ac:dyDescent="0.35">
      <c r="A147" s="263" t="s">
        <v>809</v>
      </c>
      <c r="B147" s="263" t="s">
        <v>1606</v>
      </c>
      <c r="C147" s="304">
        <f>SUMIF($D$270:$D$304,$A147,K$270:K$304)</f>
        <v>0</v>
      </c>
      <c r="D147" s="304">
        <f>SUMIF(Capacity!$D$320:$D$357,Capacity!$A147,Capacity!J$320:J$357)</f>
        <v>0</v>
      </c>
    </row>
    <row r="148" spans="1:4" x14ac:dyDescent="0.35">
      <c r="A148" s="263" t="s">
        <v>771</v>
      </c>
      <c r="B148" t="s">
        <v>1636</v>
      </c>
      <c r="C148" s="263">
        <f t="shared" ref="C148:C171" si="5">SUMIF($C$270:$C$304,$A3,L$270:L$304)</f>
        <v>126.89000000000001</v>
      </c>
      <c r="D148" s="304">
        <f>SUMIF(Capacity!$C$320:$C$357,Capacity!$A3,Capacity!K$320:K$357)</f>
        <v>84.463333333333338</v>
      </c>
    </row>
    <row r="149" spans="1:4" x14ac:dyDescent="0.35">
      <c r="A149" s="263" t="s">
        <v>776</v>
      </c>
      <c r="B149" s="263" t="s">
        <v>1636</v>
      </c>
      <c r="C149" s="263">
        <f t="shared" si="5"/>
        <v>224.52</v>
      </c>
      <c r="D149" s="304">
        <f>SUMIF(Capacity!$C$320:$C$357,Capacity!$A4,Capacity!K$320:K$357)</f>
        <v>171.70000000000002</v>
      </c>
    </row>
    <row r="150" spans="1:4" x14ac:dyDescent="0.35">
      <c r="A150" s="263" t="s">
        <v>779</v>
      </c>
      <c r="B150" s="263" t="s">
        <v>1636</v>
      </c>
      <c r="C150" s="263">
        <f t="shared" si="5"/>
        <v>22.68</v>
      </c>
      <c r="D150" s="304">
        <f>SUMIF(Capacity!$C$320:$C$357,Capacity!$A5,Capacity!K$320:K$357)</f>
        <v>2.4833333333333329</v>
      </c>
    </row>
    <row r="151" spans="1:4" x14ac:dyDescent="0.35">
      <c r="A151" s="263" t="s">
        <v>780</v>
      </c>
      <c r="B151" s="263" t="s">
        <v>1636</v>
      </c>
      <c r="C151" s="263">
        <f t="shared" si="5"/>
        <v>14.83</v>
      </c>
      <c r="D151" s="304">
        <f>SUMIF(Capacity!$C$320:$C$357,Capacity!$A6,Capacity!K$320:K$357)</f>
        <v>7.02</v>
      </c>
    </row>
    <row r="152" spans="1:4" x14ac:dyDescent="0.35">
      <c r="A152" s="304" t="s">
        <v>799</v>
      </c>
      <c r="B152" s="263" t="s">
        <v>1636</v>
      </c>
      <c r="C152" s="263">
        <f t="shared" si="5"/>
        <v>905.62</v>
      </c>
      <c r="D152" s="304">
        <f>SUMIF(Capacity!$C$320:$C$357,Capacity!$A7,Capacity!K$320:K$357)</f>
        <v>868.39666666666665</v>
      </c>
    </row>
    <row r="153" spans="1:4" x14ac:dyDescent="0.35">
      <c r="A153" s="263" t="s">
        <v>752</v>
      </c>
      <c r="B153" s="263" t="s">
        <v>1636</v>
      </c>
      <c r="C153" s="263">
        <f t="shared" si="5"/>
        <v>3166.79</v>
      </c>
      <c r="D153" s="304">
        <f>SUMIF(Capacity!$C$320:$C$357,Capacity!$A8,Capacity!K$320:K$357)</f>
        <v>2597.6366666666668</v>
      </c>
    </row>
    <row r="154" spans="1:4" x14ac:dyDescent="0.35">
      <c r="A154" s="263" t="s">
        <v>753</v>
      </c>
      <c r="B154" s="263" t="s">
        <v>1636</v>
      </c>
      <c r="C154" s="263">
        <f t="shared" si="5"/>
        <v>960.1</v>
      </c>
      <c r="D154" s="304">
        <f>SUMIF(Capacity!$C$320:$C$357,Capacity!$A9,Capacity!K$320:K$357)</f>
        <v>649.01</v>
      </c>
    </row>
    <row r="155" spans="1:4" x14ac:dyDescent="0.35">
      <c r="A155" s="263" t="s">
        <v>807</v>
      </c>
      <c r="B155" s="263" t="s">
        <v>1636</v>
      </c>
      <c r="C155" s="263">
        <f t="shared" si="5"/>
        <v>306.75</v>
      </c>
      <c r="D155" s="304">
        <f>SUMIF(Capacity!$C$320:$C$357,Capacity!$A10,Capacity!K$320:K$357)</f>
        <v>279.82333333333332</v>
      </c>
    </row>
    <row r="156" spans="1:4" x14ac:dyDescent="0.35">
      <c r="A156" s="263" t="s">
        <v>773</v>
      </c>
      <c r="B156" s="263" t="s">
        <v>1636</v>
      </c>
      <c r="C156" s="263">
        <f t="shared" si="5"/>
        <v>3.92</v>
      </c>
      <c r="D156" s="304">
        <f>SUMIF(Capacity!$C$320:$C$357,Capacity!$A11,Capacity!K$320:K$357)</f>
        <v>0.84333333333333327</v>
      </c>
    </row>
    <row r="157" spans="1:4" x14ac:dyDescent="0.35">
      <c r="A157" s="263" t="s">
        <v>751</v>
      </c>
      <c r="B157" s="263" t="s">
        <v>1636</v>
      </c>
      <c r="C157" s="263">
        <f t="shared" si="5"/>
        <v>2440.13</v>
      </c>
      <c r="D157" s="304">
        <f>SUMIF(Capacity!$C$320:$C$357,Capacity!$A12,Capacity!K$320:K$357)</f>
        <v>1514.823333333333</v>
      </c>
    </row>
    <row r="158" spans="1:4" x14ac:dyDescent="0.35">
      <c r="A158" s="263" t="s">
        <v>754</v>
      </c>
      <c r="B158" s="263" t="s">
        <v>1636</v>
      </c>
      <c r="C158" s="263">
        <f t="shared" si="5"/>
        <v>1840.16</v>
      </c>
      <c r="D158" s="304">
        <f>SUMIF(Capacity!$C$320:$C$357,Capacity!$A13,Capacity!K$320:K$357)</f>
        <v>1306.8866666666665</v>
      </c>
    </row>
    <row r="159" spans="1:4" x14ac:dyDescent="0.35">
      <c r="A159" s="263" t="s">
        <v>768</v>
      </c>
      <c r="B159" s="263" t="s">
        <v>1636</v>
      </c>
      <c r="C159" s="263">
        <f t="shared" si="5"/>
        <v>231.35000000000002</v>
      </c>
      <c r="D159" s="304">
        <f>SUMIF(Capacity!$C$320:$C$357,Capacity!$A14,Capacity!K$320:K$357)</f>
        <v>197.1866666666667</v>
      </c>
    </row>
    <row r="160" spans="1:4" x14ac:dyDescent="0.35">
      <c r="A160" s="263" t="s">
        <v>749</v>
      </c>
      <c r="B160" s="263" t="s">
        <v>1636</v>
      </c>
      <c r="C160" s="263">
        <f t="shared" si="5"/>
        <v>1633.54</v>
      </c>
      <c r="D160" s="304">
        <f>SUMIF(Capacity!$C$320:$C$357,Capacity!$A15,Capacity!K$320:K$357)</f>
        <v>1096.9099999999999</v>
      </c>
    </row>
    <row r="161" spans="1:4" x14ac:dyDescent="0.35">
      <c r="A161" s="263" t="s">
        <v>259</v>
      </c>
      <c r="B161" s="263" t="s">
        <v>1636</v>
      </c>
      <c r="C161" s="263">
        <f t="shared" si="5"/>
        <v>3085.6800000000003</v>
      </c>
      <c r="D161" s="304">
        <f>SUMIF(Capacity!$C$320:$C$357,Capacity!$A16,Capacity!K$320:K$357)</f>
        <v>2383.5833333333335</v>
      </c>
    </row>
    <row r="162" spans="1:4" x14ac:dyDescent="0.35">
      <c r="A162" s="263" t="s">
        <v>181</v>
      </c>
      <c r="B162" s="263" t="s">
        <v>1636</v>
      </c>
      <c r="C162" s="263">
        <f t="shared" si="5"/>
        <v>3592.09</v>
      </c>
      <c r="D162" s="304">
        <f>SUMIF(Capacity!$C$320:$C$357,Capacity!$A17,Capacity!K$320:K$357)</f>
        <v>2699.08</v>
      </c>
    </row>
    <row r="163" spans="1:4" x14ac:dyDescent="0.35">
      <c r="A163" s="263" t="s">
        <v>784</v>
      </c>
      <c r="B163" s="263" t="s">
        <v>1636</v>
      </c>
      <c r="C163" s="263">
        <f t="shared" si="5"/>
        <v>6095.56</v>
      </c>
      <c r="D163" s="304">
        <f>SUMIF(Capacity!$C$320:$C$357,Capacity!$A18,Capacity!K$320:K$357)</f>
        <v>3829.5466666666666</v>
      </c>
    </row>
    <row r="164" spans="1:4" x14ac:dyDescent="0.35">
      <c r="A164" s="304" t="s">
        <v>787</v>
      </c>
      <c r="B164" s="263" t="s">
        <v>1636</v>
      </c>
      <c r="C164" s="263">
        <f t="shared" si="5"/>
        <v>138.59</v>
      </c>
      <c r="D164" s="304">
        <f>SUMIF(Capacity!$C$320:$C$357,Capacity!$A19,Capacity!K$320:K$357)</f>
        <v>117.06</v>
      </c>
    </row>
    <row r="165" spans="1:4" x14ac:dyDescent="0.35">
      <c r="A165" s="263" t="s">
        <v>788</v>
      </c>
      <c r="B165" s="263" t="s">
        <v>1636</v>
      </c>
      <c r="C165" s="263">
        <f t="shared" si="5"/>
        <v>2575.2199999999998</v>
      </c>
      <c r="D165" s="304">
        <f>SUMIF(Capacity!$C$320:$C$357,Capacity!$A20,Capacity!K$320:K$357)</f>
        <v>2044.5766666666666</v>
      </c>
    </row>
    <row r="166" spans="1:4" x14ac:dyDescent="0.35">
      <c r="A166" s="263" t="s">
        <v>260</v>
      </c>
      <c r="B166" s="263" t="s">
        <v>1636</v>
      </c>
      <c r="C166" s="263">
        <f t="shared" si="5"/>
        <v>142.45000000000002</v>
      </c>
      <c r="D166" s="304">
        <f>SUMIF(Capacity!$C$320:$C$357,Capacity!$A21,Capacity!K$320:K$357)</f>
        <v>131.14000000000001</v>
      </c>
    </row>
    <row r="167" spans="1:4" x14ac:dyDescent="0.35">
      <c r="A167" s="263" t="s">
        <v>782</v>
      </c>
      <c r="B167" s="263" t="s">
        <v>1636</v>
      </c>
      <c r="C167" s="263">
        <f t="shared" si="5"/>
        <v>34.950000000000003</v>
      </c>
      <c r="D167" s="304">
        <f>SUMIF(Capacity!$C$320:$C$357,Capacity!$A22,Capacity!K$320:K$357)</f>
        <v>29.136666666666667</v>
      </c>
    </row>
    <row r="168" spans="1:4" x14ac:dyDescent="0.35">
      <c r="A168" s="263" t="s">
        <v>797</v>
      </c>
      <c r="B168" s="263" t="s">
        <v>1636</v>
      </c>
      <c r="C168" s="263">
        <f t="shared" si="5"/>
        <v>75.95</v>
      </c>
      <c r="D168" s="304">
        <f>SUMIF(Capacity!$C$320:$C$357,Capacity!$A23,Capacity!K$320:K$357)</f>
        <v>34.026666666666664</v>
      </c>
    </row>
    <row r="169" spans="1:4" x14ac:dyDescent="0.35">
      <c r="A169" s="263" t="s">
        <v>796</v>
      </c>
      <c r="B169" s="263" t="s">
        <v>1636</v>
      </c>
      <c r="C169" s="263">
        <f t="shared" si="5"/>
        <v>394.73</v>
      </c>
      <c r="D169" s="304">
        <f>SUMIF(Capacity!$C$320:$C$357,Capacity!$A24,Capacity!K$320:K$357)</f>
        <v>104.97333333333334</v>
      </c>
    </row>
    <row r="170" spans="1:4" x14ac:dyDescent="0.35">
      <c r="A170" s="263" t="s">
        <v>764</v>
      </c>
      <c r="B170" s="263" t="s">
        <v>1636</v>
      </c>
      <c r="C170" s="263">
        <f t="shared" si="5"/>
        <v>22.4</v>
      </c>
      <c r="D170" s="304">
        <f>SUMIF(Capacity!$C$320:$C$357,Capacity!$A25,Capacity!K$320:K$357)</f>
        <v>12.393333333333333</v>
      </c>
    </row>
    <row r="171" spans="1:4" x14ac:dyDescent="0.35">
      <c r="A171" s="263" t="s">
        <v>1053</v>
      </c>
      <c r="B171" s="263" t="s">
        <v>1636</v>
      </c>
      <c r="C171" s="263">
        <f t="shared" si="5"/>
        <v>15.549999999999999</v>
      </c>
      <c r="D171" s="304">
        <f>SUMIF(Capacity!$C$320:$C$357,Capacity!$A26,Capacity!K$320:K$357)</f>
        <v>11.278333333333334</v>
      </c>
    </row>
    <row r="172" spans="1:4" s="304" customFormat="1" x14ac:dyDescent="0.35">
      <c r="A172" s="304" t="s">
        <v>1400</v>
      </c>
      <c r="B172" s="304" t="s">
        <v>1636</v>
      </c>
      <c r="C172" s="304">
        <f>SUMIF($C$270:$C$304,$A172,L$270:L$304)</f>
        <v>34.71</v>
      </c>
      <c r="D172" s="304">
        <f>SUMIF(Capacity!$C$320:$C$357,Capacity!$A172,Capacity!K$320:K$357)</f>
        <v>26.006666666666671</v>
      </c>
    </row>
    <row r="173" spans="1:4" s="304" customFormat="1" x14ac:dyDescent="0.35">
      <c r="A173" s="304" t="s">
        <v>1398</v>
      </c>
      <c r="B173" s="304" t="s">
        <v>1636</v>
      </c>
      <c r="C173" s="304">
        <f>SUMIF($C$270:$C$304,$A173,L$270:L$304)</f>
        <v>14.47</v>
      </c>
      <c r="D173" s="304">
        <f>SUMIF(Capacity!$C$320:$C$357,Capacity!$A173,Capacity!K$320:K$357)</f>
        <v>12.160000000000002</v>
      </c>
    </row>
    <row r="174" spans="1:4" s="304" customFormat="1" x14ac:dyDescent="0.35">
      <c r="A174" s="304" t="s">
        <v>1401</v>
      </c>
      <c r="B174" s="304" t="s">
        <v>1636</v>
      </c>
      <c r="C174" s="304">
        <f>SUMIF($C$270:$C$304,$A174,L$270:L$304)</f>
        <v>5.4600000000000009</v>
      </c>
      <c r="D174" s="304">
        <f>SUMIF(Capacity!$C$320:$C$357,Capacity!$A174,Capacity!K$320:K$357)</f>
        <v>0</v>
      </c>
    </row>
    <row r="175" spans="1:4" s="304" customFormat="1" x14ac:dyDescent="0.35">
      <c r="A175" s="304" t="s">
        <v>1397</v>
      </c>
      <c r="B175" s="304" t="s">
        <v>1636</v>
      </c>
      <c r="C175" s="304">
        <f>SUMIF($C$270:$C$304,$A175,L$270:L$304)</f>
        <v>3.1399999999999997</v>
      </c>
      <c r="D175" s="304">
        <f>SUMIF(Capacity!$C$320:$C$357,Capacity!$A175,Capacity!K$320:K$357)</f>
        <v>1.1666666666666667</v>
      </c>
    </row>
    <row r="176" spans="1:4" x14ac:dyDescent="0.35">
      <c r="A176" s="263" t="s">
        <v>809</v>
      </c>
      <c r="B176" s="263" t="s">
        <v>1636</v>
      </c>
      <c r="C176" s="304">
        <f>SUMIF($D$270:$D$304,$A176,L$270:L$304)</f>
        <v>57.78</v>
      </c>
      <c r="D176" s="304">
        <f>SUMIF(Capacity!$D$320:$D$357,Capacity!$A176,Capacity!K$320:K$357)</f>
        <v>39.333333333333336</v>
      </c>
    </row>
    <row r="177" spans="1:4" x14ac:dyDescent="0.35">
      <c r="A177" s="263" t="s">
        <v>771</v>
      </c>
      <c r="B177" t="s">
        <v>1605</v>
      </c>
      <c r="C177" s="263">
        <f t="shared" ref="C177:C200" si="6">SUMIF($C$270:$C$304,$A3,M$270:M$304)</f>
        <v>52</v>
      </c>
      <c r="D177" s="304">
        <f>SUMIF(Capacity!$C$320:$C$357,Capacity!$A3,Capacity!L$320:L$357)</f>
        <v>40</v>
      </c>
    </row>
    <row r="178" spans="1:4" x14ac:dyDescent="0.35">
      <c r="A178" s="263" t="s">
        <v>776</v>
      </c>
      <c r="B178" s="263" t="s">
        <v>1605</v>
      </c>
      <c r="C178" s="263">
        <f t="shared" si="6"/>
        <v>205.66000000000003</v>
      </c>
      <c r="D178" s="304">
        <f>SUMIF(Capacity!$C$320:$C$357,Capacity!$A4,Capacity!L$320:L$357)</f>
        <v>169.24</v>
      </c>
    </row>
    <row r="179" spans="1:4" x14ac:dyDescent="0.35">
      <c r="A179" s="263" t="s">
        <v>779</v>
      </c>
      <c r="B179" s="263" t="s">
        <v>1605</v>
      </c>
      <c r="C179" s="263">
        <f t="shared" si="6"/>
        <v>7.2</v>
      </c>
      <c r="D179" s="304">
        <f>SUMIF(Capacity!$C$320:$C$357,Capacity!$A5,Capacity!L$320:L$357)</f>
        <v>4.8</v>
      </c>
    </row>
    <row r="180" spans="1:4" x14ac:dyDescent="0.35">
      <c r="A180" s="263" t="s">
        <v>780</v>
      </c>
      <c r="B180" s="263" t="s">
        <v>1605</v>
      </c>
      <c r="C180" s="263">
        <f t="shared" si="6"/>
        <v>0</v>
      </c>
      <c r="D180" s="304">
        <f>SUMIF(Capacity!$C$320:$C$357,Capacity!$A6,Capacity!L$320:L$357)</f>
        <v>0</v>
      </c>
    </row>
    <row r="181" spans="1:4" x14ac:dyDescent="0.35">
      <c r="A181" s="304" t="s">
        <v>799</v>
      </c>
      <c r="B181" s="263" t="s">
        <v>1605</v>
      </c>
      <c r="C181" s="263">
        <f t="shared" si="6"/>
        <v>326.35000000000002</v>
      </c>
      <c r="D181" s="304">
        <f>SUMIF(Capacity!$C$320:$C$357,Capacity!$A7,Capacity!L$320:L$357)</f>
        <v>280.31666666666666</v>
      </c>
    </row>
    <row r="182" spans="1:4" x14ac:dyDescent="0.35">
      <c r="A182" s="263" t="s">
        <v>752</v>
      </c>
      <c r="B182" s="263" t="s">
        <v>1605</v>
      </c>
      <c r="C182" s="263">
        <f t="shared" si="6"/>
        <v>121.3</v>
      </c>
      <c r="D182" s="304">
        <f>SUMIF(Capacity!$C$320:$C$357,Capacity!$A8,Capacity!L$320:L$357)</f>
        <v>120.63333333333333</v>
      </c>
    </row>
    <row r="183" spans="1:4" x14ac:dyDescent="0.35">
      <c r="A183" s="263" t="s">
        <v>753</v>
      </c>
      <c r="B183" s="263" t="s">
        <v>1605</v>
      </c>
      <c r="C183" s="263">
        <f t="shared" si="6"/>
        <v>2115.5100000000002</v>
      </c>
      <c r="D183" s="304">
        <f>SUMIF(Capacity!$C$320:$C$357,Capacity!$A9,Capacity!L$320:L$357)</f>
        <v>2057.6733333333332</v>
      </c>
    </row>
    <row r="184" spans="1:4" x14ac:dyDescent="0.35">
      <c r="A184" s="263" t="s">
        <v>807</v>
      </c>
      <c r="B184" s="263" t="s">
        <v>1605</v>
      </c>
      <c r="C184" s="263">
        <f t="shared" si="6"/>
        <v>130.5</v>
      </c>
      <c r="D184" s="304">
        <f>SUMIF(Capacity!$C$320:$C$357,Capacity!$A10,Capacity!L$320:L$357)</f>
        <v>111.33333333333333</v>
      </c>
    </row>
    <row r="185" spans="1:4" x14ac:dyDescent="0.35">
      <c r="A185" s="263" t="s">
        <v>773</v>
      </c>
      <c r="B185" s="263" t="s">
        <v>1605</v>
      </c>
      <c r="C185" s="263">
        <f t="shared" si="6"/>
        <v>0</v>
      </c>
      <c r="D185" s="304">
        <f>SUMIF(Capacity!$C$320:$C$357,Capacity!$A11,Capacity!L$320:L$357)</f>
        <v>0</v>
      </c>
    </row>
    <row r="186" spans="1:4" x14ac:dyDescent="0.35">
      <c r="A186" s="263" t="s">
        <v>751</v>
      </c>
      <c r="B186" s="263" t="s">
        <v>1605</v>
      </c>
      <c r="C186" s="263">
        <f t="shared" si="6"/>
        <v>77.3</v>
      </c>
      <c r="D186" s="304">
        <f>SUMIF(Capacity!$C$320:$C$357,Capacity!$A12,Capacity!L$320:L$357)</f>
        <v>73.3</v>
      </c>
    </row>
    <row r="187" spans="1:4" x14ac:dyDescent="0.35">
      <c r="A187" s="263" t="s">
        <v>754</v>
      </c>
      <c r="B187" s="263" t="s">
        <v>1605</v>
      </c>
      <c r="C187" s="263">
        <f t="shared" si="6"/>
        <v>120.75</v>
      </c>
      <c r="D187" s="304">
        <f>SUMIF(Capacity!$C$320:$C$357,Capacity!$A13,Capacity!L$320:L$357)</f>
        <v>112.8</v>
      </c>
    </row>
    <row r="188" spans="1:4" x14ac:dyDescent="0.35">
      <c r="A188" s="263" t="s">
        <v>768</v>
      </c>
      <c r="B188" s="263" t="s">
        <v>1605</v>
      </c>
      <c r="C188" s="263">
        <f t="shared" si="6"/>
        <v>230.5</v>
      </c>
      <c r="D188" s="304">
        <f>SUMIF(Capacity!$C$320:$C$357,Capacity!$A14,Capacity!L$320:L$357)</f>
        <v>229.66666666666666</v>
      </c>
    </row>
    <row r="189" spans="1:4" x14ac:dyDescent="0.35">
      <c r="A189" s="263" t="s">
        <v>749</v>
      </c>
      <c r="B189" s="263" t="s">
        <v>1605</v>
      </c>
      <c r="C189" s="263">
        <f t="shared" si="6"/>
        <v>2528.69</v>
      </c>
      <c r="D189" s="304">
        <f>SUMIF(Capacity!$C$320:$C$357,Capacity!$A15,Capacity!L$320:L$357)</f>
        <v>2158.5666666666666</v>
      </c>
    </row>
    <row r="190" spans="1:4" x14ac:dyDescent="0.35">
      <c r="A190" s="263" t="s">
        <v>259</v>
      </c>
      <c r="B190" s="263" t="s">
        <v>1605</v>
      </c>
      <c r="C190" s="263">
        <f t="shared" si="6"/>
        <v>500.34000000000003</v>
      </c>
      <c r="D190" s="304">
        <f>SUMIF(Capacity!$C$320:$C$357,Capacity!$A16,Capacity!L$320:L$357)</f>
        <v>479.01333333333332</v>
      </c>
    </row>
    <row r="191" spans="1:4" x14ac:dyDescent="0.35">
      <c r="A191" s="263" t="s">
        <v>181</v>
      </c>
      <c r="B191" s="263" t="s">
        <v>1605</v>
      </c>
      <c r="C191" s="263">
        <f t="shared" si="6"/>
        <v>177.6</v>
      </c>
      <c r="D191" s="304">
        <f>SUMIF(Capacity!$C$320:$C$357,Capacity!$A17,Capacity!L$320:L$357)</f>
        <v>171.1</v>
      </c>
    </row>
    <row r="192" spans="1:4" x14ac:dyDescent="0.35">
      <c r="A192" s="263" t="s">
        <v>784</v>
      </c>
      <c r="B192" s="263" t="s">
        <v>1605</v>
      </c>
      <c r="C192" s="263">
        <f t="shared" si="6"/>
        <v>1799.8</v>
      </c>
      <c r="D192" s="304">
        <f>SUMIF(Capacity!$C$320:$C$357,Capacity!$A18,Capacity!L$320:L$357)</f>
        <v>1684.2</v>
      </c>
    </row>
    <row r="193" spans="1:4" x14ac:dyDescent="0.35">
      <c r="A193" s="304" t="s">
        <v>787</v>
      </c>
      <c r="B193" s="263" t="s">
        <v>1605</v>
      </c>
      <c r="C193" s="263">
        <f t="shared" si="6"/>
        <v>0.72</v>
      </c>
      <c r="D193" s="304">
        <f>SUMIF(Capacity!$C$320:$C$357,Capacity!$A19,Capacity!L$320:L$357)</f>
        <v>0.48</v>
      </c>
    </row>
    <row r="194" spans="1:4" x14ac:dyDescent="0.35">
      <c r="A194" s="263" t="s">
        <v>788</v>
      </c>
      <c r="B194" s="263" t="s">
        <v>1605</v>
      </c>
      <c r="C194" s="263">
        <f t="shared" si="6"/>
        <v>1003.9499999999999</v>
      </c>
      <c r="D194" s="304">
        <f>SUMIF(Capacity!$C$320:$C$357,Capacity!$A20,Capacity!L$320:L$357)</f>
        <v>935.98333333333335</v>
      </c>
    </row>
    <row r="195" spans="1:4" x14ac:dyDescent="0.35">
      <c r="A195" s="263" t="s">
        <v>260</v>
      </c>
      <c r="B195" s="263" t="s">
        <v>1605</v>
      </c>
      <c r="C195" s="263">
        <f t="shared" si="6"/>
        <v>121.2</v>
      </c>
      <c r="D195" s="304">
        <f>SUMIF(Capacity!$C$320:$C$357,Capacity!$A21,Capacity!L$320:L$357)</f>
        <v>118.46666666666665</v>
      </c>
    </row>
    <row r="196" spans="1:4" x14ac:dyDescent="0.35">
      <c r="A196" s="263" t="s">
        <v>782</v>
      </c>
      <c r="B196" s="263" t="s">
        <v>1605</v>
      </c>
      <c r="C196" s="263">
        <f t="shared" si="6"/>
        <v>4.3</v>
      </c>
      <c r="D196" s="304">
        <f>SUMIF(Capacity!$C$320:$C$357,Capacity!$A22,Capacity!L$320:L$357)</f>
        <v>2.8666666666666667</v>
      </c>
    </row>
    <row r="197" spans="1:4" x14ac:dyDescent="0.35">
      <c r="A197" s="263" t="s">
        <v>797</v>
      </c>
      <c r="B197" s="263" t="s">
        <v>1605</v>
      </c>
      <c r="C197" s="263">
        <f t="shared" si="6"/>
        <v>319.92</v>
      </c>
      <c r="D197" s="304">
        <f>SUMIF(Capacity!$C$320:$C$357,Capacity!$A23,Capacity!L$320:L$357)</f>
        <v>313.28000000000003</v>
      </c>
    </row>
    <row r="198" spans="1:4" x14ac:dyDescent="0.35">
      <c r="A198" s="263" t="s">
        <v>796</v>
      </c>
      <c r="B198" s="263" t="s">
        <v>1605</v>
      </c>
      <c r="C198" s="263">
        <f t="shared" si="6"/>
        <v>59.22</v>
      </c>
      <c r="D198" s="304">
        <f>SUMIF(Capacity!$C$320:$C$357,Capacity!$A24,Capacity!L$320:L$357)</f>
        <v>56.28</v>
      </c>
    </row>
    <row r="199" spans="1:4" x14ac:dyDescent="0.35">
      <c r="A199" s="263" t="s">
        <v>764</v>
      </c>
      <c r="B199" s="263" t="s">
        <v>1605</v>
      </c>
      <c r="C199" s="263">
        <f t="shared" si="6"/>
        <v>0</v>
      </c>
      <c r="D199" s="304">
        <f>SUMIF(Capacity!$C$320:$C$357,Capacity!$A25,Capacity!L$320:L$357)</f>
        <v>0</v>
      </c>
    </row>
    <row r="200" spans="1:4" x14ac:dyDescent="0.35">
      <c r="A200" s="263" t="s">
        <v>1053</v>
      </c>
      <c r="B200" s="263" t="s">
        <v>1605</v>
      </c>
      <c r="C200" s="263">
        <f t="shared" si="6"/>
        <v>13.8</v>
      </c>
      <c r="D200" s="304">
        <f>SUMIF(Capacity!$C$320:$C$357,Capacity!$A26,Capacity!L$320:L$357)</f>
        <v>9.2000000000000011</v>
      </c>
    </row>
    <row r="201" spans="1:4" s="304" customFormat="1" x14ac:dyDescent="0.35">
      <c r="A201" s="304" t="s">
        <v>1400</v>
      </c>
      <c r="B201" s="304" t="s">
        <v>1605</v>
      </c>
      <c r="C201" s="304">
        <f>SUMIF($C$270:$C$304,$A201,M$270:M$304)</f>
        <v>0</v>
      </c>
      <c r="D201" s="304">
        <f>SUMIF(Capacity!$C$320:$C$357,Capacity!$A201,Capacity!L$320:L$357)</f>
        <v>0</v>
      </c>
    </row>
    <row r="202" spans="1:4" s="304" customFormat="1" x14ac:dyDescent="0.35">
      <c r="A202" s="304" t="s">
        <v>1398</v>
      </c>
      <c r="B202" s="304" t="s">
        <v>1605</v>
      </c>
      <c r="C202" s="304">
        <f>SUMIF($C$270:$C$304,$A202,M$270:M$304)</f>
        <v>0</v>
      </c>
      <c r="D202" s="304">
        <f>SUMIF(Capacity!$C$320:$C$357,Capacity!$A202,Capacity!L$320:L$357)</f>
        <v>0</v>
      </c>
    </row>
    <row r="203" spans="1:4" s="304" customFormat="1" x14ac:dyDescent="0.35">
      <c r="A203" s="304" t="s">
        <v>1401</v>
      </c>
      <c r="B203" s="304" t="s">
        <v>1605</v>
      </c>
      <c r="C203" s="304">
        <f>SUMIF($C$270:$C$304,$A203,M$270:M$304)</f>
        <v>0</v>
      </c>
      <c r="D203" s="304">
        <f>SUMIF(Capacity!$C$320:$C$357,Capacity!$A203,Capacity!L$320:L$357)</f>
        <v>0</v>
      </c>
    </row>
    <row r="204" spans="1:4" s="304" customFormat="1" x14ac:dyDescent="0.35">
      <c r="A204" s="304" t="s">
        <v>1397</v>
      </c>
      <c r="B204" s="304" t="s">
        <v>1605</v>
      </c>
      <c r="C204" s="304">
        <f>SUMIF($C$270:$C$304,$A204,M$270:M$304)</f>
        <v>0</v>
      </c>
      <c r="D204" s="304">
        <f>SUMIF(Capacity!$C$320:$C$357,Capacity!$A204,Capacity!L$320:L$357)</f>
        <v>0</v>
      </c>
    </row>
    <row r="205" spans="1:4" x14ac:dyDescent="0.35">
      <c r="A205" s="263" t="s">
        <v>809</v>
      </c>
      <c r="B205" s="263" t="s">
        <v>1605</v>
      </c>
      <c r="C205" s="304">
        <f>SUMIF($D$270:$D$304,$A205,M$270:M$304)</f>
        <v>0</v>
      </c>
      <c r="D205" s="304">
        <f>SUMIF(Capacity!$D$320:$D$357,Capacity!$A205,Capacity!L$320:L$357)</f>
        <v>0</v>
      </c>
    </row>
    <row r="206" spans="1:4" x14ac:dyDescent="0.35">
      <c r="A206" s="263" t="s">
        <v>771</v>
      </c>
      <c r="B206" t="s">
        <v>1603</v>
      </c>
      <c r="C206" s="263">
        <f t="shared" ref="C206:C229" si="7">SUMIF($C$270:$C$304,$A3,N$270:N$304)</f>
        <v>0</v>
      </c>
      <c r="D206" s="304">
        <f>SUMIF(Capacity!$C$320:$C$357,Capacity!$A3,Capacity!M$320:M$357)</f>
        <v>0</v>
      </c>
    </row>
    <row r="207" spans="1:4" x14ac:dyDescent="0.35">
      <c r="A207" s="263" t="s">
        <v>776</v>
      </c>
      <c r="B207" s="263" t="s">
        <v>1603</v>
      </c>
      <c r="C207" s="263">
        <f t="shared" si="7"/>
        <v>73.5</v>
      </c>
      <c r="D207" s="304">
        <f>SUMIF(Capacity!$C$320:$C$357,Capacity!$A4,Capacity!M$320:M$357)</f>
        <v>73.5</v>
      </c>
    </row>
    <row r="208" spans="1:4" x14ac:dyDescent="0.35">
      <c r="A208" s="263" t="s">
        <v>779</v>
      </c>
      <c r="B208" s="263" t="s">
        <v>1603</v>
      </c>
      <c r="C208" s="263">
        <f t="shared" si="7"/>
        <v>860.61</v>
      </c>
      <c r="D208" s="304">
        <f>SUMIF(Capacity!$C$320:$C$357,Capacity!$A5,Capacity!M$320:M$357)</f>
        <v>849.67666666666662</v>
      </c>
    </row>
    <row r="209" spans="1:4" x14ac:dyDescent="0.35">
      <c r="A209" s="263" t="s">
        <v>780</v>
      </c>
      <c r="B209" s="263" t="s">
        <v>1603</v>
      </c>
      <c r="C209" s="263">
        <f t="shared" si="7"/>
        <v>179.03</v>
      </c>
      <c r="D209" s="304">
        <f>SUMIF(Capacity!$C$320:$C$357,Capacity!$A6,Capacity!M$320:M$357)</f>
        <v>172.03</v>
      </c>
    </row>
    <row r="210" spans="1:4" x14ac:dyDescent="0.35">
      <c r="A210" s="304" t="s">
        <v>799</v>
      </c>
      <c r="B210" s="263" t="s">
        <v>1603</v>
      </c>
      <c r="C210" s="263">
        <f t="shared" si="7"/>
        <v>173.55</v>
      </c>
      <c r="D210" s="304">
        <f>SUMIF(Capacity!$C$320:$C$357,Capacity!$A7,Capacity!M$320:M$357)</f>
        <v>172.66666666666666</v>
      </c>
    </row>
    <row r="211" spans="1:4" x14ac:dyDescent="0.35">
      <c r="A211" s="263" t="s">
        <v>752</v>
      </c>
      <c r="B211" s="263" t="s">
        <v>1603</v>
      </c>
      <c r="C211" s="263">
        <f t="shared" si="7"/>
        <v>23.85</v>
      </c>
      <c r="D211" s="304">
        <f>SUMIF(Capacity!$C$320:$C$357,Capacity!$A8,Capacity!M$320:M$357)</f>
        <v>23.850000000000005</v>
      </c>
    </row>
    <row r="212" spans="1:4" x14ac:dyDescent="0.35">
      <c r="A212" s="263" t="s">
        <v>753</v>
      </c>
      <c r="B212" s="263" t="s">
        <v>1603</v>
      </c>
      <c r="C212" s="263">
        <f t="shared" si="7"/>
        <v>25.1</v>
      </c>
      <c r="D212" s="304">
        <f>SUMIF(Capacity!$C$320:$C$357,Capacity!$A9,Capacity!M$320:M$357)</f>
        <v>25.100000000000005</v>
      </c>
    </row>
    <row r="213" spans="1:4" x14ac:dyDescent="0.35">
      <c r="A213" s="263" t="s">
        <v>807</v>
      </c>
      <c r="B213" s="263" t="s">
        <v>1603</v>
      </c>
      <c r="C213" s="263">
        <f t="shared" si="7"/>
        <v>214.32</v>
      </c>
      <c r="D213" s="304">
        <f>SUMIF(Capacity!$C$320:$C$357,Capacity!$A10,Capacity!M$320:M$357)</f>
        <v>212.65333333333334</v>
      </c>
    </row>
    <row r="214" spans="1:4" x14ac:dyDescent="0.35">
      <c r="A214" s="263" t="s">
        <v>773</v>
      </c>
      <c r="B214" s="263" t="s">
        <v>1603</v>
      </c>
      <c r="C214" s="263">
        <f t="shared" si="7"/>
        <v>0.05</v>
      </c>
      <c r="D214" s="304">
        <f>SUMIF(Capacity!$C$320:$C$357,Capacity!$A11,Capacity!M$320:M$357)</f>
        <v>5.000000000000001E-2</v>
      </c>
    </row>
    <row r="215" spans="1:4" x14ac:dyDescent="0.35">
      <c r="A215" s="263" t="s">
        <v>751</v>
      </c>
      <c r="B215" s="263" t="s">
        <v>1603</v>
      </c>
      <c r="C215" s="263">
        <f t="shared" si="7"/>
        <v>61.3</v>
      </c>
      <c r="D215" s="304">
        <f>SUMIF(Capacity!$C$320:$C$357,Capacity!$A12,Capacity!M$320:M$357)</f>
        <v>24.600000000000005</v>
      </c>
    </row>
    <row r="216" spans="1:4" x14ac:dyDescent="0.35">
      <c r="A216" s="263" t="s">
        <v>754</v>
      </c>
      <c r="B216" s="263" t="s">
        <v>1603</v>
      </c>
      <c r="C216" s="263">
        <f t="shared" si="7"/>
        <v>95.91</v>
      </c>
      <c r="D216" s="304">
        <f>SUMIF(Capacity!$C$320:$C$357,Capacity!$A13,Capacity!M$320:M$357)</f>
        <v>92.660000000000011</v>
      </c>
    </row>
    <row r="217" spans="1:4" x14ac:dyDescent="0.35">
      <c r="A217" s="263" t="s">
        <v>768</v>
      </c>
      <c r="B217" s="263" t="s">
        <v>1603</v>
      </c>
      <c r="C217" s="263">
        <f t="shared" si="7"/>
        <v>76</v>
      </c>
      <c r="D217" s="304">
        <f>SUMIF(Capacity!$C$320:$C$357,Capacity!$A14,Capacity!M$320:M$357)</f>
        <v>76</v>
      </c>
    </row>
    <row r="218" spans="1:4" x14ac:dyDescent="0.35">
      <c r="A218" s="263" t="s">
        <v>749</v>
      </c>
      <c r="B218" s="263" t="s">
        <v>1603</v>
      </c>
      <c r="C218" s="263">
        <f t="shared" si="7"/>
        <v>375.57</v>
      </c>
      <c r="D218" s="304">
        <f>SUMIF(Capacity!$C$320:$C$357,Capacity!$A15,Capacity!M$320:M$357)</f>
        <v>364.43833333333333</v>
      </c>
    </row>
    <row r="219" spans="1:4" x14ac:dyDescent="0.35">
      <c r="A219" s="263" t="s">
        <v>259</v>
      </c>
      <c r="B219" s="263" t="s">
        <v>1603</v>
      </c>
      <c r="C219" s="263">
        <f t="shared" si="7"/>
        <v>162.11000000000001</v>
      </c>
      <c r="D219" s="304">
        <f>SUMIF(Capacity!$C$320:$C$357,Capacity!$A16,Capacity!M$320:M$357)</f>
        <v>188.73333333333335</v>
      </c>
    </row>
    <row r="220" spans="1:4" x14ac:dyDescent="0.35">
      <c r="A220" s="263" t="s">
        <v>181</v>
      </c>
      <c r="B220" s="263" t="s">
        <v>1603</v>
      </c>
      <c r="C220" s="263">
        <f t="shared" si="7"/>
        <v>90.87</v>
      </c>
      <c r="D220" s="304">
        <f>SUMIF(Capacity!$C$320:$C$357,Capacity!$A17,Capacity!M$320:M$357)</f>
        <v>60.580000000000005</v>
      </c>
    </row>
    <row r="221" spans="1:4" x14ac:dyDescent="0.35">
      <c r="A221" s="263" t="s">
        <v>784</v>
      </c>
      <c r="B221" s="263" t="s">
        <v>1603</v>
      </c>
      <c r="C221" s="263">
        <f t="shared" si="7"/>
        <v>1254.73</v>
      </c>
      <c r="D221" s="304">
        <f>SUMIF(Capacity!$C$320:$C$357,Capacity!$A18,Capacity!M$320:M$357)</f>
        <v>1229.0633333333333</v>
      </c>
    </row>
    <row r="222" spans="1:4" x14ac:dyDescent="0.35">
      <c r="A222" s="304" t="s">
        <v>787</v>
      </c>
      <c r="B222" s="263" t="s">
        <v>1603</v>
      </c>
      <c r="C222" s="263">
        <f t="shared" si="7"/>
        <v>222.02</v>
      </c>
      <c r="D222" s="304">
        <f>SUMIF(Capacity!$C$320:$C$357,Capacity!$A19,Capacity!M$320:M$357)</f>
        <v>219.02</v>
      </c>
    </row>
    <row r="223" spans="1:4" x14ac:dyDescent="0.35">
      <c r="A223" s="263" t="s">
        <v>788</v>
      </c>
      <c r="B223" s="263" t="s">
        <v>1603</v>
      </c>
      <c r="C223" s="263">
        <f t="shared" si="7"/>
        <v>123.05</v>
      </c>
      <c r="D223" s="304">
        <f>SUMIF(Capacity!$C$320:$C$357,Capacity!$A20,Capacity!M$320:M$357)</f>
        <v>123.05</v>
      </c>
    </row>
    <row r="224" spans="1:4" x14ac:dyDescent="0.35">
      <c r="A224" s="263" t="s">
        <v>260</v>
      </c>
      <c r="B224" s="263" t="s">
        <v>1603</v>
      </c>
      <c r="C224" s="263">
        <f t="shared" si="7"/>
        <v>70.7</v>
      </c>
      <c r="D224" s="304">
        <f>SUMIF(Capacity!$C$320:$C$357,Capacity!$A21,Capacity!M$320:M$357)</f>
        <v>70.7</v>
      </c>
    </row>
    <row r="225" spans="1:4" x14ac:dyDescent="0.35">
      <c r="A225" s="263" t="s">
        <v>782</v>
      </c>
      <c r="B225" s="263" t="s">
        <v>1603</v>
      </c>
      <c r="C225" s="263">
        <f t="shared" si="7"/>
        <v>4.05</v>
      </c>
      <c r="D225" s="304">
        <f>SUMIF(Capacity!$C$320:$C$357,Capacity!$A22,Capacity!M$320:M$357)</f>
        <v>4.05</v>
      </c>
    </row>
    <row r="226" spans="1:4" x14ac:dyDescent="0.35">
      <c r="A226" s="263" t="s">
        <v>797</v>
      </c>
      <c r="B226" s="263" t="s">
        <v>1603</v>
      </c>
      <c r="C226" s="263">
        <f t="shared" si="7"/>
        <v>98.5</v>
      </c>
      <c r="D226" s="304">
        <f>SUMIF(Capacity!$C$320:$C$357,Capacity!$A23,Capacity!M$320:M$357)</f>
        <v>98.5</v>
      </c>
    </row>
    <row r="227" spans="1:4" x14ac:dyDescent="0.35">
      <c r="A227" s="263" t="s">
        <v>796</v>
      </c>
      <c r="B227" s="263" t="s">
        <v>1603</v>
      </c>
      <c r="C227" s="263">
        <f t="shared" si="7"/>
        <v>64.625</v>
      </c>
      <c r="D227" s="304">
        <f>SUMIF(Capacity!$C$320:$C$357,Capacity!$A24,Capacity!M$320:M$357)</f>
        <v>64.625</v>
      </c>
    </row>
    <row r="228" spans="1:4" x14ac:dyDescent="0.35">
      <c r="A228" s="263" t="s">
        <v>764</v>
      </c>
      <c r="B228" s="263" t="s">
        <v>1603</v>
      </c>
      <c r="C228" s="263">
        <f t="shared" si="7"/>
        <v>34.11</v>
      </c>
      <c r="D228" s="304">
        <f>SUMIF(Capacity!$C$320:$C$357,Capacity!$A25,Capacity!M$320:M$357)</f>
        <v>34.11</v>
      </c>
    </row>
    <row r="229" spans="1:4" x14ac:dyDescent="0.35">
      <c r="A229" s="263" t="s">
        <v>1053</v>
      </c>
      <c r="B229" s="263" t="s">
        <v>1603</v>
      </c>
      <c r="C229" s="263">
        <f t="shared" si="7"/>
        <v>304.34499999999991</v>
      </c>
      <c r="D229" s="304">
        <f>SUMIF(Capacity!$C$320:$C$357,Capacity!$A26,Capacity!M$320:M$357)</f>
        <v>279.67499999999995</v>
      </c>
    </row>
    <row r="230" spans="1:4" s="304" customFormat="1" x14ac:dyDescent="0.35">
      <c r="A230" s="304" t="s">
        <v>1400</v>
      </c>
      <c r="B230" s="304" t="s">
        <v>1603</v>
      </c>
      <c r="C230" s="304">
        <f>SUMIF($C$270:$C$304,$A230,N$270:N$304)</f>
        <v>0</v>
      </c>
      <c r="D230" s="304">
        <f>SUMIF(Capacity!$C$320:$C$357,Capacity!$A230,Capacity!M$320:M$357)</f>
        <v>0</v>
      </c>
    </row>
    <row r="231" spans="1:4" s="304" customFormat="1" x14ac:dyDescent="0.35">
      <c r="A231" s="304" t="s">
        <v>1398</v>
      </c>
      <c r="B231" s="304" t="s">
        <v>1603</v>
      </c>
      <c r="C231" s="304">
        <f>SUMIF($C$270:$C$304,$A231,N$270:N$304)</f>
        <v>0</v>
      </c>
      <c r="D231" s="304">
        <f>SUMIF(Capacity!$C$320:$C$357,Capacity!$A231,Capacity!M$320:M$357)</f>
        <v>0</v>
      </c>
    </row>
    <row r="232" spans="1:4" s="304" customFormat="1" x14ac:dyDescent="0.35">
      <c r="A232" s="304" t="s">
        <v>1401</v>
      </c>
      <c r="B232" s="304" t="s">
        <v>1603</v>
      </c>
      <c r="C232" s="304">
        <f>SUMIF($C$270:$C$304,$A232,N$270:N$304)</f>
        <v>0</v>
      </c>
      <c r="D232" s="304">
        <f>SUMIF(Capacity!$C$320:$C$357,Capacity!$A232,Capacity!M$320:M$357)</f>
        <v>0</v>
      </c>
    </row>
    <row r="233" spans="1:4" s="304" customFormat="1" x14ac:dyDescent="0.35">
      <c r="A233" s="304" t="s">
        <v>1397</v>
      </c>
      <c r="B233" s="304" t="s">
        <v>1603</v>
      </c>
      <c r="C233" s="304">
        <f>SUMIF($C$270:$C$304,$A233,N$270:N$304)</f>
        <v>0</v>
      </c>
      <c r="D233" s="304">
        <f>SUMIF(Capacity!$C$320:$C$357,Capacity!$A233,Capacity!M$320:M$357)</f>
        <v>0</v>
      </c>
    </row>
    <row r="234" spans="1:4" x14ac:dyDescent="0.35">
      <c r="A234" s="263" t="s">
        <v>809</v>
      </c>
      <c r="B234" s="263" t="s">
        <v>1603</v>
      </c>
      <c r="C234" s="304">
        <f>SUMIF($D$270:$D$304,$A234,N$270:N$304)</f>
        <v>0</v>
      </c>
      <c r="D234" s="304">
        <f>SUMIF(Capacity!$D$320:$D$357,Capacity!$A234,Capacity!M$320:M$357)</f>
        <v>0</v>
      </c>
    </row>
    <row r="235" spans="1:4" s="304" customFormat="1" x14ac:dyDescent="0.35">
      <c r="A235" s="304" t="s">
        <v>771</v>
      </c>
      <c r="B235" s="304" t="s">
        <v>145</v>
      </c>
      <c r="C235" s="304">
        <f t="shared" ref="C235:C258" si="8">SUMIF($C$270:$C$304,$A3,O$270:O$304)</f>
        <v>0</v>
      </c>
      <c r="D235" s="304">
        <f>SUMIF(Capacity!$C$320:$C$357,Capacity!$A3,Capacity!N$320:N$357)</f>
        <v>0</v>
      </c>
    </row>
    <row r="236" spans="1:4" s="304" customFormat="1" x14ac:dyDescent="0.35">
      <c r="A236" s="304" t="s">
        <v>776</v>
      </c>
      <c r="B236" s="304" t="s">
        <v>145</v>
      </c>
      <c r="C236" s="304">
        <f t="shared" si="8"/>
        <v>0</v>
      </c>
      <c r="D236" s="304">
        <f>SUMIF(Capacity!$C$320:$C$357,Capacity!$A4,Capacity!N$320:N$357)</f>
        <v>0</v>
      </c>
    </row>
    <row r="237" spans="1:4" s="304" customFormat="1" x14ac:dyDescent="0.35">
      <c r="A237" s="304" t="s">
        <v>779</v>
      </c>
      <c r="B237" s="304" t="s">
        <v>145</v>
      </c>
      <c r="C237" s="304">
        <f t="shared" si="8"/>
        <v>0</v>
      </c>
      <c r="D237" s="304">
        <f>SUMIF(Capacity!$C$320:$C$357,Capacity!$A5,Capacity!N$320:N$357)</f>
        <v>0</v>
      </c>
    </row>
    <row r="238" spans="1:4" s="304" customFormat="1" x14ac:dyDescent="0.35">
      <c r="A238" s="304" t="s">
        <v>780</v>
      </c>
      <c r="B238" s="304" t="s">
        <v>145</v>
      </c>
      <c r="C238" s="304">
        <f t="shared" si="8"/>
        <v>0</v>
      </c>
      <c r="D238" s="304">
        <f>SUMIF(Capacity!$C$320:$C$357,Capacity!$A6,Capacity!N$320:N$357)</f>
        <v>0</v>
      </c>
    </row>
    <row r="239" spans="1:4" s="304" customFormat="1" x14ac:dyDescent="0.35">
      <c r="A239" s="304" t="s">
        <v>799</v>
      </c>
      <c r="B239" s="304" t="s">
        <v>145</v>
      </c>
      <c r="C239" s="304">
        <f t="shared" si="8"/>
        <v>0</v>
      </c>
      <c r="D239" s="304">
        <f>SUMIF(Capacity!$C$320:$C$357,Capacity!$A7,Capacity!N$320:N$357)</f>
        <v>0</v>
      </c>
    </row>
    <row r="240" spans="1:4" s="304" customFormat="1" x14ac:dyDescent="0.35">
      <c r="A240" s="304" t="s">
        <v>752</v>
      </c>
      <c r="B240" s="304" t="s">
        <v>145</v>
      </c>
      <c r="C240" s="304">
        <f t="shared" si="8"/>
        <v>60</v>
      </c>
      <c r="D240" s="304">
        <f>SUMIF(Capacity!$C$320:$C$357,Capacity!$A8,Capacity!N$320:N$357)</f>
        <v>60</v>
      </c>
    </row>
    <row r="241" spans="1:4" s="304" customFormat="1" x14ac:dyDescent="0.35">
      <c r="A241" s="304" t="s">
        <v>753</v>
      </c>
      <c r="B241" s="304" t="s">
        <v>145</v>
      </c>
      <c r="C241" s="304">
        <f t="shared" si="8"/>
        <v>0</v>
      </c>
      <c r="D241" s="304">
        <f>SUMIF(Capacity!$C$320:$C$357,Capacity!$A9,Capacity!N$320:N$357)</f>
        <v>0</v>
      </c>
    </row>
    <row r="242" spans="1:4" s="304" customFormat="1" x14ac:dyDescent="0.35">
      <c r="A242" s="304" t="s">
        <v>807</v>
      </c>
      <c r="B242" s="304" t="s">
        <v>145</v>
      </c>
      <c r="C242" s="304">
        <f t="shared" si="8"/>
        <v>0</v>
      </c>
      <c r="D242" s="304">
        <f>SUMIF(Capacity!$C$320:$C$357,Capacity!$A10,Capacity!N$320:N$357)</f>
        <v>0</v>
      </c>
    </row>
    <row r="243" spans="1:4" s="304" customFormat="1" x14ac:dyDescent="0.35">
      <c r="A243" s="304" t="s">
        <v>773</v>
      </c>
      <c r="B243" s="304" t="s">
        <v>145</v>
      </c>
      <c r="C243" s="304">
        <f t="shared" si="8"/>
        <v>0</v>
      </c>
      <c r="D243" s="304">
        <f>SUMIF(Capacity!$C$320:$C$357,Capacity!$A11,Capacity!N$320:N$357)</f>
        <v>0</v>
      </c>
    </row>
    <row r="244" spans="1:4" s="304" customFormat="1" x14ac:dyDescent="0.35">
      <c r="A244" s="304" t="s">
        <v>751</v>
      </c>
      <c r="B244" s="304" t="s">
        <v>145</v>
      </c>
      <c r="C244" s="304">
        <f t="shared" si="8"/>
        <v>0</v>
      </c>
      <c r="D244" s="304">
        <f>SUMIF(Capacity!$C$320:$C$357,Capacity!$A12,Capacity!N$320:N$357)</f>
        <v>0</v>
      </c>
    </row>
    <row r="245" spans="1:4" s="304" customFormat="1" x14ac:dyDescent="0.35">
      <c r="A245" s="304" t="s">
        <v>754</v>
      </c>
      <c r="B245" s="304" t="s">
        <v>145</v>
      </c>
      <c r="C245" s="304">
        <f t="shared" si="8"/>
        <v>0</v>
      </c>
      <c r="D245" s="304">
        <f>SUMIF(Capacity!$C$320:$C$357,Capacity!$A13,Capacity!N$320:N$357)</f>
        <v>0</v>
      </c>
    </row>
    <row r="246" spans="1:4" s="304" customFormat="1" x14ac:dyDescent="0.35">
      <c r="A246" s="304" t="s">
        <v>768</v>
      </c>
      <c r="B246" s="304" t="s">
        <v>145</v>
      </c>
      <c r="C246" s="304">
        <f t="shared" si="8"/>
        <v>0</v>
      </c>
      <c r="D246" s="304">
        <f>SUMIF(Capacity!$C$320:$C$357,Capacity!$A14,Capacity!N$320:N$357)</f>
        <v>0</v>
      </c>
    </row>
    <row r="247" spans="1:4" s="304" customFormat="1" x14ac:dyDescent="0.35">
      <c r="A247" s="304" t="s">
        <v>749</v>
      </c>
      <c r="B247" s="304" t="s">
        <v>145</v>
      </c>
      <c r="C247" s="304">
        <f t="shared" si="8"/>
        <v>0</v>
      </c>
      <c r="D247" s="304">
        <f>SUMIF(Capacity!$C$320:$C$357,Capacity!$A15,Capacity!N$320:N$357)</f>
        <v>0</v>
      </c>
    </row>
    <row r="248" spans="1:4" s="304" customFormat="1" x14ac:dyDescent="0.35">
      <c r="A248" s="304" t="s">
        <v>259</v>
      </c>
      <c r="B248" s="304" t="s">
        <v>145</v>
      </c>
      <c r="C248" s="304">
        <f t="shared" si="8"/>
        <v>0</v>
      </c>
      <c r="D248" s="304">
        <f>SUMIF(Capacity!$C$320:$C$357,Capacity!$A16,Capacity!N$320:N$357)</f>
        <v>0</v>
      </c>
    </row>
    <row r="249" spans="1:4" s="304" customFormat="1" x14ac:dyDescent="0.35">
      <c r="A249" s="304" t="s">
        <v>181</v>
      </c>
      <c r="B249" s="304" t="s">
        <v>145</v>
      </c>
      <c r="C249" s="304">
        <f t="shared" si="8"/>
        <v>0</v>
      </c>
      <c r="D249" s="304">
        <f>SUMIF(Capacity!$C$320:$C$357,Capacity!$A17,Capacity!N$320:N$357)</f>
        <v>0</v>
      </c>
    </row>
    <row r="250" spans="1:4" s="304" customFormat="1" x14ac:dyDescent="0.35">
      <c r="A250" s="304" t="s">
        <v>784</v>
      </c>
      <c r="B250" s="304" t="s">
        <v>145</v>
      </c>
      <c r="C250" s="304">
        <f t="shared" si="8"/>
        <v>0</v>
      </c>
      <c r="D250" s="304">
        <f>SUMIF(Capacity!$C$320:$C$357,Capacity!$A18,Capacity!N$320:N$357)</f>
        <v>0</v>
      </c>
    </row>
    <row r="251" spans="1:4" s="304" customFormat="1" x14ac:dyDescent="0.35">
      <c r="A251" s="304" t="s">
        <v>787</v>
      </c>
      <c r="B251" s="304" t="s">
        <v>145</v>
      </c>
      <c r="C251" s="304">
        <f t="shared" si="8"/>
        <v>0</v>
      </c>
      <c r="D251" s="304">
        <f>SUMIF(Capacity!$C$320:$C$357,Capacity!$A19,Capacity!N$320:N$357)</f>
        <v>0</v>
      </c>
    </row>
    <row r="252" spans="1:4" s="304" customFormat="1" x14ac:dyDescent="0.35">
      <c r="A252" s="304" t="s">
        <v>788</v>
      </c>
      <c r="B252" s="304" t="s">
        <v>145</v>
      </c>
      <c r="C252" s="304">
        <f t="shared" si="8"/>
        <v>0</v>
      </c>
      <c r="D252" s="304">
        <f>SUMIF(Capacity!$C$320:$C$357,Capacity!$A20,Capacity!N$320:N$357)</f>
        <v>0</v>
      </c>
    </row>
    <row r="253" spans="1:4" s="304" customFormat="1" x14ac:dyDescent="0.35">
      <c r="A253" s="304" t="s">
        <v>260</v>
      </c>
      <c r="B253" s="304" t="s">
        <v>145</v>
      </c>
      <c r="C253" s="304">
        <f t="shared" si="8"/>
        <v>0</v>
      </c>
      <c r="D253" s="304">
        <f>SUMIF(Capacity!$C$320:$C$357,Capacity!$A21,Capacity!N$320:N$357)</f>
        <v>0</v>
      </c>
    </row>
    <row r="254" spans="1:4" s="304" customFormat="1" x14ac:dyDescent="0.35">
      <c r="A254" s="304" t="s">
        <v>782</v>
      </c>
      <c r="B254" s="304" t="s">
        <v>145</v>
      </c>
      <c r="C254" s="304">
        <f t="shared" si="8"/>
        <v>0</v>
      </c>
      <c r="D254" s="304">
        <f>SUMIF(Capacity!$C$320:$C$357,Capacity!$A22,Capacity!N$320:N$357)</f>
        <v>0</v>
      </c>
    </row>
    <row r="255" spans="1:4" s="304" customFormat="1" x14ac:dyDescent="0.35">
      <c r="A255" s="304" t="s">
        <v>797</v>
      </c>
      <c r="B255" s="304" t="s">
        <v>145</v>
      </c>
      <c r="C255" s="304">
        <f t="shared" si="8"/>
        <v>0</v>
      </c>
      <c r="D255" s="304">
        <f>SUMIF(Capacity!$C$320:$C$357,Capacity!$A23,Capacity!N$320:N$357)</f>
        <v>0</v>
      </c>
    </row>
    <row r="256" spans="1:4" s="304" customFormat="1" x14ac:dyDescent="0.35">
      <c r="A256" s="304" t="s">
        <v>796</v>
      </c>
      <c r="B256" s="304" t="s">
        <v>145</v>
      </c>
      <c r="C256" s="304">
        <f t="shared" si="8"/>
        <v>0</v>
      </c>
      <c r="D256" s="304">
        <f>SUMIF(Capacity!$C$320:$C$357,Capacity!$A24,Capacity!N$320:N$357)</f>
        <v>0</v>
      </c>
    </row>
    <row r="257" spans="1:47" s="304" customFormat="1" x14ac:dyDescent="0.35">
      <c r="A257" s="304" t="s">
        <v>764</v>
      </c>
      <c r="B257" s="304" t="s">
        <v>145</v>
      </c>
      <c r="C257" s="304">
        <f t="shared" si="8"/>
        <v>0</v>
      </c>
      <c r="D257" s="304">
        <f>SUMIF(Capacity!$C$320:$C$357,Capacity!$A25,Capacity!N$320:N$357)</f>
        <v>0</v>
      </c>
    </row>
    <row r="258" spans="1:47" s="304" customFormat="1" x14ac:dyDescent="0.35">
      <c r="A258" s="304" t="s">
        <v>1053</v>
      </c>
      <c r="B258" s="304" t="s">
        <v>145</v>
      </c>
      <c r="C258" s="304">
        <f t="shared" si="8"/>
        <v>0</v>
      </c>
      <c r="D258" s="304">
        <f>SUMIF(Capacity!$C$320:$C$357,Capacity!$A26,Capacity!N$320:N$357)</f>
        <v>0</v>
      </c>
    </row>
    <row r="259" spans="1:47" s="304" customFormat="1" x14ac:dyDescent="0.35">
      <c r="A259" s="304" t="s">
        <v>1400</v>
      </c>
      <c r="B259" s="304" t="s">
        <v>145</v>
      </c>
      <c r="C259" s="304">
        <f>SUMIF($C$270:$C$304,$A259,O$270:O$304)</f>
        <v>0</v>
      </c>
      <c r="D259" s="304">
        <f>SUMIF(Capacity!$C$320:$C$357,Capacity!$A259,Capacity!N$320:N$357)</f>
        <v>0</v>
      </c>
    </row>
    <row r="260" spans="1:47" s="304" customFormat="1" x14ac:dyDescent="0.35">
      <c r="A260" s="304" t="s">
        <v>1398</v>
      </c>
      <c r="B260" s="304" t="s">
        <v>145</v>
      </c>
      <c r="C260" s="304">
        <f>SUMIF($C$270:$C$304,$A260,O$270:O$304)</f>
        <v>0</v>
      </c>
      <c r="D260" s="304">
        <f>SUMIF(Capacity!$C$320:$C$357,Capacity!$A260,Capacity!N$320:N$357)</f>
        <v>0</v>
      </c>
    </row>
    <row r="261" spans="1:47" s="304" customFormat="1" x14ac:dyDescent="0.35">
      <c r="A261" s="304" t="s">
        <v>1401</v>
      </c>
      <c r="B261" s="304" t="s">
        <v>145</v>
      </c>
      <c r="C261" s="304">
        <f>SUMIF($C$270:$C$304,$A261,O$270:O$304)</f>
        <v>0</v>
      </c>
      <c r="D261" s="304">
        <f>SUMIF(Capacity!$C$320:$C$357,Capacity!$A261,Capacity!N$320:N$357)</f>
        <v>0</v>
      </c>
    </row>
    <row r="262" spans="1:47" s="304" customFormat="1" x14ac:dyDescent="0.35">
      <c r="A262" s="304" t="s">
        <v>1397</v>
      </c>
      <c r="B262" s="304" t="s">
        <v>145</v>
      </c>
      <c r="C262" s="304">
        <f>SUMIF($C$270:$C$304,$A262,O$270:O$304)</f>
        <v>0</v>
      </c>
      <c r="D262" s="304">
        <f>SUMIF(Capacity!$C$320:$C$357,Capacity!$A262,Capacity!N$320:N$357)</f>
        <v>0</v>
      </c>
    </row>
    <row r="263" spans="1:47" s="304" customFormat="1" x14ac:dyDescent="0.35">
      <c r="A263" s="304" t="s">
        <v>809</v>
      </c>
      <c r="B263" s="304" t="s">
        <v>145</v>
      </c>
      <c r="C263" s="304">
        <f>SUMIF($D$270:$D$304,$A263,O$270:O$304)</f>
        <v>0</v>
      </c>
      <c r="D263" s="304">
        <f>SUMIF(Capacity!$D$320:$D$357,Capacity!$A263,Capacity!N$320:N$357)</f>
        <v>0</v>
      </c>
    </row>
    <row r="265" spans="1:47" s="148" customFormat="1" x14ac:dyDescent="0.35">
      <c r="A265" s="2" t="s">
        <v>49</v>
      </c>
    </row>
    <row r="266" spans="1:47" s="263" customFormat="1" x14ac:dyDescent="0.35">
      <c r="B266" s="2" t="s">
        <v>1164</v>
      </c>
      <c r="C266" s="2" t="s">
        <v>1101</v>
      </c>
    </row>
    <row r="267" spans="1:47" s="148" customFormat="1" x14ac:dyDescent="0.35">
      <c r="B267" s="2" t="s">
        <v>1165</v>
      </c>
      <c r="C267" s="2" t="s">
        <v>1166</v>
      </c>
    </row>
    <row r="268" spans="1:47" s="263" customFormat="1" ht="29" x14ac:dyDescent="0.35">
      <c r="B268" s="2"/>
      <c r="C268" s="2"/>
      <c r="D268" s="2"/>
      <c r="E268" s="263" t="s">
        <v>690</v>
      </c>
      <c r="F268" s="263" t="s">
        <v>1044</v>
      </c>
      <c r="G268" s="263" t="s">
        <v>301</v>
      </c>
      <c r="H268" s="263" t="s">
        <v>1045</v>
      </c>
      <c r="I268" s="263" t="s">
        <v>304</v>
      </c>
      <c r="J268" s="263" t="s">
        <v>308</v>
      </c>
      <c r="K268" s="263" t="s">
        <v>348</v>
      </c>
      <c r="L268" s="263" t="s">
        <v>1174</v>
      </c>
      <c r="M268" s="263" t="s">
        <v>452</v>
      </c>
      <c r="N268" s="263" t="s">
        <v>761</v>
      </c>
      <c r="O268" s="263" t="s">
        <v>526</v>
      </c>
      <c r="Q268" s="20" t="s">
        <v>1542</v>
      </c>
      <c r="R268" s="20" t="s">
        <v>1542</v>
      </c>
      <c r="S268" s="20" t="s">
        <v>1543</v>
      </c>
      <c r="T268" s="20" t="s">
        <v>1543</v>
      </c>
      <c r="U268" s="20" t="s">
        <v>1546</v>
      </c>
      <c r="V268" s="20" t="s">
        <v>1545</v>
      </c>
      <c r="W268" s="20" t="s">
        <v>1545</v>
      </c>
      <c r="X268" s="20" t="s">
        <v>1547</v>
      </c>
      <c r="Y268" s="20" t="s">
        <v>1544</v>
      </c>
      <c r="Z268" s="20" t="s">
        <v>1544</v>
      </c>
      <c r="AA268" s="20" t="s">
        <v>1548</v>
      </c>
      <c r="AB268" s="20"/>
      <c r="AC268" t="s">
        <v>1534</v>
      </c>
    </row>
    <row r="269" spans="1:47" ht="29" x14ac:dyDescent="0.35">
      <c r="A269" s="148" t="s">
        <v>1042</v>
      </c>
      <c r="B269" s="148" t="s">
        <v>179</v>
      </c>
      <c r="C269" s="148" t="s">
        <v>1043</v>
      </c>
      <c r="D269" s="304" t="s">
        <v>1043</v>
      </c>
      <c r="E269" s="148" t="s">
        <v>1612</v>
      </c>
      <c r="F269" s="148" t="s">
        <v>1612</v>
      </c>
      <c r="G269" s="148" t="s">
        <v>1613</v>
      </c>
      <c r="H269" s="148" t="s">
        <v>1045</v>
      </c>
      <c r="I269" s="148" t="s">
        <v>1615</v>
      </c>
      <c r="J269" s="148" t="s">
        <v>1604</v>
      </c>
      <c r="K269" s="263" t="s">
        <v>1606</v>
      </c>
      <c r="L269" s="263" t="s">
        <v>1636</v>
      </c>
      <c r="M269" s="263" t="s">
        <v>1605</v>
      </c>
      <c r="N269" s="263" t="s">
        <v>1603</v>
      </c>
      <c r="O269" s="263" t="s">
        <v>145</v>
      </c>
      <c r="Q269" s="20" t="s">
        <v>1529</v>
      </c>
      <c r="R269" s="20" t="s">
        <v>1541</v>
      </c>
      <c r="S269" s="20" t="s">
        <v>1529</v>
      </c>
      <c r="T269" s="20" t="s">
        <v>1541</v>
      </c>
      <c r="U269" s="20" t="s">
        <v>1529</v>
      </c>
      <c r="V269" s="20" t="s">
        <v>1529</v>
      </c>
      <c r="W269" s="20" t="s">
        <v>1541</v>
      </c>
      <c r="X269" s="20" t="s">
        <v>1529</v>
      </c>
      <c r="Y269" s="20" t="s">
        <v>1529</v>
      </c>
      <c r="Z269" s="20" t="s">
        <v>1541</v>
      </c>
      <c r="AA269" s="20" t="s">
        <v>1529</v>
      </c>
      <c r="AB269" s="20"/>
      <c r="AC269" t="s">
        <v>304</v>
      </c>
      <c r="AD269" t="s">
        <v>41</v>
      </c>
      <c r="AE269" t="s">
        <v>1529</v>
      </c>
      <c r="AF269" t="s">
        <v>1530</v>
      </c>
      <c r="AG269" t="s">
        <v>1469</v>
      </c>
      <c r="AL269" s="304" t="s">
        <v>1042</v>
      </c>
      <c r="AM269" s="304" t="s">
        <v>179</v>
      </c>
      <c r="AN269" s="20" t="s">
        <v>1535</v>
      </c>
      <c r="AO269" s="304" t="s">
        <v>690</v>
      </c>
      <c r="AP269" s="304" t="s">
        <v>1044</v>
      </c>
      <c r="AQ269" s="304" t="s">
        <v>301</v>
      </c>
      <c r="AR269" s="304" t="s">
        <v>1045</v>
      </c>
      <c r="AS269" s="304" t="s">
        <v>1188</v>
      </c>
      <c r="AT269" s="304" t="s">
        <v>304</v>
      </c>
      <c r="AU269" s="304" t="s">
        <v>308</v>
      </c>
    </row>
    <row r="270" spans="1:47" x14ac:dyDescent="0.35">
      <c r="A270" s="148" t="s">
        <v>1046</v>
      </c>
      <c r="B270" s="148" t="s">
        <v>770</v>
      </c>
      <c r="C270" s="148" t="s">
        <v>771</v>
      </c>
      <c r="D270" s="304" t="s">
        <v>771</v>
      </c>
      <c r="E270" s="209">
        <f t="shared" ref="E270:E304" si="9">U270+T270*VLOOKUP($A270,$AC$276:$AF$280,4,FALSE)</f>
        <v>4221.6879099389189</v>
      </c>
      <c r="F270" s="209">
        <f t="shared" ref="F270:F304" si="10">X270+W270*VLOOKUP($A270,$AC$282:$AF$286,4,FALSE)</f>
        <v>0</v>
      </c>
      <c r="G270" s="148">
        <v>2115.41</v>
      </c>
      <c r="H270" s="148">
        <v>0</v>
      </c>
      <c r="I270" s="209">
        <f t="shared" ref="I270:I304" si="11">Q270+R270*VLOOKUP($A270,$AC$270:$AF$274,4,FALSE)</f>
        <v>120.45336881227493</v>
      </c>
      <c r="J270" s="209">
        <f t="shared" ref="J270:J304" si="12">AA270+Z270*VLOOKUP($A270,$AC$288:$AF$292,4,FALSE)</f>
        <v>751.75450334479672</v>
      </c>
      <c r="K270">
        <f>SUMIF(RE!$B$12:$B$48,$B270,RE!C$12:C$48)</f>
        <v>0</v>
      </c>
      <c r="L270" s="263">
        <f>SUMIF(RE!$B$12:$B$48,$B270,RE!D$12:D$48)-O270</f>
        <v>126.89000000000001</v>
      </c>
      <c r="M270" s="263">
        <f>SUMIF(RE!$B$12:$B$48,$B270,RE!E$12:E$48)+SUMIF(RE!$B$12:$B$48,$B270,RE!F$12:F$48)+SUMIF(RE!$B$12:$B$48,$B270,RE!H$12:H$48)</f>
        <v>52</v>
      </c>
      <c r="N270" s="263">
        <f>SUMIF(RE!$B$12:$B$48,$B270,RE!G$12:G$48)</f>
        <v>0</v>
      </c>
      <c r="O270" s="263">
        <v>0</v>
      </c>
      <c r="P270" s="304"/>
      <c r="Q270" s="304">
        <v>102.83</v>
      </c>
      <c r="R270" s="148">
        <f t="shared" ref="R270:R304" si="13">IFERROR(Q270/VLOOKUP($A270,$AC$270:$AE$274,3,FALSE),0)</f>
        <v>7.4353931365601811E-2</v>
      </c>
      <c r="S270" s="148">
        <f t="shared" ref="S270:S304" si="14">VLOOKUP($B270,$AM$270:$AU$305,3,FALSE)</f>
        <v>4116.9399999999996</v>
      </c>
      <c r="T270" s="376">
        <f t="shared" ref="T270:T304" si="15">IFERROR(S270/VLOOKUP($A270,$AC$276:$AE$280,3,FALSE),0)</f>
        <v>8.3829847973973873E-2</v>
      </c>
      <c r="U270" s="304">
        <v>4116.9399999999996</v>
      </c>
      <c r="V270" s="304">
        <f t="shared" ref="V270:V304" si="16">VLOOKUP($B270,$AM$270:$AU$305,4,FALSE)</f>
        <v>0</v>
      </c>
      <c r="W270" s="376">
        <f t="shared" ref="W270:W304" si="17">IFERROR(V270/VLOOKUP($A270,$AC$282:$AE$286,3,FALSE),0)</f>
        <v>0</v>
      </c>
      <c r="X270" s="304">
        <v>0</v>
      </c>
      <c r="Y270" s="304">
        <f t="shared" ref="Y270:Y304" si="18">VLOOKUP($B270,$AM$270:$AU$305,9,FALSE)</f>
        <v>723.09</v>
      </c>
      <c r="Z270" s="376">
        <f t="shared" ref="Z270:Z304" si="19">IFERROR(Y270/VLOOKUP($A270,$AC$288:$AE$292,3,FALSE),0)</f>
        <v>3.8145082033370428E-2</v>
      </c>
      <c r="AA270" s="304">
        <v>723.09</v>
      </c>
      <c r="AB270" s="304"/>
      <c r="AC270" s="304" t="s">
        <v>1046</v>
      </c>
      <c r="AD270" s="304">
        <f>AT306</f>
        <v>1620</v>
      </c>
      <c r="AE270" s="304">
        <f>SUMIF($A$270:$A$304,AC270,$Q$270:$Q$304)</f>
        <v>1382.98</v>
      </c>
      <c r="AF270" s="304">
        <f>AD270-AE270</f>
        <v>237.01999999999998</v>
      </c>
      <c r="AG270" s="304" t="b">
        <f>IF(SUMIF($A$270:$A$304,AC270,$I$270:$I$304)=AD270, TRUE, FALSE)</f>
        <v>1</v>
      </c>
      <c r="AL270" s="304" t="s">
        <v>1046</v>
      </c>
      <c r="AM270" s="304" t="s">
        <v>770</v>
      </c>
      <c r="AN270" s="304" t="s">
        <v>1549</v>
      </c>
      <c r="AO270" s="304">
        <v>4116.9399999999996</v>
      </c>
      <c r="AP270" s="304">
        <v>0</v>
      </c>
      <c r="AQ270" s="304">
        <v>2115.41</v>
      </c>
      <c r="AR270" s="304">
        <v>0</v>
      </c>
      <c r="AS270" s="304">
        <v>6232.35</v>
      </c>
      <c r="AT270" s="304">
        <v>102.83</v>
      </c>
      <c r="AU270" s="304">
        <v>723.09</v>
      </c>
    </row>
    <row r="271" spans="1:47" x14ac:dyDescent="0.35">
      <c r="A271" s="148" t="s">
        <v>1046</v>
      </c>
      <c r="B271" s="148" t="s">
        <v>775</v>
      </c>
      <c r="C271" s="148" t="s">
        <v>776</v>
      </c>
      <c r="D271" s="304" t="s">
        <v>776</v>
      </c>
      <c r="E271" s="209">
        <f t="shared" si="9"/>
        <v>8301.4749971849287</v>
      </c>
      <c r="F271" s="209">
        <f t="shared" si="10"/>
        <v>0</v>
      </c>
      <c r="G271" s="148">
        <v>685.61</v>
      </c>
      <c r="H271" s="148">
        <v>0</v>
      </c>
      <c r="I271" s="209">
        <f t="shared" si="11"/>
        <v>118.23945393281176</v>
      </c>
      <c r="J271" s="209">
        <f t="shared" si="12"/>
        <v>2044.4761591470074</v>
      </c>
      <c r="K271" s="263">
        <f>SUMIF(RE!$B$12:$B$48,$B271,RE!C$12:C$48)</f>
        <v>0</v>
      </c>
      <c r="L271" s="304">
        <f>SUMIF(RE!$B$12:$B$48,$B271,RE!D$12:D$48)-O271</f>
        <v>224.52</v>
      </c>
      <c r="M271" s="263">
        <f>SUMIF(RE!$B$12:$B$48,$B271,RE!E$12:E$48)+SUMIF(RE!$B$12:$B$48,$B271,RE!F$12:F$48)+SUMIF(RE!$B$12:$B$48,$B271,RE!H$12:H$48)</f>
        <v>205.66000000000003</v>
      </c>
      <c r="N271" s="263">
        <f>SUMIF(RE!$B$12:$B$48,$B271,RE!G$12:G$48)</f>
        <v>73.5</v>
      </c>
      <c r="O271" s="304">
        <v>0</v>
      </c>
      <c r="P271" s="304"/>
      <c r="Q271" s="304">
        <v>100.94</v>
      </c>
      <c r="R271" s="304">
        <f t="shared" si="13"/>
        <v>7.2987317242476382E-2</v>
      </c>
      <c r="S271" s="304">
        <f t="shared" si="14"/>
        <v>8095.5</v>
      </c>
      <c r="T271" s="376">
        <f t="shared" si="15"/>
        <v>0.16484197833179634</v>
      </c>
      <c r="U271" s="304">
        <v>8095.5</v>
      </c>
      <c r="V271" s="304">
        <f t="shared" si="16"/>
        <v>0</v>
      </c>
      <c r="W271" s="376">
        <f t="shared" si="17"/>
        <v>0</v>
      </c>
      <c r="X271" s="304">
        <v>0</v>
      </c>
      <c r="Y271" s="304">
        <f t="shared" si="18"/>
        <v>1966.52</v>
      </c>
      <c r="Z271" s="376">
        <f t="shared" si="19"/>
        <v>0.10373959910974236</v>
      </c>
      <c r="AA271" s="304">
        <v>1966.52</v>
      </c>
      <c r="AB271" s="304"/>
      <c r="AC271" s="304" t="s">
        <v>628</v>
      </c>
      <c r="AD271" s="304">
        <f>AT307</f>
        <v>1840</v>
      </c>
      <c r="AE271" s="304">
        <f>SUMIF($A$270:$A$304,AC271,$Q$270:$Q$304)</f>
        <v>1612</v>
      </c>
      <c r="AF271" s="304">
        <f>AD271-AE271</f>
        <v>228</v>
      </c>
      <c r="AG271" s="304" t="b">
        <f>IF(SUMIF($A$270:$A$304,AC271,$I$270:$I$304)=AD271, TRUE, FALSE)</f>
        <v>1</v>
      </c>
      <c r="AL271" s="304" t="s">
        <v>1046</v>
      </c>
      <c r="AM271" s="304" t="s">
        <v>775</v>
      </c>
      <c r="AN271" s="304" t="s">
        <v>1549</v>
      </c>
      <c r="AO271" s="304">
        <v>8095.5</v>
      </c>
      <c r="AP271" s="304">
        <v>0</v>
      </c>
      <c r="AQ271" s="304">
        <v>685.61</v>
      </c>
      <c r="AR271" s="304">
        <v>0</v>
      </c>
      <c r="AS271" s="304">
        <v>8781.1200000000008</v>
      </c>
      <c r="AT271" s="304">
        <v>100.94</v>
      </c>
      <c r="AU271" s="304">
        <v>1966.52</v>
      </c>
    </row>
    <row r="272" spans="1:47" x14ac:dyDescent="0.35">
      <c r="A272" s="148" t="s">
        <v>1046</v>
      </c>
      <c r="B272" s="148" t="s">
        <v>778</v>
      </c>
      <c r="C272" s="148" t="s">
        <v>779</v>
      </c>
      <c r="D272" s="304" t="s">
        <v>779</v>
      </c>
      <c r="E272" s="209">
        <f t="shared" si="9"/>
        <v>188.06627317444458</v>
      </c>
      <c r="F272" s="209">
        <f t="shared" si="10"/>
        <v>0</v>
      </c>
      <c r="G272" s="148">
        <v>62.01</v>
      </c>
      <c r="H272" s="148">
        <v>0</v>
      </c>
      <c r="I272" s="209">
        <f t="shared" si="11"/>
        <v>33.911553312412323</v>
      </c>
      <c r="J272" s="209">
        <f t="shared" si="12"/>
        <v>3025.8563206446829</v>
      </c>
      <c r="K272" s="263">
        <f>SUMIF(RE!$B$12:$B$48,$B272,RE!C$12:C$48)</f>
        <v>0</v>
      </c>
      <c r="L272" s="304">
        <f>SUMIF(RE!$B$12:$B$48,$B272,RE!D$12:D$48)-O272</f>
        <v>22.68</v>
      </c>
      <c r="M272" s="263">
        <f>SUMIF(RE!$B$12:$B$48,$B272,RE!E$12:E$48)+SUMIF(RE!$B$12:$B$48,$B272,RE!F$12:F$48)+SUMIF(RE!$B$12:$B$48,$B272,RE!H$12:H$48)</f>
        <v>7.2</v>
      </c>
      <c r="N272" s="263">
        <f>SUMIF(RE!$B$12:$B$48,$B272,RE!G$12:G$48)</f>
        <v>860.61</v>
      </c>
      <c r="O272" s="304">
        <v>0</v>
      </c>
      <c r="P272" s="304"/>
      <c r="Q272" s="304">
        <v>28.95</v>
      </c>
      <c r="R272" s="304">
        <f t="shared" si="13"/>
        <v>2.0933057600254521E-2</v>
      </c>
      <c r="S272" s="304">
        <f t="shared" si="14"/>
        <v>183.4</v>
      </c>
      <c r="T272" s="376">
        <f t="shared" si="15"/>
        <v>3.7344226824842751E-3</v>
      </c>
      <c r="U272" s="304">
        <v>183.4</v>
      </c>
      <c r="V272" s="304">
        <f t="shared" si="16"/>
        <v>0</v>
      </c>
      <c r="W272" s="376">
        <f t="shared" si="17"/>
        <v>0</v>
      </c>
      <c r="X272" s="304">
        <v>0</v>
      </c>
      <c r="Y272" s="304">
        <f t="shared" si="18"/>
        <v>2910.48</v>
      </c>
      <c r="Z272" s="376">
        <f t="shared" si="19"/>
        <v>0.15353621037005621</v>
      </c>
      <c r="AA272" s="304">
        <v>2910.48</v>
      </c>
      <c r="AB272" s="304"/>
      <c r="AC272" s="304" t="s">
        <v>1051</v>
      </c>
      <c r="AD272" s="304">
        <f>AT308</f>
        <v>3320</v>
      </c>
      <c r="AE272" s="304">
        <f>SUMIF($A$270:$A$304,AC272,$Q$270:$Q$304)</f>
        <v>2870</v>
      </c>
      <c r="AF272" s="304">
        <f>AD272-AE272</f>
        <v>450</v>
      </c>
      <c r="AG272" s="304" t="b">
        <f>IF(SUMIF($A$270:$A$304,AC272,$I$270:$I$304)=AD272, TRUE, FALSE)</f>
        <v>1</v>
      </c>
      <c r="AL272" s="304" t="s">
        <v>1046</v>
      </c>
      <c r="AM272" s="304" t="s">
        <v>778</v>
      </c>
      <c r="AN272" s="304" t="s">
        <v>1549</v>
      </c>
      <c r="AO272" s="304">
        <v>183.4</v>
      </c>
      <c r="AP272" s="304">
        <v>0</v>
      </c>
      <c r="AQ272" s="304">
        <v>62.01</v>
      </c>
      <c r="AR272" s="304">
        <v>0</v>
      </c>
      <c r="AS272" s="304">
        <v>245.41</v>
      </c>
      <c r="AT272" s="304">
        <v>28.95</v>
      </c>
      <c r="AU272" s="304">
        <v>2910.48</v>
      </c>
    </row>
    <row r="273" spans="1:47" x14ac:dyDescent="0.35">
      <c r="A273" s="148" t="s">
        <v>1046</v>
      </c>
      <c r="B273" s="148" t="s">
        <v>1047</v>
      </c>
      <c r="C273" s="148" t="s">
        <v>780</v>
      </c>
      <c r="D273" s="304" t="s">
        <v>780</v>
      </c>
      <c r="E273" s="209">
        <f t="shared" si="9"/>
        <v>519.2741552497655</v>
      </c>
      <c r="F273" s="209">
        <f t="shared" si="10"/>
        <v>0</v>
      </c>
      <c r="G273" s="148">
        <v>304.07</v>
      </c>
      <c r="H273" s="148">
        <v>0</v>
      </c>
      <c r="I273" s="209">
        <f t="shared" si="11"/>
        <v>79.630652648628327</v>
      </c>
      <c r="J273" s="209">
        <f t="shared" si="12"/>
        <v>2413.9232270204488</v>
      </c>
      <c r="K273" s="263">
        <f>SUMIF(RE!$B$12:$B$48,$B273,RE!C$12:C$48)</f>
        <v>0</v>
      </c>
      <c r="L273" s="304">
        <f>SUMIF(RE!$B$12:$B$48,$B273,RE!D$12:D$48)-O273</f>
        <v>14.83</v>
      </c>
      <c r="M273" s="263">
        <f>SUMIF(RE!$B$12:$B$48,$B273,RE!E$12:E$48)+SUMIF(RE!$B$12:$B$48,$B273,RE!F$12:F$48)+SUMIF(RE!$B$12:$B$48,$B273,RE!H$12:H$48)</f>
        <v>0</v>
      </c>
      <c r="N273" s="263">
        <f>SUMIF(RE!$B$12:$B$48,$B273,RE!G$12:G$48)</f>
        <v>179.03</v>
      </c>
      <c r="O273" s="304">
        <v>0</v>
      </c>
      <c r="P273" s="304"/>
      <c r="Q273" s="304">
        <v>67.98</v>
      </c>
      <c r="R273" s="304">
        <f t="shared" si="13"/>
        <v>4.9154723857177979E-2</v>
      </c>
      <c r="S273" s="304">
        <f t="shared" si="14"/>
        <v>506.39</v>
      </c>
      <c r="T273" s="376">
        <f t="shared" si="15"/>
        <v>1.0311201211467894E-2</v>
      </c>
      <c r="U273" s="304">
        <v>506.39</v>
      </c>
      <c r="V273" s="304">
        <f t="shared" si="16"/>
        <v>0</v>
      </c>
      <c r="W273" s="376">
        <f t="shared" si="17"/>
        <v>0</v>
      </c>
      <c r="X273" s="304">
        <v>0</v>
      </c>
      <c r="Y273" s="304">
        <f t="shared" si="18"/>
        <v>2321.88</v>
      </c>
      <c r="Z273" s="376">
        <f t="shared" si="19"/>
        <v>0.12248586354622816</v>
      </c>
      <c r="AA273" s="304">
        <v>2321.88</v>
      </c>
      <c r="AB273" s="304"/>
      <c r="AC273" s="304" t="s">
        <v>644</v>
      </c>
      <c r="AD273" s="304">
        <f>AT309</f>
        <v>0</v>
      </c>
      <c r="AE273" s="304">
        <f>SUMIF($A$270:$A$304,AC273,$Q$270:$Q$304)</f>
        <v>0</v>
      </c>
      <c r="AF273" s="304">
        <f>AD273-AE273</f>
        <v>0</v>
      </c>
      <c r="AG273" s="304" t="b">
        <f>IF(SUMIF($A$270:$A$304,AC273,$I$270:$I$304)=AD273, TRUE, FALSE)</f>
        <v>1</v>
      </c>
      <c r="AL273" s="304" t="s">
        <v>1046</v>
      </c>
      <c r="AM273" s="304" t="s">
        <v>1047</v>
      </c>
      <c r="AN273" s="304" t="s">
        <v>1549</v>
      </c>
      <c r="AO273" s="304">
        <v>506.39</v>
      </c>
      <c r="AP273" s="304">
        <v>0</v>
      </c>
      <c r="AQ273" s="304">
        <v>304.07</v>
      </c>
      <c r="AR273" s="304">
        <v>0</v>
      </c>
      <c r="AS273" s="304">
        <v>810.47</v>
      </c>
      <c r="AT273" s="304">
        <v>67.98</v>
      </c>
      <c r="AU273" s="304">
        <v>2321.88</v>
      </c>
    </row>
    <row r="274" spans="1:47" x14ac:dyDescent="0.35">
      <c r="A274" s="148" t="s">
        <v>1046</v>
      </c>
      <c r="B274" s="148" t="s">
        <v>798</v>
      </c>
      <c r="C274" s="148" t="s">
        <v>799</v>
      </c>
      <c r="D274" s="304" t="s">
        <v>799</v>
      </c>
      <c r="E274" s="209">
        <f t="shared" si="9"/>
        <v>7926.7575623790099</v>
      </c>
      <c r="F274" s="209">
        <f t="shared" si="10"/>
        <v>0</v>
      </c>
      <c r="G274" s="148">
        <v>414.01</v>
      </c>
      <c r="H274" s="148">
        <v>0</v>
      </c>
      <c r="I274" s="209">
        <f t="shared" si="11"/>
        <v>230.53999334769844</v>
      </c>
      <c r="J274" s="209">
        <f t="shared" si="12"/>
        <v>3960.1199211449912</v>
      </c>
      <c r="K274" s="263">
        <f>SUMIF(RE!$B$12:$B$48,$B274,RE!C$12:C$48)</f>
        <v>0</v>
      </c>
      <c r="L274" s="304">
        <f>SUMIF(RE!$B$12:$B$48,$B274,RE!D$12:D$48)-O274</f>
        <v>905.62</v>
      </c>
      <c r="M274" s="263">
        <f>SUMIF(RE!$B$12:$B$48,$B274,RE!E$12:E$48)+SUMIF(RE!$B$12:$B$48,$B274,RE!F$12:F$48)+SUMIF(RE!$B$12:$B$48,$B274,RE!H$12:H$48)</f>
        <v>326.35000000000002</v>
      </c>
      <c r="N274" s="263">
        <f>SUMIF(RE!$B$12:$B$48,$B274,RE!G$12:G$48)</f>
        <v>173.55</v>
      </c>
      <c r="O274" s="304">
        <v>0</v>
      </c>
      <c r="P274" s="304"/>
      <c r="Q274" s="304">
        <v>196.81</v>
      </c>
      <c r="R274" s="304">
        <f t="shared" si="13"/>
        <v>0.14230863786894965</v>
      </c>
      <c r="S274" s="304">
        <f t="shared" si="14"/>
        <v>7730.08</v>
      </c>
      <c r="T274" s="376">
        <f t="shared" si="15"/>
        <v>0.15740123276672871</v>
      </c>
      <c r="U274" s="304">
        <v>7730.08</v>
      </c>
      <c r="V274" s="304">
        <f t="shared" si="16"/>
        <v>0</v>
      </c>
      <c r="W274" s="376">
        <f t="shared" si="17"/>
        <v>0</v>
      </c>
      <c r="X274" s="304">
        <v>0</v>
      </c>
      <c r="Y274" s="304">
        <f t="shared" si="18"/>
        <v>3809.12</v>
      </c>
      <c r="Z274" s="376">
        <f t="shared" si="19"/>
        <v>0.20094206098127748</v>
      </c>
      <c r="AA274" s="304">
        <v>3809.12</v>
      </c>
      <c r="AB274" s="304"/>
      <c r="AC274" s="304" t="s">
        <v>1054</v>
      </c>
      <c r="AD274" s="304">
        <f>AT310</f>
        <v>0</v>
      </c>
      <c r="AE274" s="304">
        <f>SUMIF($A$270:$A$304,AC274,$Q$270:$Q$304)</f>
        <v>0</v>
      </c>
      <c r="AF274" s="304">
        <f>AD274-AE274</f>
        <v>0</v>
      </c>
      <c r="AG274" s="304" t="b">
        <f>IF(SUMIF($A$270:$A$304,AC274,$I$270:$I$304)=AD274, TRUE, FALSE)</f>
        <v>1</v>
      </c>
      <c r="AL274" s="304" t="s">
        <v>1046</v>
      </c>
      <c r="AM274" s="304" t="s">
        <v>798</v>
      </c>
      <c r="AN274" s="304" t="s">
        <v>1549</v>
      </c>
      <c r="AO274" s="304">
        <v>7730.08</v>
      </c>
      <c r="AP274" s="304">
        <v>0</v>
      </c>
      <c r="AQ274" s="304">
        <v>414.01</v>
      </c>
      <c r="AR274" s="304">
        <v>0</v>
      </c>
      <c r="AS274" s="304">
        <v>8144.09</v>
      </c>
      <c r="AT274" s="304">
        <v>196.81</v>
      </c>
      <c r="AU274" s="304">
        <v>3809.12</v>
      </c>
    </row>
    <row r="275" spans="1:47" x14ac:dyDescent="0.35">
      <c r="A275" s="148" t="s">
        <v>1046</v>
      </c>
      <c r="B275" s="148" t="s">
        <v>800</v>
      </c>
      <c r="C275" s="148" t="s">
        <v>752</v>
      </c>
      <c r="D275" s="304" t="s">
        <v>752</v>
      </c>
      <c r="E275" s="209">
        <f t="shared" si="9"/>
        <v>10273.145808232712</v>
      </c>
      <c r="F275" s="209">
        <f t="shared" si="10"/>
        <v>1580</v>
      </c>
      <c r="G275" s="148">
        <v>824.9</v>
      </c>
      <c r="H275" s="148">
        <v>0</v>
      </c>
      <c r="I275" s="209">
        <f t="shared" si="11"/>
        <v>652.15606877901348</v>
      </c>
      <c r="J275" s="209">
        <f t="shared" si="12"/>
        <v>2016.0627519965651</v>
      </c>
      <c r="K275" s="263">
        <f>SUMIF(RE!$B$12:$B$48,$B275,RE!C$12:C$48)</f>
        <v>4299.72</v>
      </c>
      <c r="L275" s="304">
        <f>SUMIF(RE!$B$12:$B$48,$B275,RE!D$12:D$48)-O275</f>
        <v>3166.79</v>
      </c>
      <c r="M275" s="263">
        <f>SUMIF(RE!$B$12:$B$48,$B275,RE!E$12:E$48)+SUMIF(RE!$B$12:$B$48,$B275,RE!F$12:F$48)+SUMIF(RE!$B$12:$B$48,$B275,RE!H$12:H$48)</f>
        <v>121.3</v>
      </c>
      <c r="N275" s="263">
        <f>SUMIF(RE!$B$12:$B$48,$B275,RE!G$12:G$48)</f>
        <v>23.85</v>
      </c>
      <c r="O275" s="209">
        <f>RJ!C13</f>
        <v>60</v>
      </c>
      <c r="P275" s="304"/>
      <c r="Q275" s="304">
        <v>556.74</v>
      </c>
      <c r="R275" s="304">
        <f t="shared" si="13"/>
        <v>0.40256547455494657</v>
      </c>
      <c r="S275" s="304">
        <f t="shared" si="14"/>
        <v>10018.25</v>
      </c>
      <c r="T275" s="376">
        <f t="shared" si="15"/>
        <v>0.20399334808504954</v>
      </c>
      <c r="U275" s="304">
        <v>10018.25</v>
      </c>
      <c r="V275" s="304">
        <f t="shared" si="16"/>
        <v>1580</v>
      </c>
      <c r="W275" s="376">
        <f t="shared" si="17"/>
        <v>1</v>
      </c>
      <c r="X275" s="304">
        <v>1580</v>
      </c>
      <c r="Y275" s="304">
        <f t="shared" si="18"/>
        <v>1939.19</v>
      </c>
      <c r="Z275" s="376">
        <f t="shared" si="19"/>
        <v>0.1022978628224586</v>
      </c>
      <c r="AA275" s="304">
        <v>1939.19</v>
      </c>
      <c r="AB275" s="304"/>
      <c r="AC275" t="s">
        <v>690</v>
      </c>
      <c r="AD275" s="304" t="s">
        <v>41</v>
      </c>
      <c r="AE275" s="304" t="s">
        <v>1529</v>
      </c>
      <c r="AF275" s="304" t="s">
        <v>1530</v>
      </c>
      <c r="AG275" s="304" t="s">
        <v>1469</v>
      </c>
      <c r="AL275" s="304" t="s">
        <v>1046</v>
      </c>
      <c r="AM275" s="304" t="s">
        <v>800</v>
      </c>
      <c r="AN275" s="304" t="s">
        <v>1549</v>
      </c>
      <c r="AO275" s="304">
        <v>10018.25</v>
      </c>
      <c r="AP275" s="304">
        <v>1580</v>
      </c>
      <c r="AQ275" s="304">
        <v>824.9</v>
      </c>
      <c r="AR275" s="304">
        <v>0</v>
      </c>
      <c r="AS275" s="304">
        <v>12423.15</v>
      </c>
      <c r="AT275" s="304">
        <v>556.74</v>
      </c>
      <c r="AU275" s="304">
        <v>1939.19</v>
      </c>
    </row>
    <row r="276" spans="1:47" x14ac:dyDescent="0.35">
      <c r="A276" s="148" t="s">
        <v>1046</v>
      </c>
      <c r="B276" s="148" t="s">
        <v>805</v>
      </c>
      <c r="C276" s="148" t="s">
        <v>753</v>
      </c>
      <c r="D276" s="304" t="s">
        <v>753</v>
      </c>
      <c r="E276" s="209">
        <f t="shared" si="9"/>
        <v>18437.180660414531</v>
      </c>
      <c r="F276" s="209">
        <f t="shared" si="10"/>
        <v>0</v>
      </c>
      <c r="G276" s="148">
        <v>549.49</v>
      </c>
      <c r="H276" s="148">
        <v>0</v>
      </c>
      <c r="I276" s="209">
        <f t="shared" si="11"/>
        <v>339.09210545344115</v>
      </c>
      <c r="J276" s="209">
        <f t="shared" si="12"/>
        <v>3502.168156940882</v>
      </c>
      <c r="K276" s="263">
        <f>SUMIF(RE!$B$12:$B$48,$B276,RE!C$12:C$48)</f>
        <v>0</v>
      </c>
      <c r="L276" s="304">
        <f>SUMIF(RE!$B$12:$B$48,$B276,RE!D$12:D$48)-O276</f>
        <v>960.1</v>
      </c>
      <c r="M276" s="263">
        <f>SUMIF(RE!$B$12:$B$48,$B276,RE!E$12:E$48)+SUMIF(RE!$B$12:$B$48,$B276,RE!F$12:F$48)+SUMIF(RE!$B$12:$B$48,$B276,RE!H$12:H$48)</f>
        <v>2115.5100000000002</v>
      </c>
      <c r="N276" s="263">
        <f>SUMIF(RE!$B$12:$B$48,$B276,RE!G$12:G$48)</f>
        <v>25.1</v>
      </c>
      <c r="O276" s="304">
        <v>0</v>
      </c>
      <c r="P276" s="304"/>
      <c r="Q276" s="304">
        <v>289.48</v>
      </c>
      <c r="R276" s="304">
        <f t="shared" si="13"/>
        <v>0.20931611447743281</v>
      </c>
      <c r="S276" s="304">
        <f t="shared" si="14"/>
        <v>17979.72</v>
      </c>
      <c r="T276" s="376">
        <f t="shared" si="15"/>
        <v>0.36610618425690389</v>
      </c>
      <c r="U276" s="304">
        <v>17979.72</v>
      </c>
      <c r="V276" s="304">
        <f t="shared" si="16"/>
        <v>0</v>
      </c>
      <c r="W276" s="376">
        <f t="shared" si="17"/>
        <v>0</v>
      </c>
      <c r="X276" s="304">
        <v>0</v>
      </c>
      <c r="Y276" s="304">
        <f t="shared" si="18"/>
        <v>3368.63</v>
      </c>
      <c r="Z276" s="376">
        <f t="shared" si="19"/>
        <v>0.17770494363090711</v>
      </c>
      <c r="AA276" s="304">
        <v>3368.63</v>
      </c>
      <c r="AB276" s="304"/>
      <c r="AC276" s="304" t="s">
        <v>1046</v>
      </c>
      <c r="AD276" s="436">
        <f>AO306</f>
        <v>50360.2</v>
      </c>
      <c r="AE276" s="304">
        <f>SUMIF($A$270:$A$304,AC276,$S$270:$S$304)</f>
        <v>49110.67</v>
      </c>
      <c r="AF276" s="304">
        <f>AD276-AE276</f>
        <v>1249.5299999999988</v>
      </c>
      <c r="AG276" s="304" t="b">
        <f>IF(SUMIF($A$270:$A$304,AC276,$E$270:$E$304)=AD276, TRUE, FALSE)</f>
        <v>1</v>
      </c>
      <c r="AL276" s="304" t="s">
        <v>1046</v>
      </c>
      <c r="AM276" s="304" t="s">
        <v>805</v>
      </c>
      <c r="AN276" s="304" t="s">
        <v>1549</v>
      </c>
      <c r="AO276" s="304">
        <v>17979.72</v>
      </c>
      <c r="AP276" s="304">
        <v>0</v>
      </c>
      <c r="AQ276" s="304">
        <v>549.49</v>
      </c>
      <c r="AR276" s="304">
        <v>0</v>
      </c>
      <c r="AS276" s="304">
        <v>18529.21</v>
      </c>
      <c r="AT276" s="304">
        <v>289.48</v>
      </c>
      <c r="AU276" s="304">
        <v>3368.63</v>
      </c>
    </row>
    <row r="277" spans="1:47" x14ac:dyDescent="0.35">
      <c r="A277" s="148" t="s">
        <v>1046</v>
      </c>
      <c r="B277" s="148" t="s">
        <v>806</v>
      </c>
      <c r="C277" s="148" t="s">
        <v>807</v>
      </c>
      <c r="D277" s="304" t="s">
        <v>807</v>
      </c>
      <c r="E277" s="209">
        <f t="shared" si="9"/>
        <v>453.49197736459308</v>
      </c>
      <c r="F277" s="209">
        <f t="shared" si="10"/>
        <v>0</v>
      </c>
      <c r="G277" s="148">
        <v>519.66</v>
      </c>
      <c r="H277" s="148">
        <v>0</v>
      </c>
      <c r="I277" s="209">
        <f t="shared" si="11"/>
        <v>36.594021605518513</v>
      </c>
      <c r="J277" s="209">
        <f t="shared" si="12"/>
        <v>1887.6670043536958</v>
      </c>
      <c r="K277" s="263">
        <f>SUMIF(RE!$B$12:$B$48,$B277,RE!C$12:C$48)</f>
        <v>0</v>
      </c>
      <c r="L277" s="304">
        <f>SUMIF(RE!$B$12:$B$48,$B277,RE!D$12:D$48)-O277</f>
        <v>306.75</v>
      </c>
      <c r="M277" s="263">
        <f>SUMIF(RE!$B$12:$B$48,$B277,RE!E$12:E$48)+SUMIF(RE!$B$12:$B$48,$B277,RE!F$12:F$48)+SUMIF(RE!$B$12:$B$48,$B277,RE!H$12:H$48)</f>
        <v>130.5</v>
      </c>
      <c r="N277" s="263">
        <f>SUMIF(RE!$B$12:$B$48,$B277,RE!G$12:G$48)</f>
        <v>214.32</v>
      </c>
      <c r="O277" s="304">
        <v>0</v>
      </c>
      <c r="P277" s="304"/>
      <c r="Q277" s="304">
        <v>31.24</v>
      </c>
      <c r="R277" s="304">
        <f t="shared" si="13"/>
        <v>2.2588902225628715E-2</v>
      </c>
      <c r="S277" s="304">
        <f t="shared" si="14"/>
        <v>442.24</v>
      </c>
      <c r="T277" s="376">
        <f t="shared" si="15"/>
        <v>9.0049677595520489E-3</v>
      </c>
      <c r="U277" s="304">
        <v>442.24</v>
      </c>
      <c r="V277" s="304">
        <f t="shared" si="16"/>
        <v>0</v>
      </c>
      <c r="W277" s="376">
        <f t="shared" si="17"/>
        <v>0</v>
      </c>
      <c r="X277" s="304">
        <v>0</v>
      </c>
      <c r="Y277" s="304">
        <f t="shared" si="18"/>
        <v>1815.69</v>
      </c>
      <c r="Z277" s="376">
        <f t="shared" si="19"/>
        <v>9.5782881795032915E-2</v>
      </c>
      <c r="AA277" s="304">
        <v>1815.69</v>
      </c>
      <c r="AB277" s="304"/>
      <c r="AC277" s="304" t="s">
        <v>628</v>
      </c>
      <c r="AD277" s="436">
        <f>AO307</f>
        <v>72808.62</v>
      </c>
      <c r="AE277" s="304">
        <f>SUMIF($A$270:$A$304,AC277,$S$270:$S$304)</f>
        <v>70475.63</v>
      </c>
      <c r="AF277" s="304">
        <f>AD277-AE277</f>
        <v>2332.9899999999907</v>
      </c>
      <c r="AG277" s="304" t="b">
        <f>IF(SUMIF($A$270:$A$304,AC277,$E$270:$E$304)=AD277, TRUE, FALSE)</f>
        <v>1</v>
      </c>
      <c r="AL277" s="304" t="s">
        <v>1046</v>
      </c>
      <c r="AM277" s="304" t="s">
        <v>806</v>
      </c>
      <c r="AN277" s="304" t="s">
        <v>1549</v>
      </c>
      <c r="AO277" s="304">
        <v>442.24</v>
      </c>
      <c r="AP277" s="304">
        <v>0</v>
      </c>
      <c r="AQ277" s="304">
        <v>519.66</v>
      </c>
      <c r="AR277" s="304">
        <v>0</v>
      </c>
      <c r="AS277" s="304">
        <v>961.9</v>
      </c>
      <c r="AT277" s="304">
        <v>31.24</v>
      </c>
      <c r="AU277" s="304">
        <v>1815.69</v>
      </c>
    </row>
    <row r="278" spans="1:47" x14ac:dyDescent="0.35">
      <c r="A278" s="148" t="s">
        <v>1046</v>
      </c>
      <c r="B278" s="148" t="s">
        <v>1048</v>
      </c>
      <c r="C278" s="148" t="s">
        <v>1400</v>
      </c>
      <c r="D278" s="304" t="s">
        <v>809</v>
      </c>
      <c r="E278" s="209">
        <f t="shared" si="9"/>
        <v>39.120656061096291</v>
      </c>
      <c r="F278" s="209">
        <f t="shared" si="10"/>
        <v>0</v>
      </c>
      <c r="G278" s="148">
        <v>15.03</v>
      </c>
      <c r="H278" s="148">
        <v>0</v>
      </c>
      <c r="I278" s="209">
        <f t="shared" si="11"/>
        <v>9.3827821082011305</v>
      </c>
      <c r="J278" s="209">
        <f t="shared" si="12"/>
        <v>105.74195540693312</v>
      </c>
      <c r="K278" s="263">
        <f>SUMIF(RE!$B$12:$B$48,$B278,RE!C$12:C$48)</f>
        <v>0</v>
      </c>
      <c r="L278" s="304">
        <f>SUMIF(RE!$B$12:$B$48,$B278,RE!D$12:D$48)-O278</f>
        <v>34.71</v>
      </c>
      <c r="M278" s="263">
        <f>SUMIF(RE!$B$12:$B$48,$B278,RE!E$12:E$48)+SUMIF(RE!$B$12:$B$48,$B278,RE!F$12:F$48)+SUMIF(RE!$B$12:$B$48,$B278,RE!H$12:H$48)</f>
        <v>0</v>
      </c>
      <c r="N278" s="263">
        <f>SUMIF(RE!$B$12:$B$48,$B278,RE!G$12:G$48)</f>
        <v>0</v>
      </c>
      <c r="O278" s="304">
        <v>0</v>
      </c>
      <c r="P278" s="304"/>
      <c r="Q278" s="304">
        <v>8.01</v>
      </c>
      <c r="R278" s="304">
        <f t="shared" si="13"/>
        <v>5.7918408075315619E-3</v>
      </c>
      <c r="S278" s="304">
        <f t="shared" si="14"/>
        <v>38.15</v>
      </c>
      <c r="T278" s="376">
        <f t="shared" si="15"/>
        <v>7.7681693204348465E-4</v>
      </c>
      <c r="U278" s="304">
        <v>38.15</v>
      </c>
      <c r="V278" s="304">
        <f t="shared" si="16"/>
        <v>0</v>
      </c>
      <c r="W278" s="376">
        <f t="shared" si="17"/>
        <v>0</v>
      </c>
      <c r="X278" s="304">
        <v>0</v>
      </c>
      <c r="Y278" s="304">
        <f t="shared" si="18"/>
        <v>101.71</v>
      </c>
      <c r="Z278" s="376">
        <f t="shared" si="19"/>
        <v>5.365495710926863E-3</v>
      </c>
      <c r="AA278" s="304">
        <v>101.71</v>
      </c>
      <c r="AB278" s="304"/>
      <c r="AC278" s="304" t="s">
        <v>1051</v>
      </c>
      <c r="AD278" s="436">
        <f>AO308</f>
        <v>43042.02</v>
      </c>
      <c r="AE278" s="304">
        <f>SUMIF($A$270:$A$304,AC278,$S$270:$S$304)</f>
        <v>41616.019999999997</v>
      </c>
      <c r="AF278" s="304">
        <f>AD278-AE278</f>
        <v>1426</v>
      </c>
      <c r="AG278" s="304" t="b">
        <f>IF(SUMIF($A$270:$A$304,AC278,$E$270:$E$304)=AD278, TRUE, FALSE)</f>
        <v>1</v>
      </c>
      <c r="AL278" s="304" t="s">
        <v>1046</v>
      </c>
      <c r="AM278" s="304" t="s">
        <v>1048</v>
      </c>
      <c r="AN278" s="304" t="s">
        <v>1549</v>
      </c>
      <c r="AO278" s="304">
        <v>38.15</v>
      </c>
      <c r="AP278" s="304">
        <v>0</v>
      </c>
      <c r="AQ278" s="304">
        <v>15.03</v>
      </c>
      <c r="AR278" s="304">
        <v>0</v>
      </c>
      <c r="AS278" s="304">
        <v>53.17</v>
      </c>
      <c r="AT278" s="304">
        <v>8.01</v>
      </c>
      <c r="AU278" s="304">
        <v>101.71</v>
      </c>
    </row>
    <row r="279" spans="1:47" x14ac:dyDescent="0.35">
      <c r="A279" s="148" t="s">
        <v>628</v>
      </c>
      <c r="B279" s="148" t="s">
        <v>772</v>
      </c>
      <c r="C279" s="148" t="s">
        <v>773</v>
      </c>
      <c r="D279" s="304" t="s">
        <v>773</v>
      </c>
      <c r="E279" s="209">
        <f t="shared" si="9"/>
        <v>485.13507244702879</v>
      </c>
      <c r="F279" s="209">
        <f t="shared" si="10"/>
        <v>0</v>
      </c>
      <c r="G279" s="148">
        <v>67.67</v>
      </c>
      <c r="H279" s="148">
        <v>0</v>
      </c>
      <c r="I279" s="209">
        <f t="shared" si="11"/>
        <v>29.677419354838708</v>
      </c>
      <c r="J279" s="209">
        <f t="shared" si="12"/>
        <v>0</v>
      </c>
      <c r="K279" s="263">
        <f>SUMIF(RE!$B$12:$B$48,$B279,RE!C$12:C$48)</f>
        <v>0</v>
      </c>
      <c r="L279" s="304">
        <f>SUMIF(RE!$B$12:$B$48,$B279,RE!D$12:D$48)-O279</f>
        <v>3.92</v>
      </c>
      <c r="M279" s="263">
        <f>SUMIF(RE!$B$12:$B$48,$B279,RE!E$12:E$48)+SUMIF(RE!$B$12:$B$48,$B279,RE!F$12:F$48)+SUMIF(RE!$B$12:$B$48,$B279,RE!H$12:H$48)</f>
        <v>0</v>
      </c>
      <c r="N279" s="263">
        <f>SUMIF(RE!$B$12:$B$48,$B279,RE!G$12:G$48)</f>
        <v>0.05</v>
      </c>
      <c r="O279" s="304">
        <v>0</v>
      </c>
      <c r="P279" s="304"/>
      <c r="Q279" s="304">
        <v>26</v>
      </c>
      <c r="R279" s="304">
        <f t="shared" si="13"/>
        <v>1.6129032258064516E-2</v>
      </c>
      <c r="S279" s="304">
        <f t="shared" si="14"/>
        <v>469.59</v>
      </c>
      <c r="T279" s="376">
        <f t="shared" si="15"/>
        <v>6.6631543414368902E-3</v>
      </c>
      <c r="U279" s="304">
        <v>469.59</v>
      </c>
      <c r="V279" s="304">
        <f t="shared" si="16"/>
        <v>0</v>
      </c>
      <c r="W279" s="376">
        <f t="shared" si="17"/>
        <v>0</v>
      </c>
      <c r="X279" s="304">
        <v>0</v>
      </c>
      <c r="Y279" s="304">
        <f t="shared" si="18"/>
        <v>0</v>
      </c>
      <c r="Z279" s="376">
        <f t="shared" si="19"/>
        <v>0</v>
      </c>
      <c r="AA279" s="304">
        <v>0</v>
      </c>
      <c r="AB279" s="304"/>
      <c r="AC279" s="304" t="s">
        <v>644</v>
      </c>
      <c r="AD279" s="436">
        <f>AO309</f>
        <v>27463.64</v>
      </c>
      <c r="AE279" s="304">
        <f>SUMIF($A$270:$A$304,AC279,$S$270:$S$304)</f>
        <v>26336.809999999998</v>
      </c>
      <c r="AF279" s="304">
        <f>AD279-AE279</f>
        <v>1126.8300000000017</v>
      </c>
      <c r="AG279" s="304" t="b">
        <f>IF(SUMIF($A$270:$A$304,AC279,$E$270:$E$304)=AD279, TRUE, FALSE)</f>
        <v>1</v>
      </c>
      <c r="AL279" s="304" t="s">
        <v>628</v>
      </c>
      <c r="AM279" s="304" t="s">
        <v>772</v>
      </c>
      <c r="AN279" s="304" t="s">
        <v>1549</v>
      </c>
      <c r="AO279" s="304">
        <v>469.59</v>
      </c>
      <c r="AP279" s="304">
        <v>0</v>
      </c>
      <c r="AQ279" s="304">
        <v>67.67</v>
      </c>
      <c r="AR279" s="304">
        <v>0</v>
      </c>
      <c r="AS279" s="304">
        <v>537.26</v>
      </c>
      <c r="AT279" s="304">
        <v>26</v>
      </c>
      <c r="AU279" s="304">
        <v>0</v>
      </c>
    </row>
    <row r="280" spans="1:47" x14ac:dyDescent="0.35">
      <c r="A280" s="148" t="s">
        <v>628</v>
      </c>
      <c r="B280" s="148" t="s">
        <v>1049</v>
      </c>
      <c r="C280" s="148" t="s">
        <v>1398</v>
      </c>
      <c r="D280" s="304" t="s">
        <v>809</v>
      </c>
      <c r="E280" s="209">
        <f t="shared" si="9"/>
        <v>146.09116589947473</v>
      </c>
      <c r="F280" s="209">
        <f t="shared" si="10"/>
        <v>0</v>
      </c>
      <c r="G280" s="148">
        <v>43.34</v>
      </c>
      <c r="H280" s="148">
        <v>0</v>
      </c>
      <c r="I280" s="209">
        <f t="shared" si="11"/>
        <v>7.9900744416873453</v>
      </c>
      <c r="J280" s="209">
        <f t="shared" si="12"/>
        <v>0</v>
      </c>
      <c r="K280" s="263">
        <f>SUMIF(RE!$B$12:$B$48,$B280,RE!C$12:C$48)</f>
        <v>0</v>
      </c>
      <c r="L280" s="304">
        <f>SUMIF(RE!$B$12:$B$48,$B280,RE!D$12:D$48)-O280</f>
        <v>14.47</v>
      </c>
      <c r="M280" s="263">
        <f>SUMIF(RE!$B$12:$B$48,$B280,RE!E$12:E$48)+SUMIF(RE!$B$12:$B$48,$B280,RE!F$12:F$48)+SUMIF(RE!$B$12:$B$48,$B280,RE!H$12:H$48)</f>
        <v>0</v>
      </c>
      <c r="N280" s="263">
        <f>SUMIF(RE!$B$12:$B$48,$B280,RE!G$12:G$48)</f>
        <v>0</v>
      </c>
      <c r="O280" s="304">
        <v>0</v>
      </c>
      <c r="P280" s="304"/>
      <c r="Q280" s="304">
        <v>7</v>
      </c>
      <c r="R280" s="304">
        <f t="shared" si="13"/>
        <v>4.3424317617866007E-3</v>
      </c>
      <c r="S280" s="304">
        <f t="shared" si="14"/>
        <v>141.41</v>
      </c>
      <c r="T280" s="376">
        <f t="shared" si="15"/>
        <v>2.0065092004143844E-3</v>
      </c>
      <c r="U280" s="304">
        <v>141.41</v>
      </c>
      <c r="V280" s="304">
        <f t="shared" si="16"/>
        <v>0</v>
      </c>
      <c r="W280" s="376">
        <f t="shared" si="17"/>
        <v>0</v>
      </c>
      <c r="X280" s="304">
        <v>0</v>
      </c>
      <c r="Y280" s="304">
        <f t="shared" si="18"/>
        <v>0</v>
      </c>
      <c r="Z280" s="376">
        <f t="shared" si="19"/>
        <v>0</v>
      </c>
      <c r="AA280" s="304">
        <v>0</v>
      </c>
      <c r="AB280" s="304"/>
      <c r="AC280" s="304" t="s">
        <v>1054</v>
      </c>
      <c r="AD280" s="436">
        <f>AO310</f>
        <v>770.02</v>
      </c>
      <c r="AE280" s="304">
        <f>SUMIF($A$270:$A$304,AC280,$S$270:$S$304)</f>
        <v>657.52</v>
      </c>
      <c r="AF280" s="304">
        <f>AD280-AE280</f>
        <v>112.5</v>
      </c>
      <c r="AG280" s="304" t="b">
        <f>IF(SUMIF($A$270:$A$304,AC280,$E$270:$E$304)=AD280, TRUE, FALSE)</f>
        <v>1</v>
      </c>
      <c r="AL280" s="304" t="s">
        <v>628</v>
      </c>
      <c r="AM280" s="304" t="s">
        <v>1049</v>
      </c>
      <c r="AN280" s="304" t="s">
        <v>1549</v>
      </c>
      <c r="AO280" s="304">
        <v>141.41</v>
      </c>
      <c r="AP280" s="304">
        <v>0</v>
      </c>
      <c r="AQ280" s="304">
        <v>43.34</v>
      </c>
      <c r="AR280" s="304">
        <v>0</v>
      </c>
      <c r="AS280" s="304">
        <v>184.75</v>
      </c>
      <c r="AT280" s="304">
        <v>7</v>
      </c>
      <c r="AU280" s="304">
        <v>0</v>
      </c>
    </row>
    <row r="281" spans="1:47" x14ac:dyDescent="0.35">
      <c r="A281" s="148" t="s">
        <v>628</v>
      </c>
      <c r="B281" s="148" t="s">
        <v>774</v>
      </c>
      <c r="C281" s="148" t="s">
        <v>751</v>
      </c>
      <c r="D281" s="304" t="s">
        <v>751</v>
      </c>
      <c r="E281" s="209">
        <f t="shared" si="9"/>
        <v>14688.768869778105</v>
      </c>
      <c r="F281" s="209">
        <f t="shared" si="10"/>
        <v>1540</v>
      </c>
      <c r="G281" s="148">
        <v>6561.82</v>
      </c>
      <c r="H281" s="148">
        <v>0</v>
      </c>
      <c r="I281" s="209">
        <f t="shared" si="11"/>
        <v>638.06451612903231</v>
      </c>
      <c r="J281" s="209">
        <f t="shared" si="12"/>
        <v>772</v>
      </c>
      <c r="K281" s="263">
        <f>SUMIF(RE!$B$12:$B$48,$B281,RE!C$12:C$48)</f>
        <v>6073.07</v>
      </c>
      <c r="L281" s="304">
        <f>SUMIF(RE!$B$12:$B$48,$B281,RE!D$12:D$48)-O281</f>
        <v>2440.13</v>
      </c>
      <c r="M281" s="263">
        <f>SUMIF(RE!$B$12:$B$48,$B281,RE!E$12:E$48)+SUMIF(RE!$B$12:$B$48,$B281,RE!F$12:F$48)+SUMIF(RE!$B$12:$B$48,$B281,RE!H$12:H$48)</f>
        <v>77.3</v>
      </c>
      <c r="N281" s="263">
        <f>SUMIF(RE!$B$12:$B$48,$B281,RE!G$12:G$48)</f>
        <v>61.3</v>
      </c>
      <c r="O281" s="304">
        <v>0</v>
      </c>
      <c r="P281" s="304"/>
      <c r="Q281" s="304">
        <v>559</v>
      </c>
      <c r="R281" s="304">
        <f t="shared" si="13"/>
        <v>0.34677419354838712</v>
      </c>
      <c r="S281" s="304">
        <f t="shared" si="14"/>
        <v>14218.1</v>
      </c>
      <c r="T281" s="376">
        <f t="shared" si="15"/>
        <v>0.20174491522814339</v>
      </c>
      <c r="U281" s="304">
        <v>14218.1</v>
      </c>
      <c r="V281" s="304">
        <f t="shared" si="16"/>
        <v>1540</v>
      </c>
      <c r="W281" s="376">
        <f t="shared" si="17"/>
        <v>1</v>
      </c>
      <c r="X281" s="304">
        <v>1540</v>
      </c>
      <c r="Y281" s="304">
        <f t="shared" si="18"/>
        <v>772</v>
      </c>
      <c r="Z281" s="376">
        <f t="shared" si="19"/>
        <v>0.10228552500828089</v>
      </c>
      <c r="AA281" s="304">
        <v>772</v>
      </c>
      <c r="AB281" s="304"/>
      <c r="AC281" t="s">
        <v>1044</v>
      </c>
      <c r="AD281" s="304" t="s">
        <v>41</v>
      </c>
      <c r="AE281" s="304" t="s">
        <v>1529</v>
      </c>
      <c r="AF281" s="304" t="s">
        <v>1530</v>
      </c>
      <c r="AG281" s="304" t="s">
        <v>1469</v>
      </c>
      <c r="AL281" s="304" t="s">
        <v>628</v>
      </c>
      <c r="AM281" s="304" t="s">
        <v>774</v>
      </c>
      <c r="AN281" s="304" t="s">
        <v>1549</v>
      </c>
      <c r="AO281" s="304">
        <v>14218.1</v>
      </c>
      <c r="AP281" s="304">
        <v>1540</v>
      </c>
      <c r="AQ281" s="304">
        <v>6561.82</v>
      </c>
      <c r="AR281" s="304">
        <v>0</v>
      </c>
      <c r="AS281" s="304">
        <v>22319.919999999998</v>
      </c>
      <c r="AT281" s="304">
        <v>559</v>
      </c>
      <c r="AU281" s="304">
        <v>772</v>
      </c>
    </row>
    <row r="282" spans="1:47" x14ac:dyDescent="0.35">
      <c r="A282" s="148" t="s">
        <v>628</v>
      </c>
      <c r="B282" s="148" t="s">
        <v>789</v>
      </c>
      <c r="C282" s="148" t="s">
        <v>754</v>
      </c>
      <c r="D282" s="304" t="s">
        <v>754</v>
      </c>
      <c r="E282" s="209">
        <f t="shared" si="9"/>
        <v>15410.164381582681</v>
      </c>
      <c r="F282" s="209">
        <f t="shared" si="10"/>
        <v>0</v>
      </c>
      <c r="G282" s="148">
        <v>357</v>
      </c>
      <c r="H282" s="148">
        <v>0</v>
      </c>
      <c r="I282" s="209">
        <f t="shared" si="11"/>
        <v>311.61290322580646</v>
      </c>
      <c r="J282" s="209">
        <f t="shared" si="12"/>
        <v>3223.66</v>
      </c>
      <c r="K282" s="263">
        <f>SUMIF(RE!$B$12:$B$48,$B282,RE!C$12:C$48)</f>
        <v>2519.89</v>
      </c>
      <c r="L282" s="304">
        <f>SUMIF(RE!$B$12:$B$48,$B282,RE!D$12:D$48)-O282</f>
        <v>1840.16</v>
      </c>
      <c r="M282" s="263">
        <f>SUMIF(RE!$B$12:$B$48,$B282,RE!E$12:E$48)+SUMIF(RE!$B$12:$B$48,$B282,RE!F$12:F$48)+SUMIF(RE!$B$12:$B$48,$B282,RE!H$12:H$48)</f>
        <v>120.75</v>
      </c>
      <c r="N282" s="263">
        <f>SUMIF(RE!$B$12:$B$48,$B282,RE!G$12:G$48)</f>
        <v>95.91</v>
      </c>
      <c r="O282" s="304">
        <v>0</v>
      </c>
      <c r="P282" s="304"/>
      <c r="Q282" s="304">
        <v>273</v>
      </c>
      <c r="R282" s="304">
        <f t="shared" si="13"/>
        <v>0.16935483870967741</v>
      </c>
      <c r="S282" s="304">
        <f t="shared" si="14"/>
        <v>14916.38</v>
      </c>
      <c r="T282" s="376">
        <f t="shared" si="15"/>
        <v>0.21165302105139036</v>
      </c>
      <c r="U282" s="304">
        <v>14916.38</v>
      </c>
      <c r="V282" s="304">
        <f t="shared" si="16"/>
        <v>0</v>
      </c>
      <c r="W282" s="376">
        <f t="shared" si="17"/>
        <v>0</v>
      </c>
      <c r="X282" s="304">
        <v>0</v>
      </c>
      <c r="Y282" s="304">
        <f t="shared" si="18"/>
        <v>3223.66</v>
      </c>
      <c r="Z282" s="376">
        <f t="shared" si="19"/>
        <v>0.42711626366346472</v>
      </c>
      <c r="AA282" s="304">
        <v>3223.66</v>
      </c>
      <c r="AB282" s="304"/>
      <c r="AC282" s="304" t="s">
        <v>1046</v>
      </c>
      <c r="AD282" s="436">
        <f>AP306</f>
        <v>1580</v>
      </c>
      <c r="AE282" s="304">
        <f>SUMIF($A$270:$A$304,AC282,$V$270:$V$304)</f>
        <v>1580</v>
      </c>
      <c r="AF282" s="304">
        <f>AD282-AE282</f>
        <v>0</v>
      </c>
      <c r="AG282" s="304" t="b">
        <f>IF(SUMIF($A$270:$A$304,AC282,$F$270:$F$304)=AD282, TRUE, FALSE)</f>
        <v>1</v>
      </c>
      <c r="AL282" s="304" t="s">
        <v>628</v>
      </c>
      <c r="AM282" s="304" t="s">
        <v>789</v>
      </c>
      <c r="AN282" s="304" t="s">
        <v>1549</v>
      </c>
      <c r="AO282" s="304">
        <v>14916.38</v>
      </c>
      <c r="AP282" s="304">
        <v>0</v>
      </c>
      <c r="AQ282" s="304">
        <v>357</v>
      </c>
      <c r="AR282" s="304">
        <v>0</v>
      </c>
      <c r="AS282" s="304">
        <v>15273.38</v>
      </c>
      <c r="AT282" s="304">
        <v>273</v>
      </c>
      <c r="AU282" s="304">
        <v>3223.66</v>
      </c>
    </row>
    <row r="283" spans="1:47" x14ac:dyDescent="0.35">
      <c r="A283" s="148" t="s">
        <v>628</v>
      </c>
      <c r="B283" s="148" t="s">
        <v>767</v>
      </c>
      <c r="C283" s="148" t="s">
        <v>768</v>
      </c>
      <c r="D283" s="304" t="s">
        <v>768</v>
      </c>
      <c r="E283" s="209">
        <f t="shared" si="9"/>
        <v>13679.065164298636</v>
      </c>
      <c r="F283" s="209">
        <f t="shared" si="10"/>
        <v>0</v>
      </c>
      <c r="G283" s="148">
        <v>0</v>
      </c>
      <c r="H283" s="148">
        <v>0</v>
      </c>
      <c r="I283" s="209">
        <f t="shared" si="11"/>
        <v>54.789081885856078</v>
      </c>
      <c r="J283" s="209">
        <f t="shared" si="12"/>
        <v>220</v>
      </c>
      <c r="K283" s="263">
        <f>SUMIF(RE!$B$12:$B$48,$B283,RE!C$12:C$48)</f>
        <v>0</v>
      </c>
      <c r="L283" s="304">
        <f>SUMIF(RE!$B$12:$B$48,$B283,RE!D$12:D$48)-O283</f>
        <v>231.35000000000002</v>
      </c>
      <c r="M283" s="263">
        <f>SUMIF(RE!$B$12:$B$48,$B283,RE!E$12:E$48)+SUMIF(RE!$B$12:$B$48,$B283,RE!F$12:F$48)+SUMIF(RE!$B$12:$B$48,$B283,RE!H$12:H$48)</f>
        <v>230.5</v>
      </c>
      <c r="N283" s="263">
        <f>SUMIF(RE!$B$12:$B$48,$B283,RE!G$12:G$48)</f>
        <v>76</v>
      </c>
      <c r="O283" s="304">
        <v>0</v>
      </c>
      <c r="P283" s="304"/>
      <c r="Q283" s="304">
        <v>48</v>
      </c>
      <c r="R283" s="304">
        <f t="shared" si="13"/>
        <v>2.9776674937965261E-2</v>
      </c>
      <c r="S283" s="304">
        <f t="shared" si="14"/>
        <v>13240.75</v>
      </c>
      <c r="T283" s="376">
        <f t="shared" si="15"/>
        <v>0.18787700088668946</v>
      </c>
      <c r="U283" s="304">
        <v>13240.75</v>
      </c>
      <c r="V283" s="304">
        <f t="shared" si="16"/>
        <v>0</v>
      </c>
      <c r="W283" s="376">
        <f t="shared" si="17"/>
        <v>0</v>
      </c>
      <c r="X283" s="304">
        <v>0</v>
      </c>
      <c r="Y283" s="304">
        <f t="shared" si="18"/>
        <v>220</v>
      </c>
      <c r="Z283" s="376">
        <f t="shared" si="19"/>
        <v>2.9148724743292481E-2</v>
      </c>
      <c r="AA283" s="304">
        <v>220</v>
      </c>
      <c r="AB283" s="304"/>
      <c r="AC283" s="304" t="s">
        <v>628</v>
      </c>
      <c r="AD283" s="436">
        <f>AP307</f>
        <v>1540</v>
      </c>
      <c r="AE283" s="304">
        <f>SUMIF($A$270:$A$304,AC283,$V$270:$V$304)</f>
        <v>1540</v>
      </c>
      <c r="AF283" s="304">
        <f>AD283-AE283</f>
        <v>0</v>
      </c>
      <c r="AG283" s="304" t="b">
        <f>IF(SUMIF($A$270:$A$304,AC283,$F$270:$F$304)=AD283, TRUE, FALSE)</f>
        <v>1</v>
      </c>
      <c r="AL283" s="304" t="s">
        <v>628</v>
      </c>
      <c r="AM283" s="304" t="s">
        <v>767</v>
      </c>
      <c r="AN283" s="304" t="s">
        <v>1549</v>
      </c>
      <c r="AO283" s="304">
        <v>13240.75</v>
      </c>
      <c r="AP283" s="304">
        <v>0</v>
      </c>
      <c r="AQ283" s="304">
        <v>0</v>
      </c>
      <c r="AR283" s="304">
        <v>0</v>
      </c>
      <c r="AS283" s="304">
        <v>13240.75</v>
      </c>
      <c r="AT283" s="304">
        <v>48</v>
      </c>
      <c r="AU283" s="304">
        <v>220</v>
      </c>
    </row>
    <row r="284" spans="1:47" x14ac:dyDescent="0.35">
      <c r="A284" s="148" t="s">
        <v>628</v>
      </c>
      <c r="B284" s="148" t="s">
        <v>790</v>
      </c>
      <c r="C284" s="148" t="s">
        <v>749</v>
      </c>
      <c r="D284" s="304" t="s">
        <v>749</v>
      </c>
      <c r="E284" s="209">
        <f t="shared" si="9"/>
        <v>28197.320301443204</v>
      </c>
      <c r="F284" s="209">
        <f t="shared" si="10"/>
        <v>0</v>
      </c>
      <c r="G284" s="148">
        <v>3512.73</v>
      </c>
      <c r="H284" s="148">
        <v>0</v>
      </c>
      <c r="I284" s="209">
        <f t="shared" si="11"/>
        <v>787.59305210918114</v>
      </c>
      <c r="J284" s="209">
        <f t="shared" si="12"/>
        <v>3331.84</v>
      </c>
      <c r="K284" s="263">
        <f>SUMIF(RE!$B$12:$B$48,$B284,RE!C$12:C$48)</f>
        <v>4794.13</v>
      </c>
      <c r="L284" s="304">
        <f>SUMIF(RE!$B$12:$B$48,$B284,RE!D$12:D$48)-O284</f>
        <v>1633.54</v>
      </c>
      <c r="M284" s="263">
        <f>SUMIF(RE!$B$12:$B$48,$B284,RE!E$12:E$48)+SUMIF(RE!$B$12:$B$48,$B284,RE!F$12:F$48)+SUMIF(RE!$B$12:$B$48,$B284,RE!H$12:H$48)</f>
        <v>2528.69</v>
      </c>
      <c r="N284" s="263">
        <f>SUMIF(RE!$B$12:$B$48,$B284,RE!G$12:G$48)</f>
        <v>375.57</v>
      </c>
      <c r="O284" s="304">
        <v>0</v>
      </c>
      <c r="P284" s="304"/>
      <c r="Q284" s="304">
        <v>690</v>
      </c>
      <c r="R284" s="304">
        <f t="shared" si="13"/>
        <v>0.42803970223325061</v>
      </c>
      <c r="S284" s="304">
        <f t="shared" si="14"/>
        <v>27293.8</v>
      </c>
      <c r="T284" s="376">
        <f t="shared" si="15"/>
        <v>0.38727997181437041</v>
      </c>
      <c r="U284" s="304">
        <v>27293.8</v>
      </c>
      <c r="V284" s="304">
        <f t="shared" si="16"/>
        <v>0</v>
      </c>
      <c r="W284" s="376">
        <f t="shared" si="17"/>
        <v>0</v>
      </c>
      <c r="X284" s="304">
        <v>0</v>
      </c>
      <c r="Y284" s="304">
        <f t="shared" si="18"/>
        <v>3331.84</v>
      </c>
      <c r="Z284" s="376">
        <f t="shared" si="19"/>
        <v>0.44144948658496191</v>
      </c>
      <c r="AA284" s="304">
        <v>3331.84</v>
      </c>
      <c r="AB284" s="304"/>
      <c r="AC284" s="304" t="s">
        <v>1051</v>
      </c>
      <c r="AD284" s="436">
        <f>AP308</f>
        <v>3140</v>
      </c>
      <c r="AE284" s="304">
        <f>SUMIF($A$270:$A$304,AC284,$V$270:$V$304)</f>
        <v>2682</v>
      </c>
      <c r="AF284" s="304">
        <f>AD284-AE284</f>
        <v>458</v>
      </c>
      <c r="AG284" s="304" t="b">
        <f>IF(SUMIF($A$270:$A$304,AC284,$F$270:$F$304)=AD284, TRUE, FALSE)</f>
        <v>1</v>
      </c>
      <c r="AL284" s="304" t="s">
        <v>628</v>
      </c>
      <c r="AM284" s="304" t="s">
        <v>790</v>
      </c>
      <c r="AN284" s="304" t="s">
        <v>1549</v>
      </c>
      <c r="AO284" s="304">
        <v>27293.8</v>
      </c>
      <c r="AP284" s="304">
        <v>0</v>
      </c>
      <c r="AQ284" s="304">
        <v>3512.73</v>
      </c>
      <c r="AR284" s="304">
        <v>0</v>
      </c>
      <c r="AS284" s="304">
        <v>30806.53</v>
      </c>
      <c r="AT284" s="304">
        <v>690</v>
      </c>
      <c r="AU284" s="304">
        <v>3331.84</v>
      </c>
    </row>
    <row r="285" spans="1:47" x14ac:dyDescent="0.35">
      <c r="A285" s="148" t="s">
        <v>628</v>
      </c>
      <c r="B285" s="148" t="s">
        <v>1050</v>
      </c>
      <c r="C285" s="148" t="s">
        <v>1401</v>
      </c>
      <c r="D285" s="304" t="s">
        <v>809</v>
      </c>
      <c r="E285" s="209">
        <f t="shared" si="9"/>
        <v>202.07504455086104</v>
      </c>
      <c r="F285" s="209">
        <f t="shared" si="10"/>
        <v>0</v>
      </c>
      <c r="G285" s="148">
        <v>66.34</v>
      </c>
      <c r="H285" s="148">
        <v>0</v>
      </c>
      <c r="I285" s="209">
        <f t="shared" si="11"/>
        <v>10.272952853598015</v>
      </c>
      <c r="J285" s="209">
        <f t="shared" si="12"/>
        <v>0</v>
      </c>
      <c r="K285" s="263">
        <f>SUMIF(RE!$B$12:$B$48,$B285,RE!C$12:C$48)</f>
        <v>0</v>
      </c>
      <c r="L285" s="304">
        <f>SUMIF(RE!$B$12:$B$48,$B285,RE!D$12:D$48)-O285</f>
        <v>5.4600000000000009</v>
      </c>
      <c r="M285" s="263">
        <f>SUMIF(RE!$B$12:$B$48,$B285,RE!E$12:E$48)+SUMIF(RE!$B$12:$B$48,$B285,RE!F$12:F$48)+SUMIF(RE!$B$12:$B$48,$B285,RE!H$12:H$48)</f>
        <v>0</v>
      </c>
      <c r="N285" s="263">
        <f>SUMIF(RE!$B$12:$B$48,$B285,RE!G$12:G$48)</f>
        <v>0</v>
      </c>
      <c r="O285" s="304">
        <v>0</v>
      </c>
      <c r="P285" s="304"/>
      <c r="Q285" s="304">
        <v>9</v>
      </c>
      <c r="R285" s="304">
        <f t="shared" si="13"/>
        <v>5.5831265508684861E-3</v>
      </c>
      <c r="S285" s="304">
        <f t="shared" si="14"/>
        <v>195.6</v>
      </c>
      <c r="T285" s="376">
        <f t="shared" si="15"/>
        <v>2.7754274775550068E-3</v>
      </c>
      <c r="U285" s="304">
        <v>195.6</v>
      </c>
      <c r="V285" s="304">
        <f t="shared" si="16"/>
        <v>0</v>
      </c>
      <c r="W285" s="376">
        <f t="shared" si="17"/>
        <v>0</v>
      </c>
      <c r="X285" s="304">
        <v>0</v>
      </c>
      <c r="Y285" s="304">
        <f t="shared" si="18"/>
        <v>0</v>
      </c>
      <c r="Z285" s="376">
        <f t="shared" si="19"/>
        <v>0</v>
      </c>
      <c r="AA285" s="304">
        <v>0</v>
      </c>
      <c r="AB285" s="304"/>
      <c r="AC285" s="304" t="s">
        <v>644</v>
      </c>
      <c r="AD285" s="436">
        <f>AP309</f>
        <v>0</v>
      </c>
      <c r="AE285" s="304">
        <f>SUMIF($A$270:$A$304,AC285,$V$270:$V$304)</f>
        <v>0</v>
      </c>
      <c r="AF285" s="304">
        <f>AD285-AE285</f>
        <v>0</v>
      </c>
      <c r="AG285" s="304" t="b">
        <f>IF(SUMIF($A$270:$A$304,AC285,$F$270:$F$304)=AD285, TRUE, FALSE)</f>
        <v>1</v>
      </c>
      <c r="AL285" s="304" t="s">
        <v>628</v>
      </c>
      <c r="AM285" s="304" t="s">
        <v>1050</v>
      </c>
      <c r="AN285" s="304" t="s">
        <v>1549</v>
      </c>
      <c r="AO285" s="304">
        <v>195.6</v>
      </c>
      <c r="AP285" s="304">
        <v>0</v>
      </c>
      <c r="AQ285" s="304">
        <v>66.34</v>
      </c>
      <c r="AR285" s="304">
        <v>0</v>
      </c>
      <c r="AS285" s="304">
        <v>261.94</v>
      </c>
      <c r="AT285" s="304">
        <v>9</v>
      </c>
      <c r="AU285" s="304">
        <v>0</v>
      </c>
    </row>
    <row r="286" spans="1:47" x14ac:dyDescent="0.35">
      <c r="A286" s="148" t="s">
        <v>1051</v>
      </c>
      <c r="B286" s="148" t="s">
        <v>762</v>
      </c>
      <c r="C286" s="148" t="s">
        <v>259</v>
      </c>
      <c r="D286" s="304" t="s">
        <v>259</v>
      </c>
      <c r="E286" s="209">
        <f t="shared" si="9"/>
        <v>10788.125064198834</v>
      </c>
      <c r="F286" s="209">
        <f t="shared" si="10"/>
        <v>149.54220730797914</v>
      </c>
      <c r="G286" s="148">
        <v>4048.58</v>
      </c>
      <c r="H286" s="148">
        <v>36.799999999999997</v>
      </c>
      <c r="I286" s="209">
        <f t="shared" si="11"/>
        <v>147.22522648083623</v>
      </c>
      <c r="J286" s="209">
        <f t="shared" si="12"/>
        <v>1673.6</v>
      </c>
      <c r="K286" s="263">
        <f>SUMIF(RE!$B$12:$B$48,$B286,RE!C$12:C$48)</f>
        <v>4090.45</v>
      </c>
      <c r="L286" s="304">
        <f>SUMIF(RE!$B$12:$B$48,$B286,RE!D$12:D$48)-O286</f>
        <v>3085.6800000000003</v>
      </c>
      <c r="M286" s="263">
        <f>SUMIF(RE!$B$12:$B$48,$B286,RE!E$12:E$48)+SUMIF(RE!$B$12:$B$48,$B286,RE!F$12:F$48)+SUMIF(RE!$B$12:$B$48,$B286,RE!H$12:H$48)</f>
        <v>500.34000000000003</v>
      </c>
      <c r="N286" s="263">
        <f>SUMIF(RE!$B$12:$B$48,$B286,RE!G$12:G$48)</f>
        <v>162.11000000000001</v>
      </c>
      <c r="O286" s="304">
        <v>0</v>
      </c>
      <c r="P286" s="304"/>
      <c r="Q286" s="304">
        <v>127.27</v>
      </c>
      <c r="R286" s="304">
        <f t="shared" si="13"/>
        <v>4.4344947735191639E-2</v>
      </c>
      <c r="S286" s="304">
        <f t="shared" si="14"/>
        <v>10430.709999999999</v>
      </c>
      <c r="T286" s="376">
        <f t="shared" si="15"/>
        <v>0.25064169999918301</v>
      </c>
      <c r="U286" s="304">
        <v>10430.709999999999</v>
      </c>
      <c r="V286" s="304">
        <f t="shared" si="16"/>
        <v>127.73</v>
      </c>
      <c r="W286" s="376">
        <f t="shared" si="17"/>
        <v>4.7624906785980615E-2</v>
      </c>
      <c r="X286" s="304">
        <v>127.73</v>
      </c>
      <c r="Y286" s="304">
        <f t="shared" si="18"/>
        <v>1673.6</v>
      </c>
      <c r="Z286" s="376">
        <f t="shared" si="19"/>
        <v>0.14213368685577626</v>
      </c>
      <c r="AA286" s="304">
        <v>1673.6</v>
      </c>
      <c r="AB286" s="304"/>
      <c r="AC286" s="304" t="s">
        <v>1054</v>
      </c>
      <c r="AD286" s="436">
        <f>AP310</f>
        <v>0</v>
      </c>
      <c r="AE286" s="304">
        <f>SUMIF($A$270:$A$304,AC286,$V$270:$V$304)</f>
        <v>0</v>
      </c>
      <c r="AF286" s="304">
        <f>AD286-AE286</f>
        <v>0</v>
      </c>
      <c r="AG286" s="304" t="b">
        <f>IF(SUMIF($A$270:$A$304,AC286,$F$270:$F$304)=AD286, TRUE, FALSE)</f>
        <v>1</v>
      </c>
      <c r="AL286" s="304" t="s">
        <v>1051</v>
      </c>
      <c r="AM286" s="304" t="s">
        <v>762</v>
      </c>
      <c r="AN286" s="304" t="s">
        <v>1549</v>
      </c>
      <c r="AO286" s="304">
        <v>10430.709999999999</v>
      </c>
      <c r="AP286" s="304">
        <v>127.73</v>
      </c>
      <c r="AQ286" s="304">
        <v>4048.58</v>
      </c>
      <c r="AR286" s="304">
        <v>36.799999999999997</v>
      </c>
      <c r="AS286" s="304">
        <v>14643.82</v>
      </c>
      <c r="AT286" s="304">
        <v>127.27</v>
      </c>
      <c r="AU286" s="304">
        <v>1673.6</v>
      </c>
    </row>
    <row r="287" spans="1:47" x14ac:dyDescent="0.35">
      <c r="A287" s="148" t="s">
        <v>1051</v>
      </c>
      <c r="B287" s="148" t="s">
        <v>803</v>
      </c>
      <c r="C287" s="148" t="s">
        <v>181</v>
      </c>
      <c r="D287" s="304" t="s">
        <v>181</v>
      </c>
      <c r="E287" s="209">
        <f t="shared" si="9"/>
        <v>8510.7651855223048</v>
      </c>
      <c r="F287" s="209">
        <f t="shared" si="10"/>
        <v>174.7605518269948</v>
      </c>
      <c r="G287" s="148">
        <v>831.82</v>
      </c>
      <c r="H287" s="148">
        <v>0</v>
      </c>
      <c r="I287" s="209">
        <f t="shared" si="11"/>
        <v>172.05003484320557</v>
      </c>
      <c r="J287" s="209">
        <f t="shared" si="12"/>
        <v>2479.9299999999998</v>
      </c>
      <c r="K287" s="263">
        <f>SUMIF(RE!$B$12:$B$48,$B287,RE!C$12:C$48)</f>
        <v>128.1</v>
      </c>
      <c r="L287" s="304">
        <f>SUMIF(RE!$B$12:$B$48,$B287,RE!D$12:D$48)-O287</f>
        <v>3592.09</v>
      </c>
      <c r="M287" s="263">
        <f>SUMIF(RE!$B$12:$B$48,$B287,RE!E$12:E$48)+SUMIF(RE!$B$12:$B$48,$B287,RE!F$12:F$48)+SUMIF(RE!$B$12:$B$48,$B287,RE!H$12:H$48)</f>
        <v>177.6</v>
      </c>
      <c r="N287" s="263">
        <f>SUMIF(RE!$B$12:$B$48,$B287,RE!G$12:G$48)</f>
        <v>90.87</v>
      </c>
      <c r="O287" s="304">
        <v>0</v>
      </c>
      <c r="P287" s="304"/>
      <c r="Q287" s="304">
        <v>148.72999999999999</v>
      </c>
      <c r="R287" s="304">
        <f t="shared" si="13"/>
        <v>5.1822299651567941E-2</v>
      </c>
      <c r="S287" s="304">
        <f t="shared" si="14"/>
        <v>8228.7999999999993</v>
      </c>
      <c r="T287" s="376">
        <f t="shared" si="15"/>
        <v>0.19773154664958351</v>
      </c>
      <c r="U287" s="304">
        <v>8228.7999999999993</v>
      </c>
      <c r="V287" s="304">
        <f t="shared" si="16"/>
        <v>149.27000000000001</v>
      </c>
      <c r="W287" s="376">
        <f t="shared" si="17"/>
        <v>5.5656226696495156E-2</v>
      </c>
      <c r="X287" s="304">
        <v>149.27000000000001</v>
      </c>
      <c r="Y287" s="304">
        <f t="shared" si="18"/>
        <v>2479.9299999999998</v>
      </c>
      <c r="Z287" s="376">
        <f t="shared" si="19"/>
        <v>0.21061280714880812</v>
      </c>
      <c r="AA287" s="304">
        <v>2479.9299999999998</v>
      </c>
      <c r="AB287" s="304"/>
      <c r="AC287" s="304" t="s">
        <v>308</v>
      </c>
      <c r="AD287" s="304" t="s">
        <v>41</v>
      </c>
      <c r="AE287" s="304" t="s">
        <v>1529</v>
      </c>
      <c r="AF287" s="304" t="s">
        <v>1530</v>
      </c>
      <c r="AG287" s="304" t="s">
        <v>1469</v>
      </c>
      <c r="AL287" s="304" t="s">
        <v>1051</v>
      </c>
      <c r="AM287" s="304" t="s">
        <v>803</v>
      </c>
      <c r="AN287" s="304" t="s">
        <v>1549</v>
      </c>
      <c r="AO287" s="304">
        <v>8228.7999999999993</v>
      </c>
      <c r="AP287" s="304">
        <v>149.27000000000001</v>
      </c>
      <c r="AQ287" s="304">
        <v>831.82</v>
      </c>
      <c r="AR287" s="304">
        <v>0</v>
      </c>
      <c r="AS287" s="304">
        <v>9209.89</v>
      </c>
      <c r="AT287" s="304">
        <v>148.72999999999999</v>
      </c>
      <c r="AU287" s="304">
        <v>2479.9299999999998</v>
      </c>
    </row>
    <row r="288" spans="1:47" x14ac:dyDescent="0.35">
      <c r="A288" s="148" t="s">
        <v>1051</v>
      </c>
      <c r="B288" s="148" t="s">
        <v>783</v>
      </c>
      <c r="C288" s="148" t="s">
        <v>784</v>
      </c>
      <c r="D288" s="304" t="s">
        <v>784</v>
      </c>
      <c r="E288" s="209">
        <f t="shared" si="9"/>
        <v>9728.6129890844913</v>
      </c>
      <c r="F288" s="209">
        <f t="shared" si="10"/>
        <v>469.94630872483219</v>
      </c>
      <c r="G288" s="148">
        <v>0</v>
      </c>
      <c r="H288" s="148">
        <v>153.12</v>
      </c>
      <c r="I288" s="209">
        <f t="shared" si="11"/>
        <v>807.44250871080135</v>
      </c>
      <c r="J288" s="209">
        <f t="shared" si="12"/>
        <v>3586.6</v>
      </c>
      <c r="K288" s="263">
        <f>SUMIF(RE!$B$12:$B$48,$B288,RE!C$12:C$48)</f>
        <v>4694.8999999999996</v>
      </c>
      <c r="L288" s="304">
        <f>SUMIF(RE!$B$12:$B$48,$B288,RE!D$12:D$48)-O288</f>
        <v>6095.56</v>
      </c>
      <c r="M288" s="263">
        <f>SUMIF(RE!$B$12:$B$48,$B288,RE!E$12:E$48)+SUMIF(RE!$B$12:$B$48,$B288,RE!F$12:F$48)+SUMIF(RE!$B$12:$B$48,$B288,RE!H$12:H$48)</f>
        <v>1799.8</v>
      </c>
      <c r="N288" s="263">
        <f>SUMIF(RE!$B$12:$B$48,$B288,RE!G$12:G$48)</f>
        <v>1254.73</v>
      </c>
      <c r="O288" s="304">
        <v>0</v>
      </c>
      <c r="P288" s="304"/>
      <c r="Q288" s="304">
        <v>698</v>
      </c>
      <c r="R288" s="304">
        <f t="shared" si="13"/>
        <v>0.24320557491289199</v>
      </c>
      <c r="S288" s="304">
        <f t="shared" si="14"/>
        <v>9406.2999999999993</v>
      </c>
      <c r="T288" s="376">
        <f t="shared" si="15"/>
        <v>0.22602593904943336</v>
      </c>
      <c r="U288" s="304">
        <v>9406.2999999999993</v>
      </c>
      <c r="V288" s="304">
        <f t="shared" si="16"/>
        <v>401.4</v>
      </c>
      <c r="W288" s="376">
        <f t="shared" si="17"/>
        <v>0.14966442953020134</v>
      </c>
      <c r="X288" s="304">
        <v>401.4</v>
      </c>
      <c r="Y288" s="304">
        <f t="shared" si="18"/>
        <v>3586.6</v>
      </c>
      <c r="Z288" s="376">
        <f t="shared" si="19"/>
        <v>0.30459887743602249</v>
      </c>
      <c r="AA288" s="304">
        <v>3586.6</v>
      </c>
      <c r="AB288" s="304"/>
      <c r="AC288" s="304" t="s">
        <v>1046</v>
      </c>
      <c r="AD288" s="436">
        <f>AU306</f>
        <v>19707.77</v>
      </c>
      <c r="AE288" s="304">
        <f>SUMIF($A$270:$A$304,AC288,$Y$270:$Y$304)</f>
        <v>18956.309999999998</v>
      </c>
      <c r="AF288" s="304">
        <f>AD288-AE288</f>
        <v>751.46000000000276</v>
      </c>
      <c r="AG288" s="304" t="b">
        <f>IF(SUMIF($A$270:$A$304,AC288,$J$270:$J$304)=AD288, TRUE, FALSE)</f>
        <v>1</v>
      </c>
      <c r="AL288" s="304" t="s">
        <v>1051</v>
      </c>
      <c r="AM288" s="304" t="s">
        <v>783</v>
      </c>
      <c r="AN288" s="304" t="s">
        <v>1549</v>
      </c>
      <c r="AO288" s="304">
        <v>9406.2999999999993</v>
      </c>
      <c r="AP288" s="304">
        <v>401.4</v>
      </c>
      <c r="AQ288" s="304">
        <v>0</v>
      </c>
      <c r="AR288" s="304">
        <v>153.12</v>
      </c>
      <c r="AS288" s="304">
        <v>9960.82</v>
      </c>
      <c r="AT288" s="304">
        <v>698</v>
      </c>
      <c r="AU288" s="304">
        <v>3586.6</v>
      </c>
    </row>
    <row r="289" spans="1:47" x14ac:dyDescent="0.35">
      <c r="A289" s="148" t="s">
        <v>1051</v>
      </c>
      <c r="B289" s="148" t="s">
        <v>786</v>
      </c>
      <c r="C289" s="148" t="s">
        <v>787</v>
      </c>
      <c r="D289" s="304" t="s">
        <v>787</v>
      </c>
      <c r="E289" s="209">
        <f t="shared" si="9"/>
        <v>1527.0104918346349</v>
      </c>
      <c r="F289" s="209">
        <f t="shared" si="10"/>
        <v>329.92244593586878</v>
      </c>
      <c r="G289" s="148">
        <v>533.58000000000004</v>
      </c>
      <c r="H289" s="148">
        <v>159.96</v>
      </c>
      <c r="I289" s="209">
        <f t="shared" si="11"/>
        <v>418.75958188153311</v>
      </c>
      <c r="J289" s="209">
        <f t="shared" si="12"/>
        <v>1856.5</v>
      </c>
      <c r="K289" s="263">
        <f>SUMIF(RE!$B$12:$B$48,$B289,RE!C$12:C$48)</f>
        <v>52.5</v>
      </c>
      <c r="L289" s="304">
        <f>SUMIF(RE!$B$12:$B$48,$B289,RE!D$12:D$48)-O289</f>
        <v>138.59</v>
      </c>
      <c r="M289" s="263">
        <f>SUMIF(RE!$B$12:$B$48,$B289,RE!E$12:E$48)+SUMIF(RE!$B$12:$B$48,$B289,RE!F$12:F$48)+SUMIF(RE!$B$12:$B$48,$B289,RE!H$12:H$48)</f>
        <v>0.72</v>
      </c>
      <c r="N289" s="263">
        <f>SUMIF(RE!$B$12:$B$48,$B289,RE!G$12:G$48)</f>
        <v>222.02</v>
      </c>
      <c r="O289" s="304">
        <v>0</v>
      </c>
      <c r="P289" s="304"/>
      <c r="Q289" s="304">
        <v>362</v>
      </c>
      <c r="R289" s="304">
        <f t="shared" si="13"/>
        <v>0.12613240418118468</v>
      </c>
      <c r="S289" s="304">
        <f t="shared" si="14"/>
        <v>1476.42</v>
      </c>
      <c r="T289" s="376">
        <f t="shared" si="15"/>
        <v>3.5477203250094562E-2</v>
      </c>
      <c r="U289" s="304">
        <v>1476.42</v>
      </c>
      <c r="V289" s="304">
        <f t="shared" si="16"/>
        <v>281.8</v>
      </c>
      <c r="W289" s="376">
        <f t="shared" si="17"/>
        <v>0.10507084265473528</v>
      </c>
      <c r="X289" s="304">
        <v>281.8</v>
      </c>
      <c r="Y289" s="304">
        <f t="shared" si="18"/>
        <v>1856.5</v>
      </c>
      <c r="Z289" s="376">
        <f t="shared" si="19"/>
        <v>0.15766681981820546</v>
      </c>
      <c r="AA289" s="304">
        <v>1856.5</v>
      </c>
      <c r="AB289" s="304"/>
      <c r="AC289" s="304" t="s">
        <v>628</v>
      </c>
      <c r="AD289" s="436">
        <f>AU307</f>
        <v>7547.5</v>
      </c>
      <c r="AE289" s="304">
        <f>SUMIF($A$270:$A$304,AC289,$Y$270:$Y$304)</f>
        <v>7547.5</v>
      </c>
      <c r="AF289" s="304">
        <f>AD289-AE289</f>
        <v>0</v>
      </c>
      <c r="AG289" s="304" t="b">
        <f>IF(SUMIF($A$270:$A$304,AC289,$J$270:$J$304)=AD289, TRUE, FALSE)</f>
        <v>1</v>
      </c>
      <c r="AL289" s="304" t="s">
        <v>1051</v>
      </c>
      <c r="AM289" s="304" t="s">
        <v>786</v>
      </c>
      <c r="AN289" s="304" t="s">
        <v>1549</v>
      </c>
      <c r="AO289" s="304">
        <v>1476.42</v>
      </c>
      <c r="AP289" s="304">
        <v>281.8</v>
      </c>
      <c r="AQ289" s="304">
        <v>533.58000000000004</v>
      </c>
      <c r="AR289" s="304">
        <v>159.96</v>
      </c>
      <c r="AS289" s="304">
        <v>2451.7600000000002</v>
      </c>
      <c r="AT289" s="304">
        <v>362</v>
      </c>
      <c r="AU289" s="304">
        <v>1856.5</v>
      </c>
    </row>
    <row r="290" spans="1:47" x14ac:dyDescent="0.35">
      <c r="A290" s="148" t="s">
        <v>1051</v>
      </c>
      <c r="B290" s="148" t="s">
        <v>802</v>
      </c>
      <c r="C290" s="148" t="s">
        <v>788</v>
      </c>
      <c r="D290" s="304" t="s">
        <v>788</v>
      </c>
      <c r="E290" s="209">
        <f t="shared" si="9"/>
        <v>12341.881665757561</v>
      </c>
      <c r="F290" s="209">
        <f t="shared" si="10"/>
        <v>1889.8538404175988</v>
      </c>
      <c r="G290" s="148">
        <v>1027.18</v>
      </c>
      <c r="H290" s="148">
        <v>211.7</v>
      </c>
      <c r="I290" s="209">
        <f t="shared" si="11"/>
        <v>1675.0383275261324</v>
      </c>
      <c r="J290" s="209">
        <f t="shared" si="12"/>
        <v>2178.1999999999998</v>
      </c>
      <c r="K290" s="263">
        <f>SUMIF(RE!$B$12:$B$48,$B290,RE!C$12:C$48)</f>
        <v>8968.9050000000007</v>
      </c>
      <c r="L290" s="304">
        <f>SUMIF(RE!$B$12:$B$48,$B290,RE!D$12:D$48)-O290</f>
        <v>2575.2199999999998</v>
      </c>
      <c r="M290" s="263">
        <f>SUMIF(RE!$B$12:$B$48,$B290,RE!E$12:E$48)+SUMIF(RE!$B$12:$B$48,$B290,RE!F$12:F$48)+SUMIF(RE!$B$12:$B$48,$B290,RE!H$12:H$48)</f>
        <v>1003.9499999999999</v>
      </c>
      <c r="N290" s="263">
        <f>SUMIF(RE!$B$12:$B$48,$B290,RE!G$12:G$48)</f>
        <v>123.05</v>
      </c>
      <c r="O290" s="304">
        <v>0</v>
      </c>
      <c r="P290" s="304"/>
      <c r="Q290" s="304">
        <v>1448</v>
      </c>
      <c r="R290" s="304">
        <f t="shared" si="13"/>
        <v>0.50452961672473873</v>
      </c>
      <c r="S290" s="304">
        <f t="shared" si="14"/>
        <v>11932.99</v>
      </c>
      <c r="T290" s="376">
        <f t="shared" si="15"/>
        <v>0.28674029856771505</v>
      </c>
      <c r="U290" s="304">
        <v>11932.99</v>
      </c>
      <c r="V290" s="304">
        <f t="shared" si="16"/>
        <v>1614.2</v>
      </c>
      <c r="W290" s="376">
        <f t="shared" si="17"/>
        <v>0.60186428038777029</v>
      </c>
      <c r="X290" s="304">
        <v>1614.2</v>
      </c>
      <c r="Y290" s="304">
        <f t="shared" si="18"/>
        <v>2178.1999999999998</v>
      </c>
      <c r="Z290" s="376">
        <f t="shared" si="19"/>
        <v>0.18498780874118778</v>
      </c>
      <c r="AA290" s="304">
        <v>2178.1999999999998</v>
      </c>
      <c r="AB290" s="304"/>
      <c r="AC290" s="304" t="s">
        <v>1051</v>
      </c>
      <c r="AD290" s="436">
        <f>AU308</f>
        <v>11774.83</v>
      </c>
      <c r="AE290" s="304">
        <f>SUMIF($A$270:$A$304,AC290,$Y$270:$Y$304)</f>
        <v>11774.829999999998</v>
      </c>
      <c r="AF290" s="304">
        <f>AD290-AE290</f>
        <v>0</v>
      </c>
      <c r="AG290" s="304" t="b">
        <f>IF(SUMIF($A$270:$A$304,AC290,$J$270:$J$304)=AD290, TRUE, FALSE)</f>
        <v>1</v>
      </c>
      <c r="AL290" s="304" t="s">
        <v>1051</v>
      </c>
      <c r="AM290" s="304" t="s">
        <v>802</v>
      </c>
      <c r="AN290" s="304" t="s">
        <v>1549</v>
      </c>
      <c r="AO290" s="304">
        <v>11932.99</v>
      </c>
      <c r="AP290" s="304">
        <v>1614.2</v>
      </c>
      <c r="AQ290" s="304">
        <v>1027.18</v>
      </c>
      <c r="AR290" s="304">
        <v>211.7</v>
      </c>
      <c r="AS290" s="304">
        <v>14786.07</v>
      </c>
      <c r="AT290" s="304">
        <v>1448</v>
      </c>
      <c r="AU290" s="304">
        <v>2178.1999999999998</v>
      </c>
    </row>
    <row r="291" spans="1:47" x14ac:dyDescent="0.35">
      <c r="A291" s="148" t="s">
        <v>1051</v>
      </c>
      <c r="B291" s="148" t="s">
        <v>1052</v>
      </c>
      <c r="C291" s="148" t="s">
        <v>1397</v>
      </c>
      <c r="D291" s="304" t="s">
        <v>809</v>
      </c>
      <c r="E291" s="209">
        <f t="shared" si="9"/>
        <v>145.62460360217051</v>
      </c>
      <c r="F291" s="209">
        <f t="shared" si="10"/>
        <v>125.97464578672631</v>
      </c>
      <c r="G291" s="148">
        <v>32.5</v>
      </c>
      <c r="H291" s="148">
        <v>0</v>
      </c>
      <c r="I291" s="209">
        <f t="shared" si="11"/>
        <v>99.484320557491287</v>
      </c>
      <c r="J291" s="209">
        <f t="shared" si="12"/>
        <v>0</v>
      </c>
      <c r="K291" s="263">
        <f>SUMIF(RE!$B$12:$B$48,$B291,RE!C$12:C$48)</f>
        <v>0</v>
      </c>
      <c r="L291" s="304">
        <f>SUMIF(RE!$B$12:$B$48,$B291,RE!D$12:D$48)-O291</f>
        <v>3.1399999999999997</v>
      </c>
      <c r="M291" s="263">
        <f>SUMIF(RE!$B$12:$B$48,$B291,RE!E$12:E$48)+SUMIF(RE!$B$12:$B$48,$B291,RE!F$12:F$48)+SUMIF(RE!$B$12:$B$48,$B291,RE!H$12:H$48)</f>
        <v>0</v>
      </c>
      <c r="N291" s="263">
        <f>SUMIF(RE!$B$12:$B$48,$B291,RE!G$12:G$48)</f>
        <v>0</v>
      </c>
      <c r="O291" s="304">
        <v>0</v>
      </c>
      <c r="P291" s="304"/>
      <c r="Q291" s="304">
        <v>86</v>
      </c>
      <c r="R291" s="304">
        <f t="shared" si="13"/>
        <v>2.9965156794425088E-2</v>
      </c>
      <c r="S291" s="304">
        <f t="shared" si="14"/>
        <v>140.80000000000001</v>
      </c>
      <c r="T291" s="376">
        <f t="shared" si="15"/>
        <v>3.3833124839905407E-3</v>
      </c>
      <c r="U291" s="304">
        <v>140.80000000000001</v>
      </c>
      <c r="V291" s="304">
        <f t="shared" si="16"/>
        <v>107.6</v>
      </c>
      <c r="W291" s="376">
        <f t="shared" si="17"/>
        <v>4.0119313944817298E-2</v>
      </c>
      <c r="X291" s="304">
        <v>107.6</v>
      </c>
      <c r="Y291" s="304">
        <f t="shared" si="18"/>
        <v>0</v>
      </c>
      <c r="Z291" s="376">
        <f t="shared" si="19"/>
        <v>0</v>
      </c>
      <c r="AA291" s="304">
        <v>0</v>
      </c>
      <c r="AB291" s="304"/>
      <c r="AC291" s="304" t="s">
        <v>644</v>
      </c>
      <c r="AD291" s="436">
        <f>AU309</f>
        <v>4942.12</v>
      </c>
      <c r="AE291" s="304">
        <f>SUMIF($A$270:$A$304,AC291,$Y$270:$Y$304)</f>
        <v>4857.12</v>
      </c>
      <c r="AF291" s="304">
        <f>AD291-AE291</f>
        <v>85</v>
      </c>
      <c r="AG291" s="304" t="b">
        <f>IF(SUMIF($A$270:$A$304,AC291,$J$270:$J$304)=AD291, TRUE, FALSE)</f>
        <v>1</v>
      </c>
      <c r="AL291" s="304" t="s">
        <v>1051</v>
      </c>
      <c r="AM291" s="304" t="s">
        <v>1182</v>
      </c>
      <c r="AN291" s="304" t="s">
        <v>1549</v>
      </c>
      <c r="AO291" s="304">
        <v>0</v>
      </c>
      <c r="AP291" s="304">
        <v>100</v>
      </c>
      <c r="AQ291" s="304">
        <v>0</v>
      </c>
      <c r="AR291" s="304">
        <v>0</v>
      </c>
      <c r="AS291" s="304">
        <v>100</v>
      </c>
      <c r="AT291" s="304">
        <v>0</v>
      </c>
      <c r="AU291" s="304">
        <v>0</v>
      </c>
    </row>
    <row r="292" spans="1:47" x14ac:dyDescent="0.35">
      <c r="A292" s="148" t="s">
        <v>644</v>
      </c>
      <c r="B292" s="148" t="s">
        <v>766</v>
      </c>
      <c r="C292" s="148" t="s">
        <v>260</v>
      </c>
      <c r="D292" s="304" t="s">
        <v>260</v>
      </c>
      <c r="E292" s="209">
        <f t="shared" si="9"/>
        <v>4307.047672106075</v>
      </c>
      <c r="F292" s="209">
        <f t="shared" si="10"/>
        <v>0</v>
      </c>
      <c r="G292" s="148">
        <v>0</v>
      </c>
      <c r="H292" s="148">
        <v>0</v>
      </c>
      <c r="I292" s="209">
        <f t="shared" si="11"/>
        <v>0</v>
      </c>
      <c r="J292" s="209">
        <f t="shared" si="12"/>
        <v>111.92500905886615</v>
      </c>
      <c r="K292" s="263">
        <f>SUMIF(RE!$B$12:$B$48,$B292,RE!C$12:C$48)</f>
        <v>0</v>
      </c>
      <c r="L292" s="304">
        <f>SUMIF(RE!$B$12:$B$48,$B292,RE!D$12:D$48)-O292</f>
        <v>142.45000000000002</v>
      </c>
      <c r="M292" s="263">
        <f>SUMIF(RE!$B$12:$B$48,$B292,RE!E$12:E$48)+SUMIF(RE!$B$12:$B$48,$B292,RE!F$12:F$48)+SUMIF(RE!$B$12:$B$48,$B292,RE!H$12:H$48)</f>
        <v>121.2</v>
      </c>
      <c r="N292" s="263">
        <f>SUMIF(RE!$B$12:$B$48,$B292,RE!G$12:G$48)</f>
        <v>70.7</v>
      </c>
      <c r="O292" s="304">
        <v>0</v>
      </c>
      <c r="P292" s="304"/>
      <c r="Q292" s="304">
        <v>0</v>
      </c>
      <c r="R292" s="304">
        <f t="shared" si="13"/>
        <v>0</v>
      </c>
      <c r="S292" s="304">
        <f t="shared" si="14"/>
        <v>4130.33</v>
      </c>
      <c r="T292" s="376">
        <f t="shared" si="15"/>
        <v>0.15682726951365789</v>
      </c>
      <c r="U292" s="304">
        <v>4130.33</v>
      </c>
      <c r="V292" s="304">
        <f t="shared" si="16"/>
        <v>0</v>
      </c>
      <c r="W292" s="376">
        <f t="shared" si="17"/>
        <v>0</v>
      </c>
      <c r="X292" s="304">
        <v>0</v>
      </c>
      <c r="Y292" s="304">
        <f t="shared" si="18"/>
        <v>110</v>
      </c>
      <c r="Z292" s="376">
        <f t="shared" si="19"/>
        <v>2.2647165398425404E-2</v>
      </c>
      <c r="AA292" s="304">
        <v>110</v>
      </c>
      <c r="AB292" s="304"/>
      <c r="AC292" s="304" t="s">
        <v>1054</v>
      </c>
      <c r="AD292" s="436">
        <f>AU310</f>
        <v>1427</v>
      </c>
      <c r="AE292" s="304">
        <f>SUMIF($A$270:$A$304,AC292,$Y$270:$Y$304)</f>
        <v>1286.9999999999998</v>
      </c>
      <c r="AF292" s="304">
        <f>AD292-AE292</f>
        <v>140.00000000000023</v>
      </c>
      <c r="AG292" s="304" t="b">
        <f>IF(SUMIF($A$270:$A$304,AC292,$J$270:$J$304)=AD292, TRUE, FALSE)</f>
        <v>1</v>
      </c>
      <c r="AL292" s="304" t="s">
        <v>1051</v>
      </c>
      <c r="AM292" s="304" t="s">
        <v>1052</v>
      </c>
      <c r="AN292" s="304" t="s">
        <v>1549</v>
      </c>
      <c r="AO292" s="304">
        <v>140.80000000000001</v>
      </c>
      <c r="AP292" s="304">
        <v>107.6</v>
      </c>
      <c r="AQ292" s="304">
        <v>32.5</v>
      </c>
      <c r="AR292" s="304">
        <v>0</v>
      </c>
      <c r="AS292" s="304">
        <v>280.89999999999998</v>
      </c>
      <c r="AT292" s="304">
        <v>86</v>
      </c>
      <c r="AU292" s="304">
        <v>0</v>
      </c>
    </row>
    <row r="293" spans="1:47" x14ac:dyDescent="0.35">
      <c r="A293" s="148" t="s">
        <v>644</v>
      </c>
      <c r="B293" s="148" t="s">
        <v>781</v>
      </c>
      <c r="C293" s="148" t="s">
        <v>782</v>
      </c>
      <c r="D293" s="304" t="s">
        <v>782</v>
      </c>
      <c r="E293" s="209">
        <f t="shared" si="9"/>
        <v>1609.7894776778207</v>
      </c>
      <c r="F293" s="209">
        <f t="shared" si="10"/>
        <v>0</v>
      </c>
      <c r="G293" s="148">
        <v>0</v>
      </c>
      <c r="H293" s="148">
        <v>0</v>
      </c>
      <c r="I293" s="209">
        <f t="shared" si="11"/>
        <v>0</v>
      </c>
      <c r="J293" s="209">
        <f t="shared" si="12"/>
        <v>194.3425157294858</v>
      </c>
      <c r="K293" s="263">
        <f>SUMIF(RE!$B$12:$B$48,$B293,RE!C$12:C$48)</f>
        <v>0</v>
      </c>
      <c r="L293" s="304">
        <f>SUMIF(RE!$B$12:$B$48,$B293,RE!D$12:D$48)-O293</f>
        <v>34.950000000000003</v>
      </c>
      <c r="M293" s="263">
        <f>SUMIF(RE!$B$12:$B$48,$B293,RE!E$12:E$48)+SUMIF(RE!$B$12:$B$48,$B293,RE!F$12:F$48)+SUMIF(RE!$B$12:$B$48,$B293,RE!H$12:H$48)</f>
        <v>4.3</v>
      </c>
      <c r="N293" s="263">
        <f>SUMIF(RE!$B$12:$B$48,$B293,RE!G$12:G$48)</f>
        <v>4.05</v>
      </c>
      <c r="O293" s="304">
        <v>0</v>
      </c>
      <c r="P293" s="304"/>
      <c r="Q293" s="304">
        <v>0</v>
      </c>
      <c r="R293" s="304">
        <f t="shared" si="13"/>
        <v>0</v>
      </c>
      <c r="S293" s="304">
        <f t="shared" si="14"/>
        <v>1543.74</v>
      </c>
      <c r="T293" s="376">
        <f t="shared" si="15"/>
        <v>5.8615299271248117E-2</v>
      </c>
      <c r="U293" s="304">
        <v>1543.74</v>
      </c>
      <c r="V293" s="304">
        <f t="shared" si="16"/>
        <v>0</v>
      </c>
      <c r="W293" s="376">
        <f t="shared" si="17"/>
        <v>0</v>
      </c>
      <c r="X293" s="304">
        <v>0</v>
      </c>
      <c r="Y293" s="304">
        <f t="shared" si="18"/>
        <v>191</v>
      </c>
      <c r="Z293" s="376">
        <f t="shared" si="19"/>
        <v>3.932371446453866E-2</v>
      </c>
      <c r="AA293" s="304">
        <v>191</v>
      </c>
      <c r="AB293" s="304"/>
      <c r="AL293" s="304" t="s">
        <v>644</v>
      </c>
      <c r="AM293" s="304" t="s">
        <v>766</v>
      </c>
      <c r="AN293" s="304" t="s">
        <v>1549</v>
      </c>
      <c r="AO293" s="304">
        <v>4130.33</v>
      </c>
      <c r="AP293" s="304">
        <v>0</v>
      </c>
      <c r="AQ293" s="304">
        <v>0</v>
      </c>
      <c r="AR293" s="304">
        <v>0</v>
      </c>
      <c r="AS293" s="304">
        <v>4130.33</v>
      </c>
      <c r="AT293" s="304">
        <v>0</v>
      </c>
      <c r="AU293" s="304">
        <v>110</v>
      </c>
    </row>
    <row r="294" spans="1:47" x14ac:dyDescent="0.35">
      <c r="A294" s="148" t="s">
        <v>644</v>
      </c>
      <c r="B294" s="148" t="s">
        <v>808</v>
      </c>
      <c r="C294" s="148" t="s">
        <v>797</v>
      </c>
      <c r="D294" s="304" t="s">
        <v>797</v>
      </c>
      <c r="E294" s="209">
        <f t="shared" si="9"/>
        <v>8965.628718238846</v>
      </c>
      <c r="F294" s="209">
        <f t="shared" si="10"/>
        <v>0</v>
      </c>
      <c r="G294" s="148">
        <v>100</v>
      </c>
      <c r="H294" s="148">
        <v>0</v>
      </c>
      <c r="I294" s="209">
        <f t="shared" si="11"/>
        <v>0</v>
      </c>
      <c r="J294" s="209">
        <f t="shared" si="12"/>
        <v>1420.430114965247</v>
      </c>
      <c r="K294" s="263">
        <f>SUMIF(RE!$B$12:$B$48,$B294,RE!C$12:C$48)</f>
        <v>0</v>
      </c>
      <c r="L294" s="304">
        <f>SUMIF(RE!$B$12:$B$48,$B294,RE!D$12:D$48)-O294</f>
        <v>75.95</v>
      </c>
      <c r="M294" s="263">
        <f>SUMIF(RE!$B$12:$B$48,$B294,RE!E$12:E$48)+SUMIF(RE!$B$12:$B$48,$B294,RE!F$12:F$48)+SUMIF(RE!$B$12:$B$48,$B294,RE!H$12:H$48)</f>
        <v>319.92</v>
      </c>
      <c r="N294" s="263">
        <f>SUMIF(RE!$B$12:$B$48,$B294,RE!G$12:G$48)</f>
        <v>98.5</v>
      </c>
      <c r="O294" s="304">
        <v>0</v>
      </c>
      <c r="P294" s="304"/>
      <c r="Q294" s="304">
        <v>0</v>
      </c>
      <c r="R294" s="304">
        <f t="shared" si="13"/>
        <v>0</v>
      </c>
      <c r="S294" s="304">
        <f t="shared" si="14"/>
        <v>8597.77</v>
      </c>
      <c r="T294" s="376">
        <f t="shared" si="15"/>
        <v>0.32645449467874055</v>
      </c>
      <c r="U294" s="304">
        <v>8597.77</v>
      </c>
      <c r="V294" s="304">
        <f t="shared" si="16"/>
        <v>0</v>
      </c>
      <c r="W294" s="376">
        <f t="shared" si="17"/>
        <v>0</v>
      </c>
      <c r="X294" s="304">
        <v>0</v>
      </c>
      <c r="Y294" s="304">
        <f t="shared" si="18"/>
        <v>1396</v>
      </c>
      <c r="Z294" s="376">
        <f t="shared" si="19"/>
        <v>0.28741311723819879</v>
      </c>
      <c r="AA294" s="304">
        <v>1396</v>
      </c>
      <c r="AB294" s="304"/>
      <c r="AL294" s="304" t="s">
        <v>644</v>
      </c>
      <c r="AM294" s="304" t="s">
        <v>781</v>
      </c>
      <c r="AN294" s="304" t="s">
        <v>1549</v>
      </c>
      <c r="AO294" s="304">
        <v>1543.74</v>
      </c>
      <c r="AP294" s="304">
        <v>0</v>
      </c>
      <c r="AQ294" s="304">
        <v>0</v>
      </c>
      <c r="AR294" s="304">
        <v>0</v>
      </c>
      <c r="AS294" s="304">
        <v>1543.74</v>
      </c>
      <c r="AT294" s="304">
        <v>0</v>
      </c>
      <c r="AU294" s="304">
        <v>191</v>
      </c>
    </row>
    <row r="295" spans="1:47" x14ac:dyDescent="0.35">
      <c r="A295" s="148" t="s">
        <v>644</v>
      </c>
      <c r="B295" s="149" t="s">
        <v>688</v>
      </c>
      <c r="C295" s="148" t="s">
        <v>797</v>
      </c>
      <c r="D295" s="304" t="s">
        <v>797</v>
      </c>
      <c r="E295" s="209">
        <f t="shared" si="9"/>
        <v>7283.8974783050799</v>
      </c>
      <c r="F295" s="209">
        <f t="shared" si="10"/>
        <v>0</v>
      </c>
      <c r="G295" s="148">
        <v>0</v>
      </c>
      <c r="H295" s="148">
        <v>0</v>
      </c>
      <c r="I295" s="209">
        <f t="shared" si="11"/>
        <v>0</v>
      </c>
      <c r="J295" s="209">
        <f t="shared" si="12"/>
        <v>189.4585153341898</v>
      </c>
      <c r="K295" s="263">
        <f>SUMIF(RE!$B$12:$B$48,$B295,RE!C$12:C$48)</f>
        <v>0</v>
      </c>
      <c r="L295" s="304">
        <f>SUMIF(RE!$B$12:$B$48,$B295,RE!D$12:D$48)-O295</f>
        <v>0</v>
      </c>
      <c r="M295" s="263">
        <f>SUMIF(RE!$B$12:$B$48,$B295,RE!E$12:E$48)+SUMIF(RE!$B$12:$B$48,$B295,RE!F$12:F$48)+SUMIF(RE!$B$12:$B$48,$B295,RE!H$12:H$48)</f>
        <v>0</v>
      </c>
      <c r="N295" s="263">
        <f>SUMIF(RE!$B$12:$B$48,$B295,RE!G$12:G$48)</f>
        <v>0</v>
      </c>
      <c r="O295" s="304">
        <v>0</v>
      </c>
      <c r="P295" s="304"/>
      <c r="Q295" s="304">
        <v>0</v>
      </c>
      <c r="R295" s="304">
        <f t="shared" si="13"/>
        <v>0</v>
      </c>
      <c r="S295" s="304">
        <f t="shared" si="14"/>
        <v>6985.04</v>
      </c>
      <c r="T295" s="376">
        <f t="shared" si="15"/>
        <v>0.2652196678337278</v>
      </c>
      <c r="U295" s="304">
        <v>6985.04</v>
      </c>
      <c r="V295" s="304">
        <f t="shared" si="16"/>
        <v>0</v>
      </c>
      <c r="W295" s="376">
        <f t="shared" si="17"/>
        <v>0</v>
      </c>
      <c r="X295" s="304">
        <v>0</v>
      </c>
      <c r="Y295" s="304">
        <f t="shared" si="18"/>
        <v>186.2</v>
      </c>
      <c r="Z295" s="376">
        <f t="shared" si="19"/>
        <v>3.8335474519880092E-2</v>
      </c>
      <c r="AA295" s="304">
        <v>186.2</v>
      </c>
      <c r="AB295" s="304"/>
      <c r="AL295" s="304" t="s">
        <v>644</v>
      </c>
      <c r="AM295" s="304" t="s">
        <v>808</v>
      </c>
      <c r="AN295" s="304" t="s">
        <v>1549</v>
      </c>
      <c r="AO295" s="304">
        <v>8597.77</v>
      </c>
      <c r="AP295" s="304">
        <v>0</v>
      </c>
      <c r="AQ295" s="304">
        <v>100</v>
      </c>
      <c r="AR295" s="304">
        <v>0</v>
      </c>
      <c r="AS295" s="304">
        <v>8697.77</v>
      </c>
      <c r="AT295" s="304">
        <v>0</v>
      </c>
      <c r="AU295" s="304">
        <v>1396</v>
      </c>
    </row>
    <row r="296" spans="1:47" x14ac:dyDescent="0.35">
      <c r="A296" s="148" t="s">
        <v>644</v>
      </c>
      <c r="B296" s="148" t="s">
        <v>795</v>
      </c>
      <c r="C296" s="148" t="s">
        <v>796</v>
      </c>
      <c r="D296" s="304" t="s">
        <v>796</v>
      </c>
      <c r="E296" s="209">
        <f t="shared" si="9"/>
        <v>5206.5230434513524</v>
      </c>
      <c r="F296" s="209">
        <f t="shared" si="10"/>
        <v>0</v>
      </c>
      <c r="G296" s="148">
        <v>0</v>
      </c>
      <c r="H296" s="148">
        <v>0</v>
      </c>
      <c r="I296" s="209">
        <f t="shared" si="11"/>
        <v>0</v>
      </c>
      <c r="J296" s="209">
        <f t="shared" si="12"/>
        <v>2188.5612771354217</v>
      </c>
      <c r="K296" s="263">
        <f>SUMIF(RE!$B$12:$B$48,$B296,RE!C$12:C$48)</f>
        <v>0</v>
      </c>
      <c r="L296" s="304">
        <f>SUMIF(RE!$B$12:$B$48,$B296,RE!D$12:D$48)-O296</f>
        <v>394.73</v>
      </c>
      <c r="M296" s="263">
        <f>SUMIF(RE!$B$12:$B$48,$B296,RE!E$12:E$48)+SUMIF(RE!$B$12:$B$48,$B296,RE!F$12:F$48)+SUMIF(RE!$B$12:$B$48,$B296,RE!H$12:H$48)</f>
        <v>59.22</v>
      </c>
      <c r="N296" s="263">
        <f>SUMIF(RE!$B$12:$B$48,$B296,RE!G$12:G$48)</f>
        <v>64.625</v>
      </c>
      <c r="O296" s="304">
        <v>0</v>
      </c>
      <c r="P296" s="304"/>
      <c r="Q296" s="304">
        <v>0</v>
      </c>
      <c r="R296" s="304">
        <f t="shared" si="13"/>
        <v>0</v>
      </c>
      <c r="S296" s="304">
        <f t="shared" si="14"/>
        <v>4992.8999999999996</v>
      </c>
      <c r="T296" s="376">
        <f t="shared" si="15"/>
        <v>0.1895787682714801</v>
      </c>
      <c r="U296" s="304">
        <v>4992.8999999999996</v>
      </c>
      <c r="V296" s="304">
        <f t="shared" si="16"/>
        <v>0</v>
      </c>
      <c r="W296" s="376">
        <f t="shared" si="17"/>
        <v>0</v>
      </c>
      <c r="X296" s="304">
        <v>0</v>
      </c>
      <c r="Y296" s="304">
        <f t="shared" si="18"/>
        <v>2150.92</v>
      </c>
      <c r="Z296" s="376">
        <f t="shared" si="19"/>
        <v>0.44283855453437432</v>
      </c>
      <c r="AA296" s="304">
        <v>2150.92</v>
      </c>
      <c r="AB296" s="304"/>
      <c r="AL296" s="304" t="s">
        <v>644</v>
      </c>
      <c r="AM296" s="304" t="s">
        <v>688</v>
      </c>
      <c r="AN296" s="304" t="s">
        <v>1549</v>
      </c>
      <c r="AO296" s="304">
        <v>6985.04</v>
      </c>
      <c r="AP296" s="304">
        <v>0</v>
      </c>
      <c r="AQ296" s="304">
        <v>0</v>
      </c>
      <c r="AR296" s="304">
        <v>0</v>
      </c>
      <c r="AS296" s="304">
        <v>6985.04</v>
      </c>
      <c r="AT296" s="304">
        <v>0</v>
      </c>
      <c r="AU296" s="304">
        <v>186.2</v>
      </c>
    </row>
    <row r="297" spans="1:47" x14ac:dyDescent="0.35">
      <c r="A297" s="148" t="s">
        <v>644</v>
      </c>
      <c r="B297" s="148" t="s">
        <v>801</v>
      </c>
      <c r="C297" s="148" t="s">
        <v>1053</v>
      </c>
      <c r="D297" s="304" t="s">
        <v>1053</v>
      </c>
      <c r="E297" s="209">
        <f t="shared" si="9"/>
        <v>90.753610220827809</v>
      </c>
      <c r="F297" s="209">
        <f t="shared" si="10"/>
        <v>0</v>
      </c>
      <c r="G297" s="148">
        <v>0</v>
      </c>
      <c r="H297" s="148">
        <v>0</v>
      </c>
      <c r="I297" s="209">
        <f t="shared" si="11"/>
        <v>0</v>
      </c>
      <c r="J297" s="209">
        <f t="shared" si="12"/>
        <v>837.40256777678951</v>
      </c>
      <c r="K297" s="263">
        <f>SUMIF(RE!$B$12:$B$48,$B297,RE!C$12:C$48)</f>
        <v>0</v>
      </c>
      <c r="L297" s="304">
        <f>SUMIF(RE!$B$12:$B$48,$B297,RE!D$12:D$48)-O297</f>
        <v>0.01</v>
      </c>
      <c r="M297" s="263">
        <f>SUMIF(RE!$B$12:$B$48,$B297,RE!E$12:E$48)+SUMIF(RE!$B$12:$B$48,$B297,RE!F$12:F$48)+SUMIF(RE!$B$12:$B$48,$B297,RE!H$12:H$48)</f>
        <v>0</v>
      </c>
      <c r="N297" s="263">
        <f>SUMIF(RE!$B$12:$B$48,$B297,RE!G$12:G$48)</f>
        <v>52.11</v>
      </c>
      <c r="O297" s="304">
        <v>0</v>
      </c>
      <c r="P297" s="304"/>
      <c r="Q297" s="304">
        <v>0</v>
      </c>
      <c r="R297" s="304">
        <f t="shared" si="13"/>
        <v>0</v>
      </c>
      <c r="S297" s="304">
        <f t="shared" si="14"/>
        <v>87.03</v>
      </c>
      <c r="T297" s="376">
        <f t="shared" si="15"/>
        <v>3.3045004311456098E-3</v>
      </c>
      <c r="U297" s="304">
        <v>87.03</v>
      </c>
      <c r="V297" s="304">
        <f t="shared" si="16"/>
        <v>0</v>
      </c>
      <c r="W297" s="376">
        <f t="shared" si="17"/>
        <v>0</v>
      </c>
      <c r="X297" s="304">
        <v>0</v>
      </c>
      <c r="Y297" s="304">
        <f t="shared" si="18"/>
        <v>823</v>
      </c>
      <c r="Z297" s="376">
        <f t="shared" si="19"/>
        <v>0.16944197384458279</v>
      </c>
      <c r="AA297" s="304">
        <v>823</v>
      </c>
      <c r="AB297" s="304"/>
      <c r="AL297" s="304" t="s">
        <v>644</v>
      </c>
      <c r="AM297" s="304" t="s">
        <v>795</v>
      </c>
      <c r="AN297" s="304" t="s">
        <v>1549</v>
      </c>
      <c r="AO297" s="304">
        <v>4992.8999999999996</v>
      </c>
      <c r="AP297" s="304">
        <v>0</v>
      </c>
      <c r="AQ297" s="304">
        <v>0</v>
      </c>
      <c r="AR297" s="304">
        <v>0</v>
      </c>
      <c r="AS297" s="304">
        <v>4992.8999999999996</v>
      </c>
      <c r="AT297" s="304">
        <v>0</v>
      </c>
      <c r="AU297" s="304">
        <v>2150.92</v>
      </c>
    </row>
    <row r="298" spans="1:47" x14ac:dyDescent="0.35">
      <c r="A298" s="148" t="s">
        <v>1054</v>
      </c>
      <c r="B298" s="148" t="s">
        <v>765</v>
      </c>
      <c r="C298" s="148" t="s">
        <v>764</v>
      </c>
      <c r="D298" s="304" t="s">
        <v>764</v>
      </c>
      <c r="E298" s="209">
        <f t="shared" si="9"/>
        <v>478.41673317921885</v>
      </c>
      <c r="F298" s="209">
        <f t="shared" si="10"/>
        <v>0</v>
      </c>
      <c r="G298" s="148">
        <v>788.27</v>
      </c>
      <c r="H298" s="148">
        <v>0</v>
      </c>
      <c r="I298" s="209">
        <f t="shared" si="11"/>
        <v>0</v>
      </c>
      <c r="J298" s="209">
        <f t="shared" si="12"/>
        <v>506.80121212121219</v>
      </c>
      <c r="K298" s="263">
        <f>SUMIF(RE!$B$12:$B$48,$B298,RE!C$12:C$48)</f>
        <v>0</v>
      </c>
      <c r="L298" s="304">
        <f>SUMIF(RE!$B$12:$B$48,$B298,RE!D$12:D$48)-O298</f>
        <v>22.4</v>
      </c>
      <c r="M298" s="263">
        <f>SUMIF(RE!$B$12:$B$48,$B298,RE!E$12:E$48)+SUMIF(RE!$B$12:$B$48,$B298,RE!F$12:F$48)+SUMIF(RE!$B$12:$B$48,$B298,RE!H$12:H$48)</f>
        <v>0</v>
      </c>
      <c r="N298" s="263">
        <f>SUMIF(RE!$B$12:$B$48,$B298,RE!G$12:G$48)</f>
        <v>34.11</v>
      </c>
      <c r="O298" s="304">
        <v>0</v>
      </c>
      <c r="P298" s="304"/>
      <c r="Q298" s="304">
        <v>0</v>
      </c>
      <c r="R298" s="304">
        <f t="shared" si="13"/>
        <v>0</v>
      </c>
      <c r="S298" s="304">
        <f t="shared" si="14"/>
        <v>408.52</v>
      </c>
      <c r="T298" s="376">
        <f t="shared" si="15"/>
        <v>0.62130429492639005</v>
      </c>
      <c r="U298" s="304">
        <v>408.52</v>
      </c>
      <c r="V298" s="304">
        <f t="shared" si="16"/>
        <v>0</v>
      </c>
      <c r="W298" s="376">
        <f t="shared" si="17"/>
        <v>0</v>
      </c>
      <c r="X298" s="304">
        <v>0</v>
      </c>
      <c r="Y298" s="304">
        <f t="shared" si="18"/>
        <v>457.08</v>
      </c>
      <c r="Z298" s="376">
        <f t="shared" si="19"/>
        <v>0.35515151515151522</v>
      </c>
      <c r="AA298" s="304">
        <v>457.08</v>
      </c>
      <c r="AB298" s="304"/>
      <c r="AL298" s="304" t="s">
        <v>644</v>
      </c>
      <c r="AM298" s="304" t="s">
        <v>801</v>
      </c>
      <c r="AN298" s="304" t="s">
        <v>1549</v>
      </c>
      <c r="AO298" s="304">
        <v>87.03</v>
      </c>
      <c r="AP298" s="304">
        <v>0</v>
      </c>
      <c r="AQ298" s="304">
        <v>0</v>
      </c>
      <c r="AR298" s="304">
        <v>0</v>
      </c>
      <c r="AS298" s="304">
        <v>87.03</v>
      </c>
      <c r="AT298" s="304">
        <v>0</v>
      </c>
      <c r="AU298" s="304">
        <v>823</v>
      </c>
    </row>
    <row r="299" spans="1:47" x14ac:dyDescent="0.35">
      <c r="A299" s="148" t="s">
        <v>1054</v>
      </c>
      <c r="B299" s="148" t="s">
        <v>763</v>
      </c>
      <c r="C299" s="148" t="s">
        <v>1053</v>
      </c>
      <c r="D299" s="304" t="s">
        <v>1053</v>
      </c>
      <c r="E299" s="209">
        <f t="shared" si="9"/>
        <v>43.389160785983691</v>
      </c>
      <c r="F299" s="209">
        <f t="shared" si="10"/>
        <v>0</v>
      </c>
      <c r="G299" s="148">
        <v>46.82</v>
      </c>
      <c r="H299" s="148">
        <v>0</v>
      </c>
      <c r="I299" s="209">
        <f t="shared" si="11"/>
        <v>0</v>
      </c>
      <c r="J299" s="209">
        <f t="shared" si="12"/>
        <v>129.22832167832169</v>
      </c>
      <c r="K299" s="263">
        <f>SUMIF(RE!$B$12:$B$48,$B299,RE!C$12:C$48)</f>
        <v>0</v>
      </c>
      <c r="L299" s="304">
        <f>SUMIF(RE!$B$12:$B$48,$B299,RE!D$12:D$48)-O299</f>
        <v>5.3900000000000006</v>
      </c>
      <c r="M299" s="263">
        <f>SUMIF(RE!$B$12:$B$48,$B299,RE!E$12:E$48)+SUMIF(RE!$B$12:$B$48,$B299,RE!F$12:F$48)+SUMIF(RE!$B$12:$B$48,$B299,RE!H$12:H$48)</f>
        <v>0</v>
      </c>
      <c r="N299" s="263">
        <f>SUMIF(RE!$B$12:$B$48,$B299,RE!G$12:G$48)</f>
        <v>131.10499999999999</v>
      </c>
      <c r="O299" s="304">
        <v>0</v>
      </c>
      <c r="P299" s="304"/>
      <c r="Q299" s="304">
        <v>0</v>
      </c>
      <c r="R299" s="304">
        <f t="shared" si="13"/>
        <v>0</v>
      </c>
      <c r="S299" s="304">
        <f t="shared" si="14"/>
        <v>37.049999999999997</v>
      </c>
      <c r="T299" s="376">
        <f t="shared" si="15"/>
        <v>5.6348095875410634E-2</v>
      </c>
      <c r="U299" s="304">
        <v>37.049999999999997</v>
      </c>
      <c r="V299" s="304">
        <f t="shared" si="16"/>
        <v>0</v>
      </c>
      <c r="W299" s="376">
        <f t="shared" si="17"/>
        <v>0</v>
      </c>
      <c r="X299" s="304">
        <v>0</v>
      </c>
      <c r="Y299" s="304">
        <f t="shared" si="18"/>
        <v>116.55</v>
      </c>
      <c r="Z299" s="376">
        <f t="shared" si="19"/>
        <v>9.0559440559440568E-2</v>
      </c>
      <c r="AA299" s="304">
        <v>116.55</v>
      </c>
      <c r="AB299" s="304"/>
      <c r="AL299" s="304" t="s">
        <v>1054</v>
      </c>
      <c r="AM299" s="304" t="s">
        <v>765</v>
      </c>
      <c r="AN299" s="304" t="s">
        <v>1549</v>
      </c>
      <c r="AO299" s="304">
        <v>408.52</v>
      </c>
      <c r="AP299" s="304">
        <v>0</v>
      </c>
      <c r="AQ299" s="304">
        <v>788.27</v>
      </c>
      <c r="AR299" s="304">
        <v>0</v>
      </c>
      <c r="AS299" s="304">
        <v>1196.79</v>
      </c>
      <c r="AT299" s="304">
        <v>0</v>
      </c>
      <c r="AU299" s="304">
        <v>457.08</v>
      </c>
    </row>
    <row r="300" spans="1:47" x14ac:dyDescent="0.35">
      <c r="A300" s="148" t="s">
        <v>1054</v>
      </c>
      <c r="B300" s="148" t="s">
        <v>792</v>
      </c>
      <c r="C300" s="148" t="s">
        <v>1053</v>
      </c>
      <c r="D300" s="304" t="s">
        <v>1053</v>
      </c>
      <c r="E300" s="209">
        <f t="shared" si="9"/>
        <v>53.402044044287628</v>
      </c>
      <c r="F300" s="209">
        <f t="shared" si="10"/>
        <v>0</v>
      </c>
      <c r="G300" s="148">
        <v>109.69</v>
      </c>
      <c r="H300" s="148">
        <v>0</v>
      </c>
      <c r="I300" s="209">
        <f t="shared" si="11"/>
        <v>0</v>
      </c>
      <c r="J300" s="209">
        <f t="shared" si="12"/>
        <v>437.15873348873356</v>
      </c>
      <c r="K300" s="263">
        <f>SUMIF(RE!$B$12:$B$48,$B300,RE!C$12:C$48)</f>
        <v>0</v>
      </c>
      <c r="L300" s="304">
        <f>SUMIF(RE!$B$12:$B$48,$B300,RE!D$12:D$48)-O300</f>
        <v>0.12</v>
      </c>
      <c r="M300" s="263">
        <f>SUMIF(RE!$B$12:$B$48,$B300,RE!E$12:E$48)+SUMIF(RE!$B$12:$B$48,$B300,RE!F$12:F$48)+SUMIF(RE!$B$12:$B$48,$B300,RE!H$12:H$48)</f>
        <v>13.8</v>
      </c>
      <c r="N300" s="263">
        <f>SUMIF(RE!$B$12:$B$48,$B300,RE!G$12:G$48)</f>
        <v>32.53</v>
      </c>
      <c r="O300" s="304">
        <v>0</v>
      </c>
      <c r="P300" s="304"/>
      <c r="Q300" s="304">
        <v>0</v>
      </c>
      <c r="R300" s="304">
        <f t="shared" si="13"/>
        <v>0</v>
      </c>
      <c r="S300" s="304">
        <f t="shared" si="14"/>
        <v>45.6</v>
      </c>
      <c r="T300" s="376">
        <f t="shared" si="15"/>
        <v>6.9351502615890015E-2</v>
      </c>
      <c r="U300" s="304">
        <v>45.6</v>
      </c>
      <c r="V300" s="304">
        <f t="shared" si="16"/>
        <v>0</v>
      </c>
      <c r="W300" s="376">
        <f t="shared" si="17"/>
        <v>0</v>
      </c>
      <c r="X300" s="304">
        <v>0</v>
      </c>
      <c r="Y300" s="304">
        <f t="shared" si="18"/>
        <v>394.27</v>
      </c>
      <c r="Z300" s="376">
        <f t="shared" si="19"/>
        <v>0.3063480963480964</v>
      </c>
      <c r="AA300" s="304">
        <v>394.27</v>
      </c>
      <c r="AB300" s="304"/>
      <c r="AL300" s="304" t="s">
        <v>1054</v>
      </c>
      <c r="AM300" s="304" t="s">
        <v>763</v>
      </c>
      <c r="AN300" s="304" t="s">
        <v>1549</v>
      </c>
      <c r="AO300" s="304">
        <v>37.049999999999997</v>
      </c>
      <c r="AP300" s="304">
        <v>0</v>
      </c>
      <c r="AQ300" s="304">
        <v>46.82</v>
      </c>
      <c r="AR300" s="304">
        <v>0</v>
      </c>
      <c r="AS300" s="304">
        <v>83.87</v>
      </c>
      <c r="AT300" s="304">
        <v>0</v>
      </c>
      <c r="AU300" s="304">
        <v>116.55</v>
      </c>
    </row>
    <row r="301" spans="1:47" x14ac:dyDescent="0.35">
      <c r="A301" s="148" t="s">
        <v>1054</v>
      </c>
      <c r="B301" s="148" t="s">
        <v>804</v>
      </c>
      <c r="C301" s="148" t="s">
        <v>1053</v>
      </c>
      <c r="D301" s="304" t="s">
        <v>1053</v>
      </c>
      <c r="E301" s="209">
        <f t="shared" si="9"/>
        <v>65.698567343959127</v>
      </c>
      <c r="F301" s="209">
        <f t="shared" si="10"/>
        <v>0</v>
      </c>
      <c r="G301" s="148">
        <v>606.45000000000005</v>
      </c>
      <c r="H301" s="148">
        <v>0</v>
      </c>
      <c r="I301" s="209">
        <f t="shared" si="11"/>
        <v>0</v>
      </c>
      <c r="J301" s="209">
        <f t="shared" si="12"/>
        <v>75.94034965034966</v>
      </c>
      <c r="K301" s="263">
        <f>SUMIF(RE!$B$12:$B$48,$B301,RE!C$12:C$48)</f>
        <v>0</v>
      </c>
      <c r="L301" s="304">
        <f>SUMIF(RE!$B$12:$B$48,$B301,RE!D$12:D$48)-O301</f>
        <v>5.09</v>
      </c>
      <c r="M301" s="263">
        <f>SUMIF(RE!$B$12:$B$48,$B301,RE!E$12:E$48)+SUMIF(RE!$B$12:$B$48,$B301,RE!F$12:F$48)+SUMIF(RE!$B$12:$B$48,$B301,RE!H$12:H$48)</f>
        <v>0</v>
      </c>
      <c r="N301" s="263">
        <f>SUMIF(RE!$B$12:$B$48,$B301,RE!G$12:G$48)</f>
        <v>16.010000000000002</v>
      </c>
      <c r="O301" s="304">
        <v>0</v>
      </c>
      <c r="P301" s="304"/>
      <c r="Q301" s="304">
        <v>0</v>
      </c>
      <c r="R301" s="304">
        <f t="shared" si="13"/>
        <v>0</v>
      </c>
      <c r="S301" s="304">
        <f t="shared" si="14"/>
        <v>56.1</v>
      </c>
      <c r="T301" s="376">
        <f t="shared" si="15"/>
        <v>8.532059861296995E-2</v>
      </c>
      <c r="U301" s="304">
        <v>56.1</v>
      </c>
      <c r="V301" s="304">
        <f t="shared" si="16"/>
        <v>0</v>
      </c>
      <c r="W301" s="376">
        <f t="shared" si="17"/>
        <v>0</v>
      </c>
      <c r="X301" s="304">
        <v>0</v>
      </c>
      <c r="Y301" s="304">
        <f t="shared" si="18"/>
        <v>68.489999999999995</v>
      </c>
      <c r="Z301" s="376">
        <f t="shared" si="19"/>
        <v>5.321678321678322E-2</v>
      </c>
      <c r="AA301" s="304">
        <v>68.489999999999995</v>
      </c>
      <c r="AB301" s="304"/>
      <c r="AL301" s="304" t="s">
        <v>1054</v>
      </c>
      <c r="AM301" s="304" t="s">
        <v>792</v>
      </c>
      <c r="AN301" s="304" t="s">
        <v>1549</v>
      </c>
      <c r="AO301" s="304">
        <v>45.6</v>
      </c>
      <c r="AP301" s="304">
        <v>0</v>
      </c>
      <c r="AQ301" s="304">
        <v>109.69</v>
      </c>
      <c r="AR301" s="304">
        <v>0</v>
      </c>
      <c r="AS301" s="304">
        <v>155.29</v>
      </c>
      <c r="AT301" s="304">
        <v>0</v>
      </c>
      <c r="AU301" s="304">
        <v>394.27</v>
      </c>
    </row>
    <row r="302" spans="1:47" x14ac:dyDescent="0.35">
      <c r="A302" s="148" t="s">
        <v>1054</v>
      </c>
      <c r="B302" s="148" t="s">
        <v>791</v>
      </c>
      <c r="C302" s="148" t="s">
        <v>1053</v>
      </c>
      <c r="D302" s="304" t="s">
        <v>1053</v>
      </c>
      <c r="E302" s="209">
        <f t="shared" si="9"/>
        <v>55.158690229954985</v>
      </c>
      <c r="F302" s="209">
        <f t="shared" si="10"/>
        <v>0</v>
      </c>
      <c r="G302" s="148">
        <v>71.569999999999993</v>
      </c>
      <c r="H302" s="148">
        <v>36</v>
      </c>
      <c r="I302" s="209">
        <f t="shared" si="11"/>
        <v>0</v>
      </c>
      <c r="J302" s="209">
        <f t="shared" si="12"/>
        <v>105.7110955710956</v>
      </c>
      <c r="K302" s="263">
        <f>SUMIF(RE!$B$12:$B$48,$B302,RE!C$12:C$48)</f>
        <v>0</v>
      </c>
      <c r="L302" s="304">
        <f>SUMIF(RE!$B$12:$B$48,$B302,RE!D$12:D$48)-O302</f>
        <v>3.44</v>
      </c>
      <c r="M302" s="263">
        <f>SUMIF(RE!$B$12:$B$48,$B302,RE!E$12:E$48)+SUMIF(RE!$B$12:$B$48,$B302,RE!F$12:F$48)+SUMIF(RE!$B$12:$B$48,$B302,RE!H$12:H$48)</f>
        <v>0</v>
      </c>
      <c r="N302" s="263">
        <f>SUMIF(RE!$B$12:$B$48,$B302,RE!G$12:G$48)</f>
        <v>5.45</v>
      </c>
      <c r="O302" s="304">
        <v>0</v>
      </c>
      <c r="P302" s="304"/>
      <c r="Q302" s="304">
        <v>0</v>
      </c>
      <c r="R302" s="304">
        <f t="shared" si="13"/>
        <v>0</v>
      </c>
      <c r="S302" s="304">
        <f t="shared" si="14"/>
        <v>47.1</v>
      </c>
      <c r="T302" s="376">
        <f t="shared" si="15"/>
        <v>7.1632802044044291E-2</v>
      </c>
      <c r="U302" s="304">
        <v>47.1</v>
      </c>
      <c r="V302" s="304">
        <f t="shared" si="16"/>
        <v>0</v>
      </c>
      <c r="W302" s="376">
        <f t="shared" si="17"/>
        <v>0</v>
      </c>
      <c r="X302" s="304">
        <v>0</v>
      </c>
      <c r="Y302" s="304">
        <f t="shared" si="18"/>
        <v>95.34</v>
      </c>
      <c r="Z302" s="376">
        <f t="shared" si="19"/>
        <v>7.40792540792541E-2</v>
      </c>
      <c r="AA302" s="304">
        <v>95.34</v>
      </c>
      <c r="AB302" s="304"/>
      <c r="AL302" s="304" t="s">
        <v>1054</v>
      </c>
      <c r="AM302" s="304" t="s">
        <v>804</v>
      </c>
      <c r="AN302" s="304" t="s">
        <v>1549</v>
      </c>
      <c r="AO302" s="304">
        <v>56.1</v>
      </c>
      <c r="AP302" s="304">
        <v>0</v>
      </c>
      <c r="AQ302" s="304">
        <v>606.45000000000005</v>
      </c>
      <c r="AR302" s="304">
        <v>0</v>
      </c>
      <c r="AS302" s="304">
        <v>662.55</v>
      </c>
      <c r="AT302" s="304">
        <v>0</v>
      </c>
      <c r="AU302" s="304">
        <v>68.489999999999995</v>
      </c>
    </row>
    <row r="303" spans="1:47" x14ac:dyDescent="0.35">
      <c r="A303" s="148" t="s">
        <v>1054</v>
      </c>
      <c r="B303" s="148" t="s">
        <v>794</v>
      </c>
      <c r="C303" s="148" t="s">
        <v>1053</v>
      </c>
      <c r="D303" s="304" t="s">
        <v>1053</v>
      </c>
      <c r="E303" s="209">
        <f t="shared" si="9"/>
        <v>37.592228373281422</v>
      </c>
      <c r="F303" s="209">
        <f t="shared" si="10"/>
        <v>0</v>
      </c>
      <c r="G303" s="148">
        <v>48.93</v>
      </c>
      <c r="H303" s="148">
        <v>0</v>
      </c>
      <c r="I303" s="209">
        <f t="shared" si="11"/>
        <v>0</v>
      </c>
      <c r="J303" s="209">
        <f t="shared" si="12"/>
        <v>63.566363636363647</v>
      </c>
      <c r="K303" s="263">
        <f>SUMIF(RE!$B$12:$B$48,$B303,RE!C$12:C$48)</f>
        <v>0</v>
      </c>
      <c r="L303" s="304">
        <f>SUMIF(RE!$B$12:$B$48,$B303,RE!D$12:D$48)-O303</f>
        <v>1</v>
      </c>
      <c r="M303" s="263">
        <f>SUMIF(RE!$B$12:$B$48,$B303,RE!E$12:E$48)+SUMIF(RE!$B$12:$B$48,$B303,RE!F$12:F$48)+SUMIF(RE!$B$12:$B$48,$B303,RE!H$12:H$48)</f>
        <v>0</v>
      </c>
      <c r="N303" s="263">
        <f>SUMIF(RE!$B$12:$B$48,$B303,RE!G$12:G$48)</f>
        <v>30.67</v>
      </c>
      <c r="O303" s="304">
        <v>0</v>
      </c>
      <c r="P303" s="304"/>
      <c r="Q303" s="304">
        <v>0</v>
      </c>
      <c r="R303" s="304">
        <f t="shared" si="13"/>
        <v>0</v>
      </c>
      <c r="S303" s="304">
        <f t="shared" si="14"/>
        <v>32.1</v>
      </c>
      <c r="T303" s="376">
        <f t="shared" si="15"/>
        <v>4.8819807762501527E-2</v>
      </c>
      <c r="U303" s="304">
        <v>32.1</v>
      </c>
      <c r="V303" s="304">
        <f t="shared" si="16"/>
        <v>0</v>
      </c>
      <c r="W303" s="376">
        <f t="shared" si="17"/>
        <v>0</v>
      </c>
      <c r="X303" s="304">
        <v>0</v>
      </c>
      <c r="Y303" s="304">
        <f t="shared" si="18"/>
        <v>57.33</v>
      </c>
      <c r="Z303" s="376">
        <f t="shared" si="19"/>
        <v>4.4545454545454555E-2</v>
      </c>
      <c r="AA303" s="304">
        <v>57.33</v>
      </c>
      <c r="AB303" s="304"/>
      <c r="AL303" s="304" t="s">
        <v>1054</v>
      </c>
      <c r="AM303" s="304" t="s">
        <v>791</v>
      </c>
      <c r="AN303" s="304" t="s">
        <v>1549</v>
      </c>
      <c r="AO303" s="304">
        <v>47.1</v>
      </c>
      <c r="AP303" s="304">
        <v>0</v>
      </c>
      <c r="AQ303" s="304">
        <v>71.569999999999993</v>
      </c>
      <c r="AR303" s="304">
        <v>36</v>
      </c>
      <c r="AS303" s="304">
        <v>154.66999999999999</v>
      </c>
      <c r="AT303" s="304">
        <v>0</v>
      </c>
      <c r="AU303" s="304">
        <v>95.34</v>
      </c>
    </row>
    <row r="304" spans="1:47" x14ac:dyDescent="0.35">
      <c r="A304" s="148" t="s">
        <v>1054</v>
      </c>
      <c r="B304" s="148" t="s">
        <v>793</v>
      </c>
      <c r="C304" s="148" t="s">
        <v>1053</v>
      </c>
      <c r="D304" s="304" t="s">
        <v>1053</v>
      </c>
      <c r="E304" s="209">
        <f t="shared" si="9"/>
        <v>36.36257604331427</v>
      </c>
      <c r="F304" s="209">
        <f t="shared" si="10"/>
        <v>0</v>
      </c>
      <c r="G304" s="148">
        <v>40.46</v>
      </c>
      <c r="H304" s="148">
        <v>0</v>
      </c>
      <c r="I304" s="209">
        <f t="shared" si="11"/>
        <v>0</v>
      </c>
      <c r="J304" s="209">
        <f t="shared" si="12"/>
        <v>108.59392385392387</v>
      </c>
      <c r="K304" s="263">
        <f>SUMIF(RE!$B$12:$B$48,$B304,RE!C$12:C$48)</f>
        <v>0</v>
      </c>
      <c r="L304" s="304">
        <f>SUMIF(RE!$B$12:$B$48,$B304,RE!D$12:D$48)-O304</f>
        <v>0.5</v>
      </c>
      <c r="M304" s="263">
        <f>SUMIF(RE!$B$12:$B$48,$B304,RE!E$12:E$48)+SUMIF(RE!$B$12:$B$48,$B304,RE!F$12:F$48)+SUMIF(RE!$B$12:$B$48,$B304,RE!H$12:H$48)</f>
        <v>0</v>
      </c>
      <c r="N304" s="263">
        <f>SUMIF(RE!$B$12:$B$48,$B304,RE!G$12:G$48)</f>
        <v>36.47</v>
      </c>
      <c r="O304" s="304">
        <v>0</v>
      </c>
      <c r="P304" s="304"/>
      <c r="Q304" s="304">
        <v>0</v>
      </c>
      <c r="R304" s="304">
        <f t="shared" si="13"/>
        <v>0</v>
      </c>
      <c r="S304" s="304">
        <f t="shared" si="14"/>
        <v>31.05</v>
      </c>
      <c r="T304" s="376">
        <f t="shared" si="15"/>
        <v>4.7222898162793528E-2</v>
      </c>
      <c r="U304" s="304">
        <v>31.05</v>
      </c>
      <c r="V304" s="304">
        <f t="shared" si="16"/>
        <v>0</v>
      </c>
      <c r="W304" s="376">
        <f t="shared" si="17"/>
        <v>0</v>
      </c>
      <c r="X304" s="304">
        <v>0</v>
      </c>
      <c r="Y304" s="304">
        <f t="shared" si="18"/>
        <v>97.94</v>
      </c>
      <c r="Z304" s="376">
        <f t="shared" si="19"/>
        <v>7.6099456099456106E-2</v>
      </c>
      <c r="AA304" s="304">
        <v>97.94</v>
      </c>
      <c r="AB304" s="304"/>
      <c r="AL304" s="304" t="s">
        <v>1054</v>
      </c>
      <c r="AM304" s="304" t="s">
        <v>794</v>
      </c>
      <c r="AN304" s="304" t="s">
        <v>1549</v>
      </c>
      <c r="AO304" s="304">
        <v>32.1</v>
      </c>
      <c r="AP304" s="304">
        <v>0</v>
      </c>
      <c r="AQ304" s="304">
        <v>48.93</v>
      </c>
      <c r="AR304" s="304">
        <v>0</v>
      </c>
      <c r="AS304" s="304">
        <v>81.03</v>
      </c>
      <c r="AT304" s="304">
        <v>0</v>
      </c>
      <c r="AU304" s="304">
        <v>57.33</v>
      </c>
    </row>
    <row r="305" spans="1:47" s="304" customFormat="1" x14ac:dyDescent="0.35">
      <c r="AL305" s="304" t="s">
        <v>1054</v>
      </c>
      <c r="AM305" s="304" t="s">
        <v>793</v>
      </c>
      <c r="AN305" s="304" t="s">
        <v>1549</v>
      </c>
      <c r="AO305" s="304">
        <v>31.05</v>
      </c>
      <c r="AP305" s="304">
        <v>0</v>
      </c>
      <c r="AQ305" s="304">
        <v>40.46</v>
      </c>
      <c r="AR305" s="304">
        <v>0</v>
      </c>
      <c r="AS305" s="304">
        <v>71.510000000000005</v>
      </c>
      <c r="AT305" s="304">
        <v>0</v>
      </c>
      <c r="AU305" s="304">
        <v>97.94</v>
      </c>
    </row>
    <row r="306" spans="1:47" x14ac:dyDescent="0.35">
      <c r="A306" s="301" t="s">
        <v>1169</v>
      </c>
      <c r="B306" s="301" t="s">
        <v>1170</v>
      </c>
      <c r="U306" s="304"/>
      <c r="V306" s="304"/>
      <c r="W306" s="304"/>
      <c r="X306" s="304"/>
      <c r="Y306" s="304"/>
      <c r="Z306" s="304"/>
      <c r="AA306" s="304"/>
      <c r="AB306" s="304"/>
      <c r="AL306" s="304" t="s">
        <v>1046</v>
      </c>
      <c r="AM306" s="304" t="s">
        <v>1536</v>
      </c>
      <c r="AN306" s="304" t="s">
        <v>1190</v>
      </c>
      <c r="AO306" s="304">
        <v>50360.2</v>
      </c>
      <c r="AP306" s="304">
        <v>1580</v>
      </c>
      <c r="AQ306" s="304">
        <v>5781.26</v>
      </c>
      <c r="AR306" s="304">
        <v>0</v>
      </c>
      <c r="AS306" s="304">
        <v>57721.46</v>
      </c>
      <c r="AT306" s="304">
        <v>1620</v>
      </c>
      <c r="AU306" s="304">
        <v>19707.77</v>
      </c>
    </row>
    <row r="307" spans="1:47" s="304" customFormat="1" x14ac:dyDescent="0.35">
      <c r="A307" s="301"/>
      <c r="B307" s="301" t="s">
        <v>1533</v>
      </c>
      <c r="AL307" s="304" t="s">
        <v>628</v>
      </c>
      <c r="AM307" s="304" t="s">
        <v>1537</v>
      </c>
      <c r="AN307" s="304" t="s">
        <v>1190</v>
      </c>
      <c r="AO307" s="304">
        <v>72808.62</v>
      </c>
      <c r="AP307" s="304">
        <v>1540</v>
      </c>
      <c r="AQ307" s="304">
        <v>10806.49</v>
      </c>
      <c r="AR307" s="304">
        <v>0</v>
      </c>
      <c r="AS307" s="304">
        <v>85155.11</v>
      </c>
      <c r="AT307" s="304">
        <v>1840</v>
      </c>
      <c r="AU307" s="304">
        <v>7547.5</v>
      </c>
    </row>
    <row r="308" spans="1:47" x14ac:dyDescent="0.35">
      <c r="B308" s="301" t="s">
        <v>1171</v>
      </c>
      <c r="U308" s="304"/>
      <c r="V308" s="304"/>
      <c r="W308" s="304"/>
      <c r="X308" s="304"/>
      <c r="Y308" s="304"/>
      <c r="Z308" s="304"/>
      <c r="AA308" s="304"/>
      <c r="AB308" s="304"/>
      <c r="AL308" s="304" t="s">
        <v>1051</v>
      </c>
      <c r="AM308" s="304" t="s">
        <v>1538</v>
      </c>
      <c r="AN308" s="304" t="s">
        <v>1190</v>
      </c>
      <c r="AO308" s="304">
        <v>43042.02</v>
      </c>
      <c r="AP308" s="304">
        <v>3140</v>
      </c>
      <c r="AQ308" s="304">
        <v>6473.66</v>
      </c>
      <c r="AR308" s="304">
        <v>561.58000000000004</v>
      </c>
      <c r="AS308" s="304">
        <v>53217.26</v>
      </c>
      <c r="AT308" s="304">
        <v>3320</v>
      </c>
      <c r="AU308" s="304">
        <v>11774.83</v>
      </c>
    </row>
    <row r="309" spans="1:47" x14ac:dyDescent="0.35">
      <c r="B309" s="301" t="s">
        <v>1163</v>
      </c>
      <c r="U309" s="304"/>
      <c r="V309" s="304"/>
      <c r="W309" s="304"/>
      <c r="X309" s="304"/>
      <c r="Y309" s="304"/>
      <c r="Z309" s="304"/>
      <c r="AA309" s="304"/>
      <c r="AB309" s="304"/>
      <c r="AL309" s="304" t="s">
        <v>644</v>
      </c>
      <c r="AM309" s="304" t="s">
        <v>1539</v>
      </c>
      <c r="AN309" s="304" t="s">
        <v>1190</v>
      </c>
      <c r="AO309" s="304">
        <v>27463.64</v>
      </c>
      <c r="AP309" s="304">
        <v>0</v>
      </c>
      <c r="AQ309" s="304">
        <v>100</v>
      </c>
      <c r="AR309" s="304">
        <v>0</v>
      </c>
      <c r="AS309" s="304">
        <v>27563.64</v>
      </c>
      <c r="AT309" s="304">
        <v>0</v>
      </c>
      <c r="AU309" s="304">
        <v>4942.12</v>
      </c>
    </row>
    <row r="310" spans="1:47" x14ac:dyDescent="0.35">
      <c r="B310" s="301" t="s">
        <v>1178</v>
      </c>
      <c r="U310" s="304"/>
      <c r="V310" s="304"/>
      <c r="W310" s="304"/>
      <c r="X310" s="304"/>
      <c r="Y310" s="304"/>
      <c r="Z310" s="304"/>
      <c r="AA310" s="304"/>
      <c r="AB310" s="304"/>
      <c r="AL310" s="304" t="s">
        <v>1054</v>
      </c>
      <c r="AM310" s="304" t="s">
        <v>1540</v>
      </c>
      <c r="AN310" s="304" t="s">
        <v>1190</v>
      </c>
      <c r="AO310" s="304">
        <v>770.02</v>
      </c>
      <c r="AP310" s="304">
        <v>0</v>
      </c>
      <c r="AQ310" s="304">
        <v>1775.81</v>
      </c>
      <c r="AR310" s="304">
        <v>36</v>
      </c>
      <c r="AS310" s="304">
        <v>2581.83</v>
      </c>
      <c r="AT310" s="304">
        <v>0</v>
      </c>
      <c r="AU310" s="304">
        <v>1427</v>
      </c>
    </row>
    <row r="311" spans="1:47" x14ac:dyDescent="0.35">
      <c r="AB311" s="304"/>
    </row>
    <row r="313" spans="1:47" s="304" customFormat="1" x14ac:dyDescent="0.35">
      <c r="A313" s="2" t="s">
        <v>49</v>
      </c>
    </row>
    <row r="314" spans="1:47" s="304" customFormat="1" x14ac:dyDescent="0.35">
      <c r="B314" s="2" t="s">
        <v>1164</v>
      </c>
      <c r="C314" s="2" t="s">
        <v>1187</v>
      </c>
    </row>
    <row r="315" spans="1:47" s="304" customFormat="1" x14ac:dyDescent="0.35">
      <c r="B315" s="2" t="s">
        <v>1165</v>
      </c>
      <c r="C315" s="2" t="s">
        <v>1211</v>
      </c>
    </row>
    <row r="316" spans="1:47" s="304" customFormat="1" x14ac:dyDescent="0.35">
      <c r="A316" s="2" t="s">
        <v>1210</v>
      </c>
      <c r="B316" s="2" t="s">
        <v>1212</v>
      </c>
      <c r="C316" s="2"/>
    </row>
    <row r="317" spans="1:47" s="304" customFormat="1" x14ac:dyDescent="0.35">
      <c r="A317" s="2"/>
      <c r="B317" s="2"/>
      <c r="C317" s="2"/>
    </row>
    <row r="318" spans="1:47" s="304" customFormat="1" x14ac:dyDescent="0.35">
      <c r="B318" s="2"/>
      <c r="C318" s="2"/>
      <c r="D318" s="2"/>
      <c r="E318" s="304" t="s">
        <v>690</v>
      </c>
      <c r="F318" s="304" t="s">
        <v>301</v>
      </c>
      <c r="G318" s="304" t="s">
        <v>1045</v>
      </c>
      <c r="H318" s="304" t="s">
        <v>304</v>
      </c>
      <c r="I318" s="304" t="s">
        <v>308</v>
      </c>
      <c r="N318" s="304" t="s">
        <v>526</v>
      </c>
      <c r="Q318" s="304" t="s">
        <v>304</v>
      </c>
      <c r="R318" s="304" t="s">
        <v>1531</v>
      </c>
      <c r="T318" s="304" t="s">
        <v>1532</v>
      </c>
      <c r="Z318" s="304" t="s">
        <v>1188</v>
      </c>
      <c r="AA318" s="304" t="s">
        <v>1189</v>
      </c>
      <c r="AB318" s="304" t="s">
        <v>1190</v>
      </c>
      <c r="AC318" s="304" t="s">
        <v>1209</v>
      </c>
    </row>
    <row r="319" spans="1:47" s="304" customFormat="1" x14ac:dyDescent="0.35">
      <c r="A319" s="304" t="s">
        <v>1042</v>
      </c>
      <c r="B319" s="304" t="s">
        <v>179</v>
      </c>
      <c r="C319" s="304" t="s">
        <v>1043</v>
      </c>
      <c r="D319" s="304" t="s">
        <v>1043</v>
      </c>
      <c r="E319" s="304" t="s">
        <v>1612</v>
      </c>
      <c r="F319" s="304" t="s">
        <v>1613</v>
      </c>
      <c r="G319" s="304" t="s">
        <v>1045</v>
      </c>
      <c r="H319" s="304" t="s">
        <v>1615</v>
      </c>
      <c r="I319" s="304" t="s">
        <v>1604</v>
      </c>
      <c r="J319" s="304" t="s">
        <v>1606</v>
      </c>
      <c r="K319" s="304" t="s">
        <v>1636</v>
      </c>
      <c r="L319" s="304" t="s">
        <v>1605</v>
      </c>
      <c r="M319" s="304" t="s">
        <v>1603</v>
      </c>
      <c r="N319" s="304" t="s">
        <v>145</v>
      </c>
      <c r="Q319" s="304" t="s">
        <v>1615</v>
      </c>
      <c r="R319" s="304" t="s">
        <v>1615</v>
      </c>
      <c r="U319" s="304" t="s">
        <v>41</v>
      </c>
      <c r="V319" s="304" t="s">
        <v>1529</v>
      </c>
      <c r="W319" s="304" t="s">
        <v>1530</v>
      </c>
      <c r="X319" s="304" t="s">
        <v>1469</v>
      </c>
    </row>
    <row r="320" spans="1:47" s="304" customFormat="1" x14ac:dyDescent="0.35">
      <c r="A320" s="304" t="s">
        <v>1046</v>
      </c>
      <c r="B320" s="304" t="s">
        <v>770</v>
      </c>
      <c r="C320" s="304" t="s">
        <v>771</v>
      </c>
      <c r="D320" s="304" t="s">
        <v>771</v>
      </c>
      <c r="E320" s="304">
        <v>4821.9399999999996</v>
      </c>
      <c r="F320" s="304">
        <v>2115.41</v>
      </c>
      <c r="G320" s="304">
        <v>0</v>
      </c>
      <c r="H320" s="304">
        <f>Q320+R320*VLOOKUP(A320,Capacity!$AC$270:$AF$274,4,FALSE)</f>
        <v>120.45336881227493</v>
      </c>
      <c r="I320" s="304">
        <v>723.09</v>
      </c>
      <c r="J320" s="304">
        <f>SUMIF(RE!$A$274:$A$310,$B320,RE!B$274:B$310)</f>
        <v>0</v>
      </c>
      <c r="K320" s="304">
        <f>SUMIF(RE!$A$274:$A$310,$B320,RE!C$274:C$310)-N320</f>
        <v>84.463333333333338</v>
      </c>
      <c r="L320" s="304">
        <f>SUMIF(RE!$A$274:$A$310,$B320,RE!D$274:D$310)+SUMIF(RE!$A$274:$A$310,$B320,RE!E$274:E$310)</f>
        <v>40</v>
      </c>
      <c r="M320" s="304">
        <f>SUMIF(RE!$A$274:$A$310,$B320,RE!F$274:F$310)</f>
        <v>0</v>
      </c>
      <c r="N320" s="304">
        <v>0</v>
      </c>
      <c r="Q320" s="304">
        <v>102.83</v>
      </c>
      <c r="R320" s="304">
        <f>IFERROR(Q320/VLOOKUP(A320,Capacity!$AC$270:$AE$274,3,FALSE),0)</f>
        <v>7.4353931365601811E-2</v>
      </c>
      <c r="T320" s="304" t="s">
        <v>1046</v>
      </c>
      <c r="U320" s="304">
        <v>1620</v>
      </c>
      <c r="V320" s="304">
        <f>SUMIF($A$320:$A$356,T320,$Q$320:$Q$356)</f>
        <v>1382.98</v>
      </c>
      <c r="W320" s="304">
        <f>U320-V320</f>
        <v>237.01999999999998</v>
      </c>
      <c r="X320" s="304" t="b">
        <f>IF(SUMIF($A$320:$A$356,T320,$H$320:$H$356)=U320, TRUE, FALSE)</f>
        <v>1</v>
      </c>
      <c r="Z320" s="304">
        <v>6937.35</v>
      </c>
      <c r="AA320" s="304">
        <v>121.57</v>
      </c>
      <c r="AB320" s="304">
        <v>7884.84</v>
      </c>
      <c r="AC320" s="304">
        <f t="shared" ref="AC320:AC357" si="20">SUM(J320:M320)-AA320</f>
        <v>2.8933333333333451</v>
      </c>
    </row>
    <row r="321" spans="1:29" s="304" customFormat="1" x14ac:dyDescent="0.35">
      <c r="A321" s="304" t="s">
        <v>1046</v>
      </c>
      <c r="B321" s="304" t="s">
        <v>775</v>
      </c>
      <c r="C321" s="304" t="s">
        <v>776</v>
      </c>
      <c r="D321" s="304" t="s">
        <v>776</v>
      </c>
      <c r="E321" s="304">
        <v>8095.5</v>
      </c>
      <c r="F321" s="304">
        <v>685.61</v>
      </c>
      <c r="G321" s="304">
        <v>0</v>
      </c>
      <c r="H321" s="304">
        <f>Q321+R321*VLOOKUP(A321,Capacity!$AC$270:$AF$274,4,FALSE)</f>
        <v>118.23945393281176</v>
      </c>
      <c r="I321" s="304">
        <v>1948.21</v>
      </c>
      <c r="J321" s="304">
        <f>SUMIF(RE!$A$274:$A$310,$B321,RE!B$274:B$310)</f>
        <v>0</v>
      </c>
      <c r="K321" s="304">
        <f>SUMIF(RE!$A$274:$A$310,$B321,RE!C$274:C$310)-N321</f>
        <v>171.70000000000002</v>
      </c>
      <c r="L321" s="304">
        <f>SUMIF(RE!$A$274:$A$310,$B321,RE!D$274:D$310)+SUMIF(RE!$A$274:$A$310,$B321,RE!E$274:E$310)</f>
        <v>169.24</v>
      </c>
      <c r="M321" s="304">
        <f>SUMIF(RE!$A$274:$A$310,$B321,RE!F$274:F$310)</f>
        <v>73.5</v>
      </c>
      <c r="N321" s="304">
        <v>0</v>
      </c>
      <c r="Q321" s="304">
        <v>100.94</v>
      </c>
      <c r="R321" s="304">
        <f>IFERROR(Q321/VLOOKUP(A321,Capacity!$AC$270:$AE$274,3,FALSE),0)</f>
        <v>7.2987317242476382E-2</v>
      </c>
      <c r="T321" s="304" t="s">
        <v>628</v>
      </c>
      <c r="U321" s="304">
        <v>1840</v>
      </c>
      <c r="V321" s="304">
        <f>SUMIF($A$320:$A$356,T321,$Q$320:$Q$356)</f>
        <v>1612</v>
      </c>
      <c r="W321" s="304">
        <f>U321-V321</f>
        <v>228</v>
      </c>
      <c r="X321" s="304" t="b">
        <f>IF(SUMIF($A$320:$A$356,T321,$H$320:$H$356)=U321, TRUE, FALSE)</f>
        <v>1</v>
      </c>
      <c r="Z321" s="304">
        <v>8781.1200000000008</v>
      </c>
      <c r="AA321" s="304">
        <v>411.75</v>
      </c>
      <c r="AB321" s="304">
        <v>11242.01</v>
      </c>
      <c r="AC321" s="304">
        <f t="shared" si="20"/>
        <v>2.6900000000000546</v>
      </c>
    </row>
    <row r="322" spans="1:29" s="304" customFormat="1" x14ac:dyDescent="0.35">
      <c r="A322" s="304" t="s">
        <v>1046</v>
      </c>
      <c r="B322" s="304" t="s">
        <v>778</v>
      </c>
      <c r="C322" s="304" t="s">
        <v>779</v>
      </c>
      <c r="D322" s="304" t="s">
        <v>779</v>
      </c>
      <c r="E322" s="304">
        <v>183.4</v>
      </c>
      <c r="F322" s="304">
        <v>62.01</v>
      </c>
      <c r="G322" s="304">
        <v>0</v>
      </c>
      <c r="H322" s="304">
        <f>Q322+R322*VLOOKUP(A322,Capacity!$AC$270:$AF$274,4,FALSE)</f>
        <v>33.911553312412323</v>
      </c>
      <c r="I322" s="304">
        <v>2910.48</v>
      </c>
      <c r="J322" s="304">
        <f>SUMIF(RE!$A$274:$A$310,$B322,RE!B$274:B$310)</f>
        <v>0</v>
      </c>
      <c r="K322" s="304">
        <f>SUMIF(RE!$A$274:$A$310,$B322,RE!C$274:C$310)-N322</f>
        <v>2.4833333333333329</v>
      </c>
      <c r="L322" s="304">
        <f>SUMIF(RE!$A$274:$A$310,$B322,RE!D$274:D$310)+SUMIF(RE!$A$274:$A$310,$B322,RE!E$274:E$310)</f>
        <v>4.8</v>
      </c>
      <c r="M322" s="304">
        <f>SUMIF(RE!$A$274:$A$310,$B322,RE!F$274:F$310)</f>
        <v>849.67666666666662</v>
      </c>
      <c r="N322" s="304">
        <v>0</v>
      </c>
      <c r="Q322" s="304">
        <v>28.95</v>
      </c>
      <c r="R322" s="304">
        <f>IFERROR(Q322/VLOOKUP(A322,Capacity!$AC$270:$AE$274,3,FALSE),0)</f>
        <v>2.0933057600254521E-2</v>
      </c>
      <c r="T322" s="304" t="s">
        <v>1051</v>
      </c>
      <c r="U322" s="304">
        <v>3320</v>
      </c>
      <c r="V322" s="304">
        <f>SUMIF($A$320:$A$356,T322,$Q$320:$Q$356)</f>
        <v>2870</v>
      </c>
      <c r="W322" s="304">
        <f>U322-V322</f>
        <v>450</v>
      </c>
      <c r="X322" s="304" t="b">
        <f>IF(SUMIF($A$320:$A$356,T322,$H$320:$H$356)=U322, TRUE, FALSE)</f>
        <v>1</v>
      </c>
      <c r="Z322" s="304">
        <v>245.41</v>
      </c>
      <c r="AA322" s="304">
        <v>853.84</v>
      </c>
      <c r="AB322" s="304">
        <v>4038.68</v>
      </c>
      <c r="AC322" s="304">
        <f t="shared" si="20"/>
        <v>3.1199999999998909</v>
      </c>
    </row>
    <row r="323" spans="1:29" s="304" customFormat="1" x14ac:dyDescent="0.35">
      <c r="A323" s="304" t="s">
        <v>1046</v>
      </c>
      <c r="B323" s="304" t="s">
        <v>1047</v>
      </c>
      <c r="C323" s="304" t="s">
        <v>780</v>
      </c>
      <c r="D323" s="304" t="s">
        <v>780</v>
      </c>
      <c r="E323" s="304">
        <v>506.39</v>
      </c>
      <c r="F323" s="304">
        <v>304.07</v>
      </c>
      <c r="G323" s="304">
        <v>0</v>
      </c>
      <c r="H323" s="304">
        <f>Q323+R323*VLOOKUP(A323,Capacity!$AC$270:$AF$274,4,FALSE)</f>
        <v>79.630652648628327</v>
      </c>
      <c r="I323" s="304">
        <v>2369.48</v>
      </c>
      <c r="J323" s="304">
        <f>SUMIF(RE!$A$274:$A$310,$B323,RE!B$274:B$310)</f>
        <v>0</v>
      </c>
      <c r="K323" s="304">
        <f>SUMIF(RE!$A$274:$A$310,$B323,RE!C$274:C$310)-N323</f>
        <v>7.02</v>
      </c>
      <c r="L323" s="304">
        <f>SUMIF(RE!$A$274:$A$310,$B323,RE!D$274:D$310)+SUMIF(RE!$A$274:$A$310,$B323,RE!E$274:E$310)</f>
        <v>0</v>
      </c>
      <c r="M323" s="304">
        <f>SUMIF(RE!$A$274:$A$310,$B323,RE!F$274:F$310)</f>
        <v>172.03</v>
      </c>
      <c r="N323" s="304">
        <v>0</v>
      </c>
      <c r="Q323" s="304">
        <v>67.98</v>
      </c>
      <c r="R323" s="304">
        <f>IFERROR(Q323/VLOOKUP(A323,Capacity!$AC$270:$AE$274,3,FALSE),0)</f>
        <v>4.9154723857177979E-2</v>
      </c>
      <c r="T323" s="304" t="s">
        <v>644</v>
      </c>
      <c r="U323" s="304">
        <v>0</v>
      </c>
      <c r="V323" s="304">
        <f>SUMIF($A$320:$A$356,T323,$Q$320:$Q$356)</f>
        <v>0</v>
      </c>
      <c r="W323" s="304">
        <f>U323-V323</f>
        <v>0</v>
      </c>
      <c r="X323" s="304" t="b">
        <f>IF(SUMIF($A$320:$A$356,T323,$H$320:$H$356)=U323, TRUE, FALSE)</f>
        <v>1</v>
      </c>
      <c r="Z323" s="304">
        <v>810.47</v>
      </c>
      <c r="AA323" s="304">
        <v>180.39</v>
      </c>
      <c r="AB323" s="304">
        <v>3428.32</v>
      </c>
      <c r="AC323" s="304">
        <f t="shared" si="20"/>
        <v>-1.339999999999975</v>
      </c>
    </row>
    <row r="324" spans="1:29" s="304" customFormat="1" x14ac:dyDescent="0.35">
      <c r="A324" s="304" t="s">
        <v>1046</v>
      </c>
      <c r="B324" s="304" t="s">
        <v>798</v>
      </c>
      <c r="C324" s="304" t="s">
        <v>799</v>
      </c>
      <c r="D324" s="304" t="s">
        <v>799</v>
      </c>
      <c r="E324" s="304">
        <v>8590.08</v>
      </c>
      <c r="F324" s="304">
        <v>414.01</v>
      </c>
      <c r="G324" s="304">
        <v>0</v>
      </c>
      <c r="H324" s="304">
        <f>Q324+R324*VLOOKUP(A324,Capacity!$AC$270:$AF$274,4,FALSE)</f>
        <v>230.53999334769844</v>
      </c>
      <c r="I324" s="304">
        <v>3781.65</v>
      </c>
      <c r="J324" s="304">
        <f>SUMIF(RE!$A$274:$A$310,$B324,RE!B$274:B$310)</f>
        <v>0</v>
      </c>
      <c r="K324" s="304">
        <f>SUMIF(RE!$A$274:$A$310,$B324,RE!C$274:C$310)-N324</f>
        <v>868.39666666666665</v>
      </c>
      <c r="L324" s="304">
        <f>SUMIF(RE!$A$274:$A$310,$B324,RE!D$274:D$310)+SUMIF(RE!$A$274:$A$310,$B324,RE!E$274:E$310)</f>
        <v>280.31666666666666</v>
      </c>
      <c r="M324" s="304">
        <f>SUMIF(RE!$A$274:$A$310,$B324,RE!F$274:F$310)</f>
        <v>172.66666666666666</v>
      </c>
      <c r="N324" s="304">
        <v>0</v>
      </c>
      <c r="Q324" s="304">
        <v>196.81</v>
      </c>
      <c r="R324" s="304">
        <f>IFERROR(Q324/VLOOKUP(A324,Capacity!$AC$270:$AE$274,3,FALSE),0)</f>
        <v>0.14230863786894965</v>
      </c>
      <c r="T324" s="304" t="s">
        <v>1054</v>
      </c>
      <c r="U324" s="304">
        <v>0</v>
      </c>
      <c r="V324" s="304">
        <f>SUMIF($A$320:$A$356,T324,$Q$320:$Q$356)</f>
        <v>0</v>
      </c>
      <c r="W324" s="304">
        <f>U324-V324</f>
        <v>0</v>
      </c>
      <c r="X324" s="304" t="b">
        <f>IF(SUMIF($A$320:$A$356,T324,$H$320:$H$356)=U324, TRUE, FALSE)</f>
        <v>1</v>
      </c>
      <c r="Z324" s="304">
        <v>9004.09</v>
      </c>
      <c r="AA324" s="304">
        <v>1282.42</v>
      </c>
      <c r="AB324" s="304">
        <v>14264.97</v>
      </c>
      <c r="AC324" s="304">
        <f t="shared" si="20"/>
        <v>38.960000000000036</v>
      </c>
    </row>
    <row r="325" spans="1:29" s="304" customFormat="1" x14ac:dyDescent="0.35">
      <c r="A325" s="304" t="s">
        <v>1046</v>
      </c>
      <c r="B325" s="304" t="s">
        <v>800</v>
      </c>
      <c r="C325" s="304" t="s">
        <v>752</v>
      </c>
      <c r="D325" s="304" t="s">
        <v>752</v>
      </c>
      <c r="E325" s="304">
        <v>10938.25</v>
      </c>
      <c r="F325" s="304">
        <v>824.9</v>
      </c>
      <c r="G325" s="304">
        <v>0</v>
      </c>
      <c r="H325" s="304">
        <f>Q325+R325*VLOOKUP(A325,Capacity!$AC$270:$AF$274,4,FALSE)</f>
        <v>652.15606877901348</v>
      </c>
      <c r="I325" s="304">
        <v>1930.97</v>
      </c>
      <c r="J325" s="304">
        <f>SUMIF(RE!$A$274:$A$310,$B325,RE!B$274:B$310)</f>
        <v>4293.72</v>
      </c>
      <c r="K325" s="304">
        <f>SUMIF(RE!$A$274:$A$310,$B325,RE!C$274:C$310)-N325</f>
        <v>2597.6366666666668</v>
      </c>
      <c r="L325" s="304">
        <f>SUMIF(RE!$A$274:$A$310,$B325,RE!D$274:D$310)+SUMIF(RE!$A$274:$A$310,$B325,RE!E$274:E$310)</f>
        <v>120.63333333333333</v>
      </c>
      <c r="M325" s="304">
        <f>SUMIF(RE!$A$274:$A$310,$B325,RE!F$274:F$310)</f>
        <v>23.850000000000005</v>
      </c>
      <c r="N325" s="209">
        <f>RJ!C13</f>
        <v>60</v>
      </c>
      <c r="Q325" s="304">
        <v>556.74</v>
      </c>
      <c r="R325" s="304">
        <f>IFERROR(Q325/VLOOKUP(A325,Capacity!$AC$270:$AE$274,3,FALSE),0)</f>
        <v>0.40256547455494657</v>
      </c>
      <c r="Z325" s="304">
        <v>11763.15</v>
      </c>
      <c r="AA325" s="304">
        <v>6773.64</v>
      </c>
      <c r="AB325" s="304">
        <v>21024.5</v>
      </c>
      <c r="AC325" s="304">
        <f t="shared" si="20"/>
        <v>262.19999999999982</v>
      </c>
    </row>
    <row r="326" spans="1:29" s="304" customFormat="1" x14ac:dyDescent="0.35">
      <c r="A326" s="304" t="s">
        <v>1046</v>
      </c>
      <c r="B326" s="304" t="s">
        <v>805</v>
      </c>
      <c r="C326" s="304" t="s">
        <v>753</v>
      </c>
      <c r="D326" s="304" t="s">
        <v>753</v>
      </c>
      <c r="E326" s="304">
        <v>18073.72</v>
      </c>
      <c r="F326" s="304">
        <v>549.49</v>
      </c>
      <c r="G326" s="304">
        <v>0</v>
      </c>
      <c r="H326" s="304">
        <f>Q326+R326*VLOOKUP(A326,Capacity!$AC$270:$AF$274,4,FALSE)</f>
        <v>339.09210545344115</v>
      </c>
      <c r="I326" s="304">
        <v>3421.03</v>
      </c>
      <c r="J326" s="304">
        <f>SUMIF(RE!$A$274:$A$310,$B326,RE!B$274:B$310)</f>
        <v>0</v>
      </c>
      <c r="K326" s="304">
        <f>SUMIF(RE!$A$274:$A$310,$B326,RE!C$274:C$310)-N326</f>
        <v>649.01</v>
      </c>
      <c r="L326" s="304">
        <f>SUMIF(RE!$A$274:$A$310,$B326,RE!D$274:D$310)+SUMIF(RE!$A$274:$A$310,$B326,RE!E$274:E$310)</f>
        <v>2057.6733333333332</v>
      </c>
      <c r="M326" s="304">
        <f>SUMIF(RE!$A$274:$A$310,$B326,RE!F$274:F$310)</f>
        <v>25.100000000000005</v>
      </c>
      <c r="N326" s="304">
        <v>0</v>
      </c>
      <c r="Q326" s="304">
        <v>289.48</v>
      </c>
      <c r="R326" s="304">
        <f>IFERROR(Q326/VLOOKUP(A326,Capacity!$AC$270:$AE$274,3,FALSE),0)</f>
        <v>0.20931611447743281</v>
      </c>
      <c r="Z326" s="304">
        <v>18623.21</v>
      </c>
      <c r="AA326" s="304">
        <v>2677.01</v>
      </c>
      <c r="AB326" s="304">
        <v>25010.73</v>
      </c>
      <c r="AC326" s="304">
        <f t="shared" si="20"/>
        <v>54.773333333333085</v>
      </c>
    </row>
    <row r="327" spans="1:29" s="304" customFormat="1" x14ac:dyDescent="0.35">
      <c r="A327" s="304" t="s">
        <v>1046</v>
      </c>
      <c r="B327" s="304" t="s">
        <v>806</v>
      </c>
      <c r="C327" s="304" t="s">
        <v>807</v>
      </c>
      <c r="D327" s="304" t="s">
        <v>807</v>
      </c>
      <c r="E327" s="304">
        <v>442.24</v>
      </c>
      <c r="F327" s="304">
        <v>519.66</v>
      </c>
      <c r="G327" s="304">
        <v>0</v>
      </c>
      <c r="H327" s="304">
        <f>Q327+R327*VLOOKUP(A327,Capacity!$AC$270:$AF$274,4,FALSE)</f>
        <v>36.594021605518513</v>
      </c>
      <c r="I327" s="304">
        <v>1815.69</v>
      </c>
      <c r="J327" s="304">
        <f>SUMIF(RE!$A$274:$A$310,$B327,RE!B$274:B$310)</f>
        <v>0</v>
      </c>
      <c r="K327" s="304">
        <f>SUMIF(RE!$A$274:$A$310,$B327,RE!C$274:C$310)-N327</f>
        <v>279.82333333333332</v>
      </c>
      <c r="L327" s="304">
        <f>SUMIF(RE!$A$274:$A$310,$B327,RE!D$274:D$310)+SUMIF(RE!$A$274:$A$310,$B327,RE!E$274:E$310)</f>
        <v>111.33333333333333</v>
      </c>
      <c r="M327" s="304">
        <f>SUMIF(RE!$A$274:$A$310,$B327,RE!F$274:F$310)</f>
        <v>212.65333333333334</v>
      </c>
      <c r="N327" s="304">
        <v>0</v>
      </c>
      <c r="Q327" s="304">
        <v>31.24</v>
      </c>
      <c r="R327" s="304">
        <f>IFERROR(Q327/VLOOKUP(A327,Capacity!$AC$270:$AE$274,3,FALSE),0)</f>
        <v>2.2588902225628715E-2</v>
      </c>
      <c r="Z327" s="304">
        <v>961.9</v>
      </c>
      <c r="AA327" s="304">
        <v>547.4</v>
      </c>
      <c r="AB327" s="304">
        <v>3356.23</v>
      </c>
      <c r="AC327" s="304">
        <f t="shared" si="20"/>
        <v>56.409999999999968</v>
      </c>
    </row>
    <row r="328" spans="1:29" s="304" customFormat="1" x14ac:dyDescent="0.35">
      <c r="A328" s="304" t="s">
        <v>1046</v>
      </c>
      <c r="B328" s="304" t="s">
        <v>1048</v>
      </c>
      <c r="C328" s="304" t="s">
        <v>1400</v>
      </c>
      <c r="D328" s="304" t="s">
        <v>809</v>
      </c>
      <c r="E328" s="304">
        <v>38.15</v>
      </c>
      <c r="F328" s="304">
        <v>15.03</v>
      </c>
      <c r="G328" s="304">
        <v>0</v>
      </c>
      <c r="H328" s="304">
        <f>Q328+R328*VLOOKUP(A328,Capacity!$AC$270:$AF$274,4,FALSE)</f>
        <v>9.3827821082011305</v>
      </c>
      <c r="I328" s="304">
        <v>101.71</v>
      </c>
      <c r="J328" s="304">
        <f>SUMIF(RE!$A$274:$A$310,$B328,RE!B$274:B$310)</f>
        <v>0</v>
      </c>
      <c r="K328" s="304">
        <f>SUMIF(RE!$A$274:$A$310,$B328,RE!C$274:C$310)-N328</f>
        <v>26.006666666666671</v>
      </c>
      <c r="L328" s="304">
        <f>SUMIF(RE!$A$274:$A$310,$B328,RE!D$274:D$310)+SUMIF(RE!$A$274:$A$310,$B328,RE!E$274:E$310)</f>
        <v>0</v>
      </c>
      <c r="M328" s="304">
        <f>SUMIF(RE!$A$274:$A$310,$B328,RE!F$274:F$310)</f>
        <v>0</v>
      </c>
      <c r="N328" s="304">
        <v>0</v>
      </c>
      <c r="Q328" s="304">
        <v>8.01</v>
      </c>
      <c r="R328" s="304">
        <f>IFERROR(Q328/VLOOKUP(A328,Capacity!$AC$270:$AE$274,3,FALSE),0)</f>
        <v>5.7918408075315619E-3</v>
      </c>
      <c r="Z328" s="304">
        <v>53.17</v>
      </c>
      <c r="AA328" s="304">
        <v>25.2</v>
      </c>
      <c r="AB328" s="304">
        <v>188.09</v>
      </c>
      <c r="AC328" s="304">
        <f t="shared" si="20"/>
        <v>0.80666666666667197</v>
      </c>
    </row>
    <row r="329" spans="1:29" s="304" customFormat="1" x14ac:dyDescent="0.35">
      <c r="A329" s="304" t="s">
        <v>628</v>
      </c>
      <c r="B329" s="304" t="s">
        <v>772</v>
      </c>
      <c r="C329" s="304" t="s">
        <v>773</v>
      </c>
      <c r="D329" s="304" t="s">
        <v>773</v>
      </c>
      <c r="E329" s="304">
        <v>454.78</v>
      </c>
      <c r="F329" s="304">
        <v>67.67</v>
      </c>
      <c r="G329" s="304">
        <v>0</v>
      </c>
      <c r="H329" s="304">
        <f>Q329+R329*VLOOKUP(A329,Capacity!$AC$270:$AF$274,4,FALSE)</f>
        <v>29.677419354838708</v>
      </c>
      <c r="I329" s="304">
        <v>0</v>
      </c>
      <c r="J329" s="304">
        <f>SUMIF(RE!$A$274:$A$310,$B329,RE!B$274:B$310)</f>
        <v>0</v>
      </c>
      <c r="K329" s="304">
        <f>SUMIF(RE!$A$274:$A$310,$B329,RE!C$274:C$310)-N329</f>
        <v>0.84333333333333327</v>
      </c>
      <c r="L329" s="304">
        <f>SUMIF(RE!$A$274:$A$310,$B329,RE!D$274:D$310)+SUMIF(RE!$A$274:$A$310,$B329,RE!E$274:E$310)</f>
        <v>0</v>
      </c>
      <c r="M329" s="304">
        <f>SUMIF(RE!$A$274:$A$310,$B329,RE!F$274:F$310)</f>
        <v>5.000000000000001E-2</v>
      </c>
      <c r="N329" s="304">
        <v>0</v>
      </c>
      <c r="Q329" s="304">
        <v>26</v>
      </c>
      <c r="R329" s="304">
        <f>IFERROR(Q329/VLOOKUP(A329,Capacity!$AC$270:$AE$274,3,FALSE),0)</f>
        <v>1.6129032258064516E-2</v>
      </c>
      <c r="Z329" s="304">
        <v>522.45000000000005</v>
      </c>
      <c r="AA329" s="304">
        <v>0.96</v>
      </c>
      <c r="AB329" s="304">
        <v>549.41</v>
      </c>
      <c r="AC329" s="304">
        <f t="shared" si="20"/>
        <v>-6.6666666666666652E-2</v>
      </c>
    </row>
    <row r="330" spans="1:29" s="304" customFormat="1" x14ac:dyDescent="0.35">
      <c r="A330" s="304" t="s">
        <v>628</v>
      </c>
      <c r="B330" s="304" t="s">
        <v>1049</v>
      </c>
      <c r="C330" s="304" t="s">
        <v>1398</v>
      </c>
      <c r="D330" s="304" t="s">
        <v>809</v>
      </c>
      <c r="E330" s="304">
        <v>126.63</v>
      </c>
      <c r="F330" s="304">
        <v>43.34</v>
      </c>
      <c r="G330" s="304">
        <v>0</v>
      </c>
      <c r="H330" s="304">
        <f>Q330+R330*VLOOKUP(A330,Capacity!$AC$270:$AF$274,4,FALSE)</f>
        <v>7.9900744416873453</v>
      </c>
      <c r="I330" s="304">
        <v>0</v>
      </c>
      <c r="J330" s="304">
        <f>SUMIF(RE!$A$274:$A$310,$B330,RE!B$274:B$310)</f>
        <v>0</v>
      </c>
      <c r="K330" s="304">
        <f>SUMIF(RE!$A$274:$A$310,$B330,RE!C$274:C$310)-N330</f>
        <v>12.160000000000002</v>
      </c>
      <c r="L330" s="304">
        <f>SUMIF(RE!$A$274:$A$310,$B330,RE!D$274:D$310)+SUMIF(RE!$A$274:$A$310,$B330,RE!E$274:E$310)</f>
        <v>0</v>
      </c>
      <c r="M330" s="304">
        <f>SUMIF(RE!$A$274:$A$310,$B330,RE!F$274:F$310)</f>
        <v>0</v>
      </c>
      <c r="N330" s="304">
        <v>0</v>
      </c>
      <c r="Q330" s="304">
        <v>7</v>
      </c>
      <c r="R330" s="304">
        <f>IFERROR(Q330/VLOOKUP(A330,Capacity!$AC$270:$AE$274,3,FALSE),0)</f>
        <v>4.3424317617866007E-3</v>
      </c>
      <c r="Z330" s="304">
        <v>169.97</v>
      </c>
      <c r="AA330" s="304">
        <v>10.61</v>
      </c>
      <c r="AB330" s="304">
        <v>187.58</v>
      </c>
      <c r="AC330" s="304">
        <f t="shared" si="20"/>
        <v>1.5500000000000025</v>
      </c>
    </row>
    <row r="331" spans="1:29" s="304" customFormat="1" x14ac:dyDescent="0.35">
      <c r="A331" s="304" t="s">
        <v>628</v>
      </c>
      <c r="B331" s="304" t="s">
        <v>774</v>
      </c>
      <c r="C331" s="304" t="s">
        <v>751</v>
      </c>
      <c r="D331" s="304" t="s">
        <v>751</v>
      </c>
      <c r="E331" s="304">
        <v>15606.18</v>
      </c>
      <c r="F331" s="304">
        <v>6561.82</v>
      </c>
      <c r="G331" s="304">
        <v>0</v>
      </c>
      <c r="H331" s="304">
        <f>Q331+R331*VLOOKUP(A331,Capacity!$AC$270:$AF$274,4,FALSE)</f>
        <v>638.06451612903231</v>
      </c>
      <c r="I331" s="304">
        <v>772</v>
      </c>
      <c r="J331" s="304">
        <f>SUMIF(RE!$A$274:$A$310,$B331,RE!B$274:B$310)</f>
        <v>5681.9866666666667</v>
      </c>
      <c r="K331" s="304">
        <f>SUMIF(RE!$A$274:$A$310,$B331,RE!C$274:C$310)-N331</f>
        <v>1514.823333333333</v>
      </c>
      <c r="L331" s="304">
        <f>SUMIF(RE!$A$274:$A$310,$B331,RE!D$274:D$310)+SUMIF(RE!$A$274:$A$310,$B331,RE!E$274:E$310)</f>
        <v>73.3</v>
      </c>
      <c r="M331" s="304">
        <f>SUMIF(RE!$A$274:$A$310,$B331,RE!F$274:F$310)</f>
        <v>24.600000000000005</v>
      </c>
      <c r="N331" s="304">
        <v>0</v>
      </c>
      <c r="Q331" s="304">
        <v>559</v>
      </c>
      <c r="R331" s="304">
        <f>IFERROR(Q331/VLOOKUP(A331,Capacity!$AC$270:$AE$274,3,FALSE),0)</f>
        <v>0.34677419354838712</v>
      </c>
      <c r="Z331" s="304">
        <v>22168</v>
      </c>
      <c r="AA331" s="304">
        <v>7295.32</v>
      </c>
      <c r="AB331" s="304">
        <v>30794.32</v>
      </c>
      <c r="AC331" s="304">
        <f t="shared" si="20"/>
        <v>-0.60999999999967258</v>
      </c>
    </row>
    <row r="332" spans="1:29" s="304" customFormat="1" x14ac:dyDescent="0.35">
      <c r="A332" s="304" t="s">
        <v>628</v>
      </c>
      <c r="B332" s="304" t="s">
        <v>789</v>
      </c>
      <c r="C332" s="304" t="s">
        <v>754</v>
      </c>
      <c r="D332" s="304" t="s">
        <v>754</v>
      </c>
      <c r="E332" s="304">
        <v>12448.41</v>
      </c>
      <c r="F332" s="304">
        <v>357</v>
      </c>
      <c r="G332" s="304">
        <v>0</v>
      </c>
      <c r="H332" s="304">
        <f>Q332+R332*VLOOKUP(A332,Capacity!$AC$270:$AF$274,4,FALSE)</f>
        <v>311.61290322580646</v>
      </c>
      <c r="I332" s="304">
        <v>3223.66</v>
      </c>
      <c r="J332" s="304">
        <f>SUMIF(RE!$A$274:$A$310,$B332,RE!B$274:B$310)</f>
        <v>2512.5233333333331</v>
      </c>
      <c r="K332" s="304">
        <f>SUMIF(RE!$A$274:$A$310,$B332,RE!C$274:C$310)-N332</f>
        <v>1306.8866666666665</v>
      </c>
      <c r="L332" s="304">
        <f>SUMIF(RE!$A$274:$A$310,$B332,RE!D$274:D$310)+SUMIF(RE!$A$274:$A$310,$B332,RE!E$274:E$310)</f>
        <v>112.8</v>
      </c>
      <c r="M332" s="304">
        <f>SUMIF(RE!$A$274:$A$310,$B332,RE!F$274:F$310)</f>
        <v>92.660000000000011</v>
      </c>
      <c r="N332" s="304">
        <v>0</v>
      </c>
      <c r="Q332" s="304">
        <v>273</v>
      </c>
      <c r="R332" s="304">
        <f>IFERROR(Q332/VLOOKUP(A332,Capacity!$AC$270:$AE$274,3,FALSE),0)</f>
        <v>0.16935483870967741</v>
      </c>
      <c r="Z332" s="304">
        <v>12805.41</v>
      </c>
      <c r="AA332" s="304">
        <v>4019.8</v>
      </c>
      <c r="AB332" s="304">
        <v>20321.87</v>
      </c>
      <c r="AC332" s="304">
        <f t="shared" si="20"/>
        <v>5.069999999999709</v>
      </c>
    </row>
    <row r="333" spans="1:29" s="304" customFormat="1" x14ac:dyDescent="0.35">
      <c r="A333" s="304" t="s">
        <v>628</v>
      </c>
      <c r="B333" s="304" t="s">
        <v>767</v>
      </c>
      <c r="C333" s="304" t="s">
        <v>768</v>
      </c>
      <c r="D333" s="304" t="s">
        <v>768</v>
      </c>
      <c r="E333" s="304">
        <v>12723.44</v>
      </c>
      <c r="F333" s="304">
        <v>0</v>
      </c>
      <c r="G333" s="304">
        <v>0</v>
      </c>
      <c r="H333" s="304">
        <f>Q333+R333*VLOOKUP(A333,Capacity!$AC$270:$AF$274,4,FALSE)</f>
        <v>54.789081885856078</v>
      </c>
      <c r="I333" s="304">
        <v>120</v>
      </c>
      <c r="J333" s="304">
        <f>SUMIF(RE!$A$274:$A$310,$B333,RE!B$274:B$310)</f>
        <v>0</v>
      </c>
      <c r="K333" s="304">
        <f>SUMIF(RE!$A$274:$A$310,$B333,RE!C$274:C$310)-N333</f>
        <v>197.1866666666667</v>
      </c>
      <c r="L333" s="304">
        <f>SUMIF(RE!$A$274:$A$310,$B333,RE!D$274:D$310)+SUMIF(RE!$A$274:$A$310,$B333,RE!E$274:E$310)</f>
        <v>229.66666666666666</v>
      </c>
      <c r="M333" s="304">
        <f>SUMIF(RE!$A$274:$A$310,$B333,RE!F$274:F$310)</f>
        <v>76</v>
      </c>
      <c r="N333" s="304">
        <v>0</v>
      </c>
      <c r="Q333" s="304">
        <v>48</v>
      </c>
      <c r="R333" s="304">
        <f>IFERROR(Q333/VLOOKUP(A333,Capacity!$AC$270:$AE$274,3,FALSE),0)</f>
        <v>2.9776674937965261E-2</v>
      </c>
      <c r="Z333" s="304">
        <v>12723.44</v>
      </c>
      <c r="AA333" s="304">
        <v>535.35</v>
      </c>
      <c r="AB333" s="304">
        <v>13426.79</v>
      </c>
      <c r="AC333" s="304">
        <f t="shared" si="20"/>
        <v>-32.49666666666667</v>
      </c>
    </row>
    <row r="334" spans="1:29" s="304" customFormat="1" x14ac:dyDescent="0.35">
      <c r="A334" s="304" t="s">
        <v>628</v>
      </c>
      <c r="B334" s="304" t="s">
        <v>790</v>
      </c>
      <c r="C334" s="304" t="s">
        <v>749</v>
      </c>
      <c r="D334" s="304" t="s">
        <v>749</v>
      </c>
      <c r="E334" s="304">
        <v>26960.75</v>
      </c>
      <c r="F334" s="304">
        <v>3512.73</v>
      </c>
      <c r="G334" s="304">
        <v>0</v>
      </c>
      <c r="H334" s="304">
        <f>Q334+R334*VLOOKUP(A334,Capacity!$AC$270:$AF$274,4,FALSE)</f>
        <v>787.59305210918114</v>
      </c>
      <c r="I334" s="304">
        <v>3331.84</v>
      </c>
      <c r="J334" s="304">
        <f>SUMIF(RE!$A$274:$A$310,$B334,RE!B$274:B$310)</f>
        <v>4782.53</v>
      </c>
      <c r="K334" s="304">
        <f>SUMIF(RE!$A$274:$A$310,$B334,RE!C$274:C$310)-N334</f>
        <v>1096.9099999999999</v>
      </c>
      <c r="L334" s="304">
        <f>SUMIF(RE!$A$274:$A$310,$B334,RE!D$274:D$310)+SUMIF(RE!$A$274:$A$310,$B334,RE!E$274:E$310)</f>
        <v>2158.5666666666666</v>
      </c>
      <c r="M334" s="304">
        <f>SUMIF(RE!$A$274:$A$310,$B334,RE!F$274:F$310)</f>
        <v>364.43833333333333</v>
      </c>
      <c r="N334" s="304">
        <v>0</v>
      </c>
      <c r="Q334" s="304">
        <v>690</v>
      </c>
      <c r="R334" s="304">
        <f>IFERROR(Q334/VLOOKUP(A334,Capacity!$AC$270:$AE$274,3,FALSE),0)</f>
        <v>0.42803970223325061</v>
      </c>
      <c r="Z334" s="304">
        <v>30473.48</v>
      </c>
      <c r="AA334" s="304">
        <v>8578.8799999999992</v>
      </c>
      <c r="AB334" s="304">
        <v>43074.19</v>
      </c>
      <c r="AC334" s="304">
        <f t="shared" si="20"/>
        <v>-176.43499999999949</v>
      </c>
    </row>
    <row r="335" spans="1:29" s="304" customFormat="1" x14ac:dyDescent="0.35">
      <c r="A335" s="304" t="s">
        <v>628</v>
      </c>
      <c r="B335" s="304" t="s">
        <v>1050</v>
      </c>
      <c r="C335" s="304" t="s">
        <v>1401</v>
      </c>
      <c r="D335" s="304" t="s">
        <v>809</v>
      </c>
      <c r="E335" s="304">
        <v>174.44</v>
      </c>
      <c r="F335" s="304">
        <v>66.34</v>
      </c>
      <c r="G335" s="304">
        <v>0</v>
      </c>
      <c r="H335" s="304">
        <f>Q335+R335*VLOOKUP(A335,Capacity!$AC$270:$AF$274,4,FALSE)</f>
        <v>10.272952853598015</v>
      </c>
      <c r="I335" s="304">
        <v>0</v>
      </c>
      <c r="J335" s="304">
        <f>SUMIF(RE!$A$274:$A$310,$B335,RE!B$274:B$310)</f>
        <v>0</v>
      </c>
      <c r="K335" s="304">
        <f>SUMIF(RE!$A$274:$A$310,$B335,RE!C$274:C$310)-N335</f>
        <v>0</v>
      </c>
      <c r="L335" s="304">
        <f>SUMIF(RE!$A$274:$A$310,$B335,RE!D$274:D$310)+SUMIF(RE!$A$274:$A$310,$B335,RE!E$274:E$310)</f>
        <v>0</v>
      </c>
      <c r="M335" s="304">
        <f>SUMIF(RE!$A$274:$A$310,$B335,RE!F$274:F$310)</f>
        <v>0</v>
      </c>
      <c r="N335" s="304">
        <v>0</v>
      </c>
      <c r="Q335" s="304">
        <v>9</v>
      </c>
      <c r="R335" s="304">
        <f>IFERROR(Q335/VLOOKUP(A335,Capacity!$AC$270:$AE$274,3,FALSE),0)</f>
        <v>5.5831265508684861E-3</v>
      </c>
      <c r="Z335" s="304">
        <v>240.78</v>
      </c>
      <c r="AA335" s="304">
        <v>5.46</v>
      </c>
      <c r="AB335" s="304">
        <v>255.24</v>
      </c>
      <c r="AC335" s="304">
        <f t="shared" si="20"/>
        <v>-5.46</v>
      </c>
    </row>
    <row r="336" spans="1:29" s="304" customFormat="1" x14ac:dyDescent="0.35">
      <c r="A336" s="304" t="s">
        <v>1051</v>
      </c>
      <c r="B336" s="304" t="s">
        <v>762</v>
      </c>
      <c r="C336" s="304" t="s">
        <v>259</v>
      </c>
      <c r="D336" s="304" t="s">
        <v>259</v>
      </c>
      <c r="E336" s="304">
        <v>10558.44</v>
      </c>
      <c r="F336" s="304">
        <v>3929.52</v>
      </c>
      <c r="G336" s="304">
        <v>36.799999999999997</v>
      </c>
      <c r="H336" s="304">
        <f>Q336+R336*VLOOKUP(A336,Capacity!$AC$270:$AF$274,4,FALSE)</f>
        <v>147.22522648083623</v>
      </c>
      <c r="I336" s="304">
        <v>1673.6</v>
      </c>
      <c r="J336" s="304">
        <f>SUMIF(RE!$A$274:$A$310,$B336,RE!B$274:B$310)</f>
        <v>3922.5166666666664</v>
      </c>
      <c r="K336" s="304">
        <f>SUMIF(RE!$A$274:$A$310,$B336,RE!C$274:C$310)-N336</f>
        <v>2383.5833333333335</v>
      </c>
      <c r="L336" s="304">
        <f>SUMIF(RE!$A$274:$A$310,$B336,RE!D$274:D$310)+SUMIF(RE!$A$274:$A$310,$B336,RE!E$274:E$310)</f>
        <v>479.01333333333332</v>
      </c>
      <c r="M336" s="304">
        <f>SUMIF(RE!$A$274:$A$310,$B336,RE!F$274:F$310)</f>
        <v>188.73333333333335</v>
      </c>
      <c r="N336" s="304">
        <v>0</v>
      </c>
      <c r="Q336" s="304">
        <v>127.27</v>
      </c>
      <c r="R336" s="304">
        <f>IFERROR(Q336/VLOOKUP(A336,Capacity!$AC$270:$AE$274,3,FALSE),0)</f>
        <v>4.4344947735191639E-2</v>
      </c>
      <c r="Z336" s="304">
        <v>14524.76</v>
      </c>
      <c r="AA336" s="304">
        <v>6725.88</v>
      </c>
      <c r="AB336" s="304">
        <v>23051.51</v>
      </c>
      <c r="AC336" s="304">
        <f t="shared" si="20"/>
        <v>247.96666666666715</v>
      </c>
    </row>
    <row r="337" spans="1:29" s="304" customFormat="1" x14ac:dyDescent="0.35">
      <c r="A337" s="304" t="s">
        <v>1051</v>
      </c>
      <c r="B337" s="304" t="s">
        <v>803</v>
      </c>
      <c r="C337" s="304" t="s">
        <v>181</v>
      </c>
      <c r="D337" s="304" t="s">
        <v>181</v>
      </c>
      <c r="E337" s="304">
        <v>7878.07</v>
      </c>
      <c r="F337" s="304">
        <v>950.88</v>
      </c>
      <c r="G337" s="304">
        <v>0</v>
      </c>
      <c r="H337" s="304">
        <f>Q337+R337*VLOOKUP(A337,Capacity!$AC$270:$AF$274,4,FALSE)</f>
        <v>172.05003484320557</v>
      </c>
      <c r="I337" s="304">
        <v>2449.9299999999998</v>
      </c>
      <c r="J337" s="304">
        <f>SUMIF(RE!$A$274:$A$310,$B337,RE!B$274:B$310)</f>
        <v>119</v>
      </c>
      <c r="K337" s="304">
        <f>SUMIF(RE!$A$274:$A$310,$B337,RE!C$274:C$310)-N337</f>
        <v>2699.08</v>
      </c>
      <c r="L337" s="304">
        <f>SUMIF(RE!$A$274:$A$310,$B337,RE!D$274:D$310)+SUMIF(RE!$A$274:$A$310,$B337,RE!E$274:E$310)</f>
        <v>171.1</v>
      </c>
      <c r="M337" s="304">
        <f>SUMIF(RE!$A$274:$A$310,$B337,RE!F$274:F$310)</f>
        <v>60.580000000000005</v>
      </c>
      <c r="N337" s="304">
        <v>0</v>
      </c>
      <c r="Q337" s="304">
        <v>148.72999999999999</v>
      </c>
      <c r="R337" s="304">
        <f>IFERROR(Q337/VLOOKUP(A337,Capacity!$AC$270:$AE$274,3,FALSE),0)</f>
        <v>5.1822299651567941E-2</v>
      </c>
      <c r="Z337" s="304">
        <v>8828.9500000000007</v>
      </c>
      <c r="AA337" s="304">
        <v>3659.52</v>
      </c>
      <c r="AB337" s="304">
        <v>15087.13</v>
      </c>
      <c r="AC337" s="304">
        <f t="shared" si="20"/>
        <v>-609.76000000000022</v>
      </c>
    </row>
    <row r="338" spans="1:29" s="304" customFormat="1" x14ac:dyDescent="0.35">
      <c r="A338" s="304" t="s">
        <v>1051</v>
      </c>
      <c r="B338" s="304" t="s">
        <v>783</v>
      </c>
      <c r="C338" s="304" t="s">
        <v>784</v>
      </c>
      <c r="D338" s="304" t="s">
        <v>784</v>
      </c>
      <c r="E338" s="304">
        <v>9807.7000000000007</v>
      </c>
      <c r="F338" s="304">
        <v>0</v>
      </c>
      <c r="G338" s="304">
        <v>153.12</v>
      </c>
      <c r="H338" s="304">
        <f>Q338+R338*VLOOKUP(A338,Capacity!$AC$270:$AF$274,4,FALSE)</f>
        <v>807.44250871080135</v>
      </c>
      <c r="I338" s="304">
        <v>3599.8</v>
      </c>
      <c r="J338" s="304">
        <f>SUMIF(RE!$A$274:$A$310,$B338,RE!B$274:B$310)</f>
        <v>4365.333333333333</v>
      </c>
      <c r="K338" s="304">
        <f>SUMIF(RE!$A$274:$A$310,$B338,RE!C$274:C$310)-N338</f>
        <v>3829.5466666666666</v>
      </c>
      <c r="L338" s="304">
        <f>SUMIF(RE!$A$274:$A$310,$B338,RE!D$274:D$310)+SUMIF(RE!$A$274:$A$310,$B338,RE!E$274:E$310)</f>
        <v>1684.2</v>
      </c>
      <c r="M338" s="304">
        <f>SUMIF(RE!$A$274:$A$310,$B338,RE!F$274:F$310)</f>
        <v>1229.0633333333333</v>
      </c>
      <c r="N338" s="304">
        <v>0</v>
      </c>
      <c r="Q338" s="304">
        <v>698</v>
      </c>
      <c r="R338" s="304">
        <f>IFERROR(Q338/VLOOKUP(A338,Capacity!$AC$270:$AE$274,3,FALSE),0)</f>
        <v>0.24320557491289199</v>
      </c>
      <c r="Z338" s="304">
        <v>9960.82</v>
      </c>
      <c r="AA338" s="304">
        <v>12438.85</v>
      </c>
      <c r="AB338" s="304">
        <v>26697.47</v>
      </c>
      <c r="AC338" s="304">
        <f t="shared" si="20"/>
        <v>-1330.7066666666669</v>
      </c>
    </row>
    <row r="339" spans="1:29" s="304" customFormat="1" x14ac:dyDescent="0.35">
      <c r="A339" s="304" t="s">
        <v>1051</v>
      </c>
      <c r="B339" s="304" t="s">
        <v>786</v>
      </c>
      <c r="C339" s="304" t="s">
        <v>787</v>
      </c>
      <c r="D339" s="304" t="s">
        <v>787</v>
      </c>
      <c r="E339" s="304">
        <v>1758.22</v>
      </c>
      <c r="F339" s="304">
        <v>533.58000000000004</v>
      </c>
      <c r="G339" s="304">
        <v>159.96</v>
      </c>
      <c r="H339" s="304">
        <f>Q339+R339*VLOOKUP(A339,Capacity!$AC$270:$AF$274,4,FALSE)</f>
        <v>418.75958188153311</v>
      </c>
      <c r="I339" s="304">
        <v>1881.5</v>
      </c>
      <c r="J339" s="304">
        <f>SUMIF(RE!$A$274:$A$310,$B339,RE!B$274:B$310)</f>
        <v>52.166666666666664</v>
      </c>
      <c r="K339" s="304">
        <f>SUMIF(RE!$A$274:$A$310,$B339,RE!C$274:C$310)-N339</f>
        <v>117.06</v>
      </c>
      <c r="L339" s="304">
        <f>SUMIF(RE!$A$274:$A$310,$B339,RE!D$274:D$310)+SUMIF(RE!$A$274:$A$310,$B339,RE!E$274:E$310)</f>
        <v>0.48</v>
      </c>
      <c r="M339" s="304">
        <f>SUMIF(RE!$A$274:$A$310,$B339,RE!F$274:F$310)</f>
        <v>219.02</v>
      </c>
      <c r="N339" s="304">
        <v>0</v>
      </c>
      <c r="Q339" s="304">
        <v>362</v>
      </c>
      <c r="R339" s="304">
        <f>IFERROR(Q339/VLOOKUP(A339,Capacity!$AC$270:$AE$274,3,FALSE),0)</f>
        <v>0.12613240418118468</v>
      </c>
      <c r="Z339" s="304">
        <v>2451.7600000000002</v>
      </c>
      <c r="AA339" s="304">
        <v>379.46</v>
      </c>
      <c r="AB339" s="304">
        <v>5074.72</v>
      </c>
      <c r="AC339" s="304">
        <f t="shared" si="20"/>
        <v>9.2666666666667084</v>
      </c>
    </row>
    <row r="340" spans="1:29" s="304" customFormat="1" x14ac:dyDescent="0.35">
      <c r="A340" s="304" t="s">
        <v>1051</v>
      </c>
      <c r="B340" s="304" t="s">
        <v>802</v>
      </c>
      <c r="C340" s="304" t="s">
        <v>788</v>
      </c>
      <c r="D340" s="304" t="s">
        <v>788</v>
      </c>
      <c r="E340" s="304">
        <v>13647.19</v>
      </c>
      <c r="F340" s="304">
        <v>1027.18</v>
      </c>
      <c r="G340" s="304">
        <v>411.7</v>
      </c>
      <c r="H340" s="304">
        <f>Q340+R340*VLOOKUP(A340,Capacity!$AC$270:$AF$274,4,FALSE)</f>
        <v>1675.0383275261324</v>
      </c>
      <c r="I340" s="304">
        <v>2203.1999999999998</v>
      </c>
      <c r="J340" s="304">
        <f>SUMIF(RE!$A$274:$A$310,$B340,RE!B$274:B$310)</f>
        <v>8350.08</v>
      </c>
      <c r="K340" s="304">
        <f>SUMIF(RE!$A$274:$A$310,$B340,RE!C$274:C$310)-N340</f>
        <v>2044.5766666666666</v>
      </c>
      <c r="L340" s="304">
        <f>SUMIF(RE!$A$274:$A$310,$B340,RE!D$274:D$310)+SUMIF(RE!$A$274:$A$310,$B340,RE!E$274:E$310)</f>
        <v>935.98333333333335</v>
      </c>
      <c r="M340" s="304">
        <f>SUMIF(RE!$A$274:$A$310,$B340,RE!F$274:F$310)</f>
        <v>123.05</v>
      </c>
      <c r="N340" s="304">
        <v>0</v>
      </c>
      <c r="Q340" s="304">
        <v>1448</v>
      </c>
      <c r="R340" s="304">
        <f>IFERROR(Q340/VLOOKUP(A340,Capacity!$AC$270:$AE$274,3,FALSE),0)</f>
        <v>0.50452961672473873</v>
      </c>
      <c r="Z340" s="304">
        <v>15086.07</v>
      </c>
      <c r="AA340" s="304">
        <v>11165.41</v>
      </c>
      <c r="AB340" s="304">
        <v>29902.68</v>
      </c>
      <c r="AC340" s="304">
        <f t="shared" si="20"/>
        <v>288.27999999999884</v>
      </c>
    </row>
    <row r="341" spans="1:29" s="304" customFormat="1" x14ac:dyDescent="0.35">
      <c r="A341" s="304" t="s">
        <v>1051</v>
      </c>
      <c r="B341" s="149" t="s">
        <v>1182</v>
      </c>
      <c r="E341" s="304">
        <v>100</v>
      </c>
      <c r="F341" s="304">
        <v>0</v>
      </c>
      <c r="G341" s="304">
        <v>0</v>
      </c>
      <c r="H341" s="304">
        <f>Q341+R341*VLOOKUP(A341,Capacity!$AC$270:$AF$274,4,FALSE)</f>
        <v>0</v>
      </c>
      <c r="I341" s="304">
        <v>0</v>
      </c>
      <c r="J341" s="304">
        <f>SUMIF(RE!$A$274:$A$310,$B341,RE!B$274:B$310)</f>
        <v>0</v>
      </c>
      <c r="K341" s="304">
        <f>SUMIF(RE!$A$274:$A$310,$B341,RE!C$274:C$310)-N341</f>
        <v>0</v>
      </c>
      <c r="L341" s="304">
        <f>SUMIF(RE!$A$274:$A$310,$B341,RE!D$274:D$310)+SUMIF(RE!$A$274:$A$310,$B341,RE!E$274:E$310)</f>
        <v>0</v>
      </c>
      <c r="M341" s="304">
        <f>SUMIF(RE!$A$274:$A$310,$B341,RE!F$274:F$310)</f>
        <v>0</v>
      </c>
      <c r="N341" s="304">
        <v>0</v>
      </c>
      <c r="Q341" s="304">
        <v>0</v>
      </c>
      <c r="R341" s="304">
        <f>IFERROR(Q341/VLOOKUP(A341,Capacity!$AC$270:$AE$274,3,FALSE),0)</f>
        <v>0</v>
      </c>
      <c r="Z341" s="304">
        <v>100</v>
      </c>
      <c r="AA341" s="304">
        <v>0</v>
      </c>
      <c r="AB341" s="304">
        <v>100</v>
      </c>
      <c r="AC341" s="304">
        <f t="shared" si="20"/>
        <v>0</v>
      </c>
    </row>
    <row r="342" spans="1:29" s="304" customFormat="1" x14ac:dyDescent="0.35">
      <c r="A342" s="304" t="s">
        <v>1051</v>
      </c>
      <c r="B342" s="304" t="s">
        <v>1052</v>
      </c>
      <c r="C342" s="304" t="s">
        <v>1397</v>
      </c>
      <c r="D342" s="304" t="s">
        <v>809</v>
      </c>
      <c r="E342" s="304">
        <v>248.4</v>
      </c>
      <c r="F342" s="304">
        <v>32.5</v>
      </c>
      <c r="G342" s="304">
        <v>0</v>
      </c>
      <c r="H342" s="304">
        <f>Q342+R342*VLOOKUP(A342,Capacity!$AC$270:$AF$274,4,FALSE)</f>
        <v>99.484320557491287</v>
      </c>
      <c r="I342" s="304">
        <v>0</v>
      </c>
      <c r="J342" s="304">
        <f>SUMIF(RE!$A$274:$A$310,$B342,RE!B$274:B$310)</f>
        <v>0</v>
      </c>
      <c r="K342" s="304">
        <f>SUMIF(RE!$A$274:$A$310,$B342,RE!C$274:C$310)-N342</f>
        <v>1.1666666666666667</v>
      </c>
      <c r="L342" s="304">
        <f>SUMIF(RE!$A$274:$A$310,$B342,RE!D$274:D$310)+SUMIF(RE!$A$274:$A$310,$B342,RE!E$274:E$310)</f>
        <v>0</v>
      </c>
      <c r="M342" s="304">
        <f>SUMIF(RE!$A$274:$A$310,$B342,RE!F$274:F$310)</f>
        <v>0</v>
      </c>
      <c r="N342" s="304">
        <v>0</v>
      </c>
      <c r="Q342" s="304">
        <v>86</v>
      </c>
      <c r="R342" s="304">
        <f>IFERROR(Q342/VLOOKUP(A342,Capacity!$AC$270:$AE$274,3,FALSE),0)</f>
        <v>2.9965156794425088E-2</v>
      </c>
      <c r="Z342" s="304">
        <v>280.89999999999998</v>
      </c>
      <c r="AA342" s="304">
        <v>0.16</v>
      </c>
      <c r="AB342" s="304">
        <v>367.06</v>
      </c>
      <c r="AC342" s="304">
        <f t="shared" si="20"/>
        <v>1.0066666666666668</v>
      </c>
    </row>
    <row r="343" spans="1:29" s="304" customFormat="1" x14ac:dyDescent="0.35">
      <c r="A343" s="304" t="s">
        <v>644</v>
      </c>
      <c r="B343" s="304" t="s">
        <v>766</v>
      </c>
      <c r="C343" s="304" t="s">
        <v>260</v>
      </c>
      <c r="D343" s="304" t="s">
        <v>260</v>
      </c>
      <c r="E343" s="304">
        <v>3905.33</v>
      </c>
      <c r="F343" s="304">
        <v>0</v>
      </c>
      <c r="G343" s="304">
        <v>0</v>
      </c>
      <c r="H343" s="304">
        <f>Q343+R343*VLOOKUP(A343,Capacity!$AC$270:$AF$274,4,FALSE)</f>
        <v>0</v>
      </c>
      <c r="I343" s="304">
        <v>110</v>
      </c>
      <c r="J343" s="304">
        <f>SUMIF(RE!$A$274:$A$310,$B343,RE!B$274:B$310)</f>
        <v>0</v>
      </c>
      <c r="K343" s="304">
        <f>SUMIF(RE!$A$274:$A$310,$B343,RE!C$274:C$310)-N343</f>
        <v>131.14000000000001</v>
      </c>
      <c r="L343" s="304">
        <f>SUMIF(RE!$A$274:$A$310,$B343,RE!D$274:D$310)+SUMIF(RE!$A$274:$A$310,$B343,RE!E$274:E$310)</f>
        <v>118.46666666666665</v>
      </c>
      <c r="M343" s="304">
        <f>SUMIF(RE!$A$274:$A$310,$B343,RE!F$274:F$310)</f>
        <v>70.7</v>
      </c>
      <c r="N343" s="304">
        <v>0</v>
      </c>
      <c r="Q343" s="304">
        <v>0</v>
      </c>
      <c r="R343" s="304">
        <f>IFERROR(Q343/VLOOKUP(A343,Capacity!$AC$270:$AE$274,3,FALSE),0)</f>
        <v>0</v>
      </c>
      <c r="Z343" s="304">
        <v>3905.33</v>
      </c>
      <c r="AA343" s="304">
        <v>326.14999999999998</v>
      </c>
      <c r="AB343" s="304">
        <v>4341.47</v>
      </c>
      <c r="AC343" s="304">
        <f t="shared" si="20"/>
        <v>-5.8433333333333053</v>
      </c>
    </row>
    <row r="344" spans="1:29" s="304" customFormat="1" x14ac:dyDescent="0.35">
      <c r="A344" s="304" t="s">
        <v>644</v>
      </c>
      <c r="B344" s="304" t="s">
        <v>781</v>
      </c>
      <c r="C344" s="304" t="s">
        <v>782</v>
      </c>
      <c r="D344" s="304" t="s">
        <v>782</v>
      </c>
      <c r="E344" s="304">
        <v>1543.74</v>
      </c>
      <c r="F344" s="304">
        <v>0</v>
      </c>
      <c r="G344" s="304">
        <v>0</v>
      </c>
      <c r="H344" s="304">
        <f>Q344+R344*VLOOKUP(A344,Capacity!$AC$270:$AF$274,4,FALSE)</f>
        <v>0</v>
      </c>
      <c r="I344" s="304">
        <v>191</v>
      </c>
      <c r="J344" s="304">
        <f>SUMIF(RE!$A$274:$A$310,$B344,RE!B$274:B$310)</f>
        <v>0</v>
      </c>
      <c r="K344" s="304">
        <f>SUMIF(RE!$A$274:$A$310,$B344,RE!C$274:C$310)-N344</f>
        <v>29.136666666666667</v>
      </c>
      <c r="L344" s="304">
        <f>SUMIF(RE!$A$274:$A$310,$B344,RE!D$274:D$310)+SUMIF(RE!$A$274:$A$310,$B344,RE!E$274:E$310)</f>
        <v>2.8666666666666667</v>
      </c>
      <c r="M344" s="304">
        <f>SUMIF(RE!$A$274:$A$310,$B344,RE!F$274:F$310)</f>
        <v>4.05</v>
      </c>
      <c r="N344" s="304">
        <v>0</v>
      </c>
      <c r="Q344" s="304">
        <v>0</v>
      </c>
      <c r="R344" s="304">
        <f>IFERROR(Q344/VLOOKUP(A344,Capacity!$AC$270:$AE$274,3,FALSE),0)</f>
        <v>0</v>
      </c>
      <c r="Z344" s="304">
        <v>1543.74</v>
      </c>
      <c r="AA344" s="304">
        <v>29.72</v>
      </c>
      <c r="AB344" s="304">
        <v>1764.46</v>
      </c>
      <c r="AC344" s="304">
        <f t="shared" si="20"/>
        <v>6.3333333333333286</v>
      </c>
    </row>
    <row r="345" spans="1:29" s="304" customFormat="1" x14ac:dyDescent="0.35">
      <c r="A345" s="304" t="s">
        <v>644</v>
      </c>
      <c r="B345" s="304" t="s">
        <v>808</v>
      </c>
      <c r="C345" s="304" t="s">
        <v>797</v>
      </c>
      <c r="D345" s="304" t="s">
        <v>797</v>
      </c>
      <c r="E345" s="304">
        <v>8705.77</v>
      </c>
      <c r="F345" s="304">
        <v>100</v>
      </c>
      <c r="G345" s="304">
        <v>0</v>
      </c>
      <c r="H345" s="304">
        <f>Q345+R345*VLOOKUP(A345,Capacity!$AC$270:$AF$274,4,FALSE)</f>
        <v>0</v>
      </c>
      <c r="I345" s="304">
        <v>1396</v>
      </c>
      <c r="J345" s="304">
        <f>SUMIF(RE!$A$274:$A$310,$B345,RE!B$274:B$310)</f>
        <v>0</v>
      </c>
      <c r="K345" s="304">
        <f>SUMIF(RE!$A$274:$A$310,$B345,RE!C$274:C$310)-N345</f>
        <v>34.026666666666664</v>
      </c>
      <c r="L345" s="304">
        <f>SUMIF(RE!$A$274:$A$310,$B345,RE!D$274:D$310)+SUMIF(RE!$A$274:$A$310,$B345,RE!E$274:E$310)</f>
        <v>313.28000000000003</v>
      </c>
      <c r="M345" s="304">
        <f>SUMIF(RE!$A$274:$A$310,$B345,RE!F$274:F$310)</f>
        <v>98.5</v>
      </c>
      <c r="N345" s="304">
        <v>0</v>
      </c>
      <c r="Q345" s="304">
        <v>0</v>
      </c>
      <c r="R345" s="304">
        <f>IFERROR(Q345/VLOOKUP(A345,Capacity!$AC$270:$AE$274,3,FALSE),0)</f>
        <v>0</v>
      </c>
      <c r="Z345" s="304">
        <v>8805.77</v>
      </c>
      <c r="AA345" s="304">
        <v>435.82</v>
      </c>
      <c r="AB345" s="304">
        <v>10637.59</v>
      </c>
      <c r="AC345" s="304">
        <f t="shared" si="20"/>
        <v>9.9866666666666788</v>
      </c>
    </row>
    <row r="346" spans="1:29" s="304" customFormat="1" x14ac:dyDescent="0.35">
      <c r="A346" s="304" t="s">
        <v>644</v>
      </c>
      <c r="B346" s="149" t="s">
        <v>688</v>
      </c>
      <c r="C346" s="304" t="s">
        <v>797</v>
      </c>
      <c r="D346" s="304" t="s">
        <v>797</v>
      </c>
      <c r="E346" s="304">
        <v>6985.04</v>
      </c>
      <c r="F346" s="304">
        <v>0</v>
      </c>
      <c r="G346" s="304">
        <v>0</v>
      </c>
      <c r="H346" s="304">
        <f>Q346+R346*VLOOKUP(A346,Capacity!$AC$270:$AF$274,4,FALSE)</f>
        <v>0</v>
      </c>
      <c r="I346" s="304">
        <v>186.2</v>
      </c>
      <c r="J346" s="304">
        <f>SUMIF(RE!$A$274:$A$310,$B346,RE!B$274:B$310)</f>
        <v>0</v>
      </c>
      <c r="K346" s="304">
        <f>SUMIF(RE!$A$274:$A$310,$B346,RE!C$274:C$310)-N346</f>
        <v>0</v>
      </c>
      <c r="L346" s="304">
        <f>SUMIF(RE!$A$274:$A$310,$B346,RE!D$274:D$310)+SUMIF(RE!$A$274:$A$310,$B346,RE!E$274:E$310)</f>
        <v>0</v>
      </c>
      <c r="M346" s="304">
        <f>SUMIF(RE!$A$274:$A$310,$B346,RE!F$274:F$310)</f>
        <v>0</v>
      </c>
      <c r="N346" s="304">
        <v>0</v>
      </c>
      <c r="Q346" s="304">
        <v>0</v>
      </c>
      <c r="R346" s="304">
        <f>IFERROR(Q346/VLOOKUP(A346,Capacity!$AC$270:$AE$274,3,FALSE),0)</f>
        <v>0</v>
      </c>
      <c r="Z346" s="304">
        <v>6985.04</v>
      </c>
      <c r="AA346" s="304">
        <v>0</v>
      </c>
      <c r="AB346" s="304">
        <v>7171.24</v>
      </c>
      <c r="AC346" s="304">
        <f t="shared" si="20"/>
        <v>0</v>
      </c>
    </row>
    <row r="347" spans="1:29" s="304" customFormat="1" x14ac:dyDescent="0.35">
      <c r="A347" s="304" t="s">
        <v>644</v>
      </c>
      <c r="B347" s="304" t="s">
        <v>795</v>
      </c>
      <c r="C347" s="304" t="s">
        <v>796</v>
      </c>
      <c r="D347" s="304" t="s">
        <v>796</v>
      </c>
      <c r="E347" s="304">
        <v>4992.8999999999996</v>
      </c>
      <c r="F347" s="304">
        <v>0</v>
      </c>
      <c r="G347" s="304">
        <v>0</v>
      </c>
      <c r="H347" s="304">
        <f>Q347+R347*VLOOKUP(A347,Capacity!$AC$270:$AF$274,4,FALSE)</f>
        <v>0</v>
      </c>
      <c r="I347" s="304">
        <v>2150.92</v>
      </c>
      <c r="J347" s="304">
        <f>SUMIF(RE!$A$274:$A$310,$B347,RE!B$274:B$310)</f>
        <v>0</v>
      </c>
      <c r="K347" s="304">
        <f>SUMIF(RE!$A$274:$A$310,$B347,RE!C$274:C$310)-N347</f>
        <v>104.97333333333334</v>
      </c>
      <c r="L347" s="304">
        <f>SUMIF(RE!$A$274:$A$310,$B347,RE!D$274:D$310)+SUMIF(RE!$A$274:$A$310,$B347,RE!E$274:E$310)</f>
        <v>56.28</v>
      </c>
      <c r="M347" s="304">
        <f>SUMIF(RE!$A$274:$A$310,$B347,RE!F$274:F$310)</f>
        <v>64.625</v>
      </c>
      <c r="N347" s="304">
        <v>0</v>
      </c>
      <c r="Q347" s="304">
        <v>0</v>
      </c>
      <c r="R347" s="304">
        <f>IFERROR(Q347/VLOOKUP(A347,Capacity!$AC$270:$AE$274,3,FALSE),0)</f>
        <v>0</v>
      </c>
      <c r="Z347" s="304">
        <v>4992.8999999999996</v>
      </c>
      <c r="AA347" s="304">
        <v>194.6</v>
      </c>
      <c r="AB347" s="304">
        <v>7338.42</v>
      </c>
      <c r="AC347" s="304">
        <f t="shared" si="20"/>
        <v>31.278333333333336</v>
      </c>
    </row>
    <row r="348" spans="1:29" s="304" customFormat="1" x14ac:dyDescent="0.35">
      <c r="A348" s="304" t="s">
        <v>644</v>
      </c>
      <c r="B348" s="304" t="s">
        <v>801</v>
      </c>
      <c r="C348" s="304" t="s">
        <v>1053</v>
      </c>
      <c r="D348" s="304" t="s">
        <v>1053</v>
      </c>
      <c r="E348" s="304">
        <v>87.03</v>
      </c>
      <c r="F348" s="304">
        <v>0</v>
      </c>
      <c r="G348" s="304">
        <v>0</v>
      </c>
      <c r="H348" s="304">
        <f>Q348+R348*VLOOKUP(A348,Capacity!$AC$270:$AF$274,4,FALSE)</f>
        <v>0</v>
      </c>
      <c r="I348" s="304">
        <v>823</v>
      </c>
      <c r="J348" s="304">
        <f>SUMIF(RE!$A$274:$A$310,$B348,RE!B$274:B$310)</f>
        <v>0</v>
      </c>
      <c r="K348" s="304">
        <f>SUMIF(RE!$A$274:$A$310,$B348,RE!C$274:C$310)-N348</f>
        <v>6.6666666666666671E-3</v>
      </c>
      <c r="L348" s="304">
        <f>SUMIF(RE!$A$274:$A$310,$B348,RE!D$274:D$310)+SUMIF(RE!$A$274:$A$310,$B348,RE!E$274:E$310)</f>
        <v>0</v>
      </c>
      <c r="M348" s="304">
        <f>SUMIF(RE!$A$274:$A$310,$B348,RE!F$274:F$310)</f>
        <v>52.109999999999992</v>
      </c>
      <c r="N348" s="304">
        <v>0</v>
      </c>
      <c r="Q348" s="304">
        <v>0</v>
      </c>
      <c r="R348" s="304">
        <f>IFERROR(Q348/VLOOKUP(A348,Capacity!$AC$270:$AE$274,3,FALSE),0)</f>
        <v>0</v>
      </c>
      <c r="Z348" s="304">
        <v>87.03</v>
      </c>
      <c r="AA348" s="304">
        <v>52.11</v>
      </c>
      <c r="AB348" s="304">
        <v>962.14</v>
      </c>
      <c r="AC348" s="304">
        <f t="shared" si="20"/>
        <v>6.6666666666606034E-3</v>
      </c>
    </row>
    <row r="349" spans="1:29" s="304" customFormat="1" x14ac:dyDescent="0.35">
      <c r="A349" s="304" t="s">
        <v>1054</v>
      </c>
      <c r="B349" s="304" t="s">
        <v>765</v>
      </c>
      <c r="C349" s="304" t="s">
        <v>764</v>
      </c>
      <c r="D349" s="304" t="s">
        <v>764</v>
      </c>
      <c r="E349" s="304">
        <v>279.02</v>
      </c>
      <c r="F349" s="304">
        <v>748.51</v>
      </c>
      <c r="G349" s="304">
        <v>0</v>
      </c>
      <c r="H349" s="304">
        <f>Q349+R349*VLOOKUP(A349,Capacity!$AC$270:$AF$274,4,FALSE)</f>
        <v>0</v>
      </c>
      <c r="I349" s="304">
        <v>431.23</v>
      </c>
      <c r="J349" s="304">
        <f>SUMIF(RE!$A$274:$A$310,$B349,RE!B$274:B$310)</f>
        <v>0</v>
      </c>
      <c r="K349" s="304">
        <f>SUMIF(RE!$A$274:$A$310,$B349,RE!C$274:C$310)-N349</f>
        <v>12.393333333333333</v>
      </c>
      <c r="L349" s="304">
        <f>SUMIF(RE!$A$274:$A$310,$B349,RE!D$274:D$310)+SUMIF(RE!$A$274:$A$310,$B349,RE!E$274:E$310)</f>
        <v>0</v>
      </c>
      <c r="M349" s="304">
        <f>SUMIF(RE!$A$274:$A$310,$B349,RE!F$274:F$310)</f>
        <v>34.11</v>
      </c>
      <c r="N349" s="304">
        <v>0</v>
      </c>
      <c r="Q349" s="304">
        <v>0</v>
      </c>
      <c r="R349" s="304">
        <f>IFERROR(Q349/VLOOKUP(A349,Capacity!$AC$270:$AE$274,3,FALSE),0)</f>
        <v>0</v>
      </c>
      <c r="Z349" s="304">
        <v>1027.53</v>
      </c>
      <c r="AA349" s="304">
        <v>46.56</v>
      </c>
      <c r="AB349" s="304">
        <v>1505.32</v>
      </c>
      <c r="AC349" s="304">
        <f t="shared" si="20"/>
        <v>-5.6666666666671972E-2</v>
      </c>
    </row>
    <row r="350" spans="1:29" s="304" customFormat="1" x14ac:dyDescent="0.35">
      <c r="A350" s="304" t="s">
        <v>1054</v>
      </c>
      <c r="B350" s="304" t="s">
        <v>763</v>
      </c>
      <c r="C350" s="304" t="s">
        <v>1053</v>
      </c>
      <c r="D350" s="304" t="s">
        <v>1053</v>
      </c>
      <c r="E350" s="304">
        <v>24.7</v>
      </c>
      <c r="F350" s="304">
        <v>46.82</v>
      </c>
      <c r="G350" s="304">
        <v>0</v>
      </c>
      <c r="H350" s="304">
        <f>Q350+R350*VLOOKUP(A350,Capacity!$AC$270:$AF$274,4,FALSE)</f>
        <v>0</v>
      </c>
      <c r="I350" s="304">
        <v>97.45</v>
      </c>
      <c r="J350" s="304">
        <f>SUMIF(RE!$A$274:$A$310,$B350,RE!B$274:B$310)</f>
        <v>0</v>
      </c>
      <c r="K350" s="304">
        <f>SUMIF(RE!$A$274:$A$310,$B350,RE!C$274:C$310)-N350</f>
        <v>3.6816666666666671</v>
      </c>
      <c r="L350" s="304">
        <f>SUMIF(RE!$A$274:$A$310,$B350,RE!D$274:D$310)+SUMIF(RE!$A$274:$A$310,$B350,RE!E$274:E$310)</f>
        <v>0</v>
      </c>
      <c r="M350" s="304">
        <f>SUMIF(RE!$A$274:$A$310,$B350,RE!F$274:F$310)</f>
        <v>106.26833333333333</v>
      </c>
      <c r="N350" s="304">
        <v>0</v>
      </c>
      <c r="Q350" s="304">
        <v>0</v>
      </c>
      <c r="R350" s="304">
        <f>IFERROR(Q350/VLOOKUP(A350,Capacity!$AC$270:$AE$274,3,FALSE),0)</f>
        <v>0</v>
      </c>
      <c r="Z350" s="304">
        <v>71.52</v>
      </c>
      <c r="AA350" s="304">
        <v>110</v>
      </c>
      <c r="AB350" s="304">
        <v>278.97000000000003</v>
      </c>
      <c r="AC350" s="304">
        <f t="shared" si="20"/>
        <v>-4.9999999999997158E-2</v>
      </c>
    </row>
    <row r="351" spans="1:29" s="304" customFormat="1" x14ac:dyDescent="0.35">
      <c r="A351" s="304" t="s">
        <v>1054</v>
      </c>
      <c r="B351" s="304" t="s">
        <v>792</v>
      </c>
      <c r="C351" s="304" t="s">
        <v>1053</v>
      </c>
      <c r="D351" s="304" t="s">
        <v>1053</v>
      </c>
      <c r="E351" s="304">
        <v>30.4</v>
      </c>
      <c r="F351" s="304">
        <v>109.69</v>
      </c>
      <c r="G351" s="304">
        <v>0</v>
      </c>
      <c r="H351" s="304">
        <f>Q351+R351*VLOOKUP(A351,Capacity!$AC$270:$AF$274,4,FALSE)</f>
        <v>0</v>
      </c>
      <c r="I351" s="304">
        <v>387.19</v>
      </c>
      <c r="J351" s="304">
        <f>SUMIF(RE!$A$274:$A$310,$B351,RE!B$274:B$310)</f>
        <v>0</v>
      </c>
      <c r="K351" s="304">
        <f>SUMIF(RE!$A$274:$A$310,$B351,RE!C$274:C$310)-N351</f>
        <v>4.3333333333333335E-2</v>
      </c>
      <c r="L351" s="304">
        <f>SUMIF(RE!$A$274:$A$310,$B351,RE!D$274:D$310)+SUMIF(RE!$A$274:$A$310,$B351,RE!E$274:E$310)</f>
        <v>9.2000000000000011</v>
      </c>
      <c r="M351" s="304">
        <f>SUMIF(RE!$A$274:$A$310,$B351,RE!F$274:F$310)</f>
        <v>31.03</v>
      </c>
      <c r="N351" s="304">
        <v>0</v>
      </c>
      <c r="Q351" s="304">
        <v>0</v>
      </c>
      <c r="R351" s="304">
        <f>IFERROR(Q351/VLOOKUP(A351,Capacity!$AC$270:$AE$274,3,FALSE),0)</f>
        <v>0</v>
      </c>
      <c r="Z351" s="304">
        <v>140.09</v>
      </c>
      <c r="AA351" s="304">
        <v>31.05</v>
      </c>
      <c r="AB351" s="304">
        <v>558.33000000000004</v>
      </c>
      <c r="AC351" s="304">
        <f t="shared" si="20"/>
        <v>9.2233333333333327</v>
      </c>
    </row>
    <row r="352" spans="1:29" s="304" customFormat="1" x14ac:dyDescent="0.35">
      <c r="A352" s="304" t="s">
        <v>1054</v>
      </c>
      <c r="B352" s="304" t="s">
        <v>804</v>
      </c>
      <c r="C352" s="304" t="s">
        <v>1053</v>
      </c>
      <c r="D352" s="304" t="s">
        <v>1053</v>
      </c>
      <c r="E352" s="304">
        <v>37.4</v>
      </c>
      <c r="F352" s="304">
        <v>606.45000000000005</v>
      </c>
      <c r="G352" s="304">
        <v>0</v>
      </c>
      <c r="H352" s="304">
        <f>Q352+R352*VLOOKUP(A352,Capacity!$AC$270:$AF$274,4,FALSE)</f>
        <v>0</v>
      </c>
      <c r="I352" s="304">
        <v>62.38</v>
      </c>
      <c r="J352" s="304">
        <f>SUMIF(RE!$A$274:$A$310,$B352,RE!B$274:B$310)</f>
        <v>0</v>
      </c>
      <c r="K352" s="304">
        <f>SUMIF(RE!$A$274:$A$310,$B352,RE!C$274:C$310)-N352</f>
        <v>5.09</v>
      </c>
      <c r="L352" s="304">
        <f>SUMIF(RE!$A$274:$A$310,$B352,RE!D$274:D$310)+SUMIF(RE!$A$274:$A$310,$B352,RE!E$274:E$310)</f>
        <v>0</v>
      </c>
      <c r="M352" s="304">
        <f>SUMIF(RE!$A$274:$A$310,$B352,RE!F$274:F$310)</f>
        <v>16.010000000000002</v>
      </c>
      <c r="N352" s="304">
        <v>0</v>
      </c>
      <c r="Q352" s="304">
        <v>0</v>
      </c>
      <c r="R352" s="304">
        <f>IFERROR(Q352/VLOOKUP(A352,Capacity!$AC$270:$AE$274,3,FALSE),0)</f>
        <v>0</v>
      </c>
      <c r="Z352" s="304">
        <v>643.85</v>
      </c>
      <c r="AA352" s="304">
        <v>21.1</v>
      </c>
      <c r="AB352" s="304">
        <v>727.33</v>
      </c>
      <c r="AC352" s="304">
        <f t="shared" si="20"/>
        <v>0</v>
      </c>
    </row>
    <row r="353" spans="1:29" s="304" customFormat="1" x14ac:dyDescent="0.35">
      <c r="A353" s="304" t="s">
        <v>1054</v>
      </c>
      <c r="B353" s="304" t="s">
        <v>791</v>
      </c>
      <c r="C353" s="304" t="s">
        <v>1053</v>
      </c>
      <c r="D353" s="304" t="s">
        <v>1053</v>
      </c>
      <c r="E353" s="304">
        <v>31.4</v>
      </c>
      <c r="F353" s="304">
        <v>71.569999999999993</v>
      </c>
      <c r="G353" s="304">
        <v>36</v>
      </c>
      <c r="H353" s="304">
        <f>Q353+R353*VLOOKUP(A353,Capacity!$AC$270:$AF$274,4,FALSE)</f>
        <v>0</v>
      </c>
      <c r="I353" s="304">
        <v>88.93</v>
      </c>
      <c r="J353" s="304">
        <f>SUMIF(RE!$A$274:$A$310,$B353,RE!B$274:B$310)</f>
        <v>0</v>
      </c>
      <c r="K353" s="304">
        <f>SUMIF(RE!$A$274:$A$310,$B353,RE!C$274:C$310)-N353</f>
        <v>1.4566666666666668</v>
      </c>
      <c r="L353" s="304">
        <f>SUMIF(RE!$A$274:$A$310,$B353,RE!D$274:D$310)+SUMIF(RE!$A$274:$A$310,$B353,RE!E$274:E$310)</f>
        <v>0</v>
      </c>
      <c r="M353" s="304">
        <f>SUMIF(RE!$A$274:$A$310,$B353,RE!F$274:F$310)</f>
        <v>5.45</v>
      </c>
      <c r="N353" s="304">
        <v>0</v>
      </c>
      <c r="Q353" s="304">
        <v>0</v>
      </c>
      <c r="R353" s="304">
        <f>IFERROR(Q353/VLOOKUP(A353,Capacity!$AC$270:$AE$274,3,FALSE),0)</f>
        <v>0</v>
      </c>
      <c r="Z353" s="304">
        <v>138.97</v>
      </c>
      <c r="AA353" s="304">
        <v>5.51</v>
      </c>
      <c r="AB353" s="304">
        <v>233.41</v>
      </c>
      <c r="AC353" s="304">
        <f t="shared" si="20"/>
        <v>1.3966666666666674</v>
      </c>
    </row>
    <row r="354" spans="1:29" s="304" customFormat="1" x14ac:dyDescent="0.35">
      <c r="A354" s="304" t="s">
        <v>1054</v>
      </c>
      <c r="B354" s="304" t="s">
        <v>794</v>
      </c>
      <c r="C354" s="304" t="s">
        <v>1053</v>
      </c>
      <c r="D354" s="304" t="s">
        <v>1053</v>
      </c>
      <c r="E354" s="304">
        <v>21.4</v>
      </c>
      <c r="F354" s="304">
        <v>48.93</v>
      </c>
      <c r="G354" s="304">
        <v>0</v>
      </c>
      <c r="H354" s="304">
        <f>Q354+R354*VLOOKUP(A354,Capacity!$AC$270:$AF$274,4,FALSE)</f>
        <v>0</v>
      </c>
      <c r="I354" s="304">
        <v>53.37</v>
      </c>
      <c r="J354" s="304">
        <f>SUMIF(RE!$A$274:$A$310,$B354,RE!B$274:B$310)</f>
        <v>0</v>
      </c>
      <c r="K354" s="304">
        <f>SUMIF(RE!$A$274:$A$310,$B354,RE!C$274:C$310)-N354</f>
        <v>0.83333333333333337</v>
      </c>
      <c r="L354" s="304">
        <f>SUMIF(RE!$A$274:$A$310,$B354,RE!D$274:D$310)+SUMIF(RE!$A$274:$A$310,$B354,RE!E$274:E$310)</f>
        <v>0</v>
      </c>
      <c r="M354" s="304">
        <f>SUMIF(RE!$A$274:$A$310,$B354,RE!F$274:F$310)</f>
        <v>30.67</v>
      </c>
      <c r="N354" s="304">
        <v>0</v>
      </c>
      <c r="Q354" s="304">
        <v>0</v>
      </c>
      <c r="R354" s="304">
        <f>IFERROR(Q354/VLOOKUP(A354,Capacity!$AC$270:$AE$274,3,FALSE),0)</f>
        <v>0</v>
      </c>
      <c r="Z354" s="304">
        <v>70.33</v>
      </c>
      <c r="AA354" s="304">
        <v>31.67</v>
      </c>
      <c r="AB354" s="304">
        <v>155.37</v>
      </c>
      <c r="AC354" s="304">
        <f t="shared" si="20"/>
        <v>-0.16666666666666785</v>
      </c>
    </row>
    <row r="355" spans="1:29" s="304" customFormat="1" x14ac:dyDescent="0.35">
      <c r="A355" s="304" t="s">
        <v>1054</v>
      </c>
      <c r="B355" s="304" t="s">
        <v>793</v>
      </c>
      <c r="C355" s="304" t="s">
        <v>1053</v>
      </c>
      <c r="D355" s="304" t="s">
        <v>1053</v>
      </c>
      <c r="E355" s="304">
        <v>20.7</v>
      </c>
      <c r="F355" s="304">
        <v>40.46</v>
      </c>
      <c r="G355" s="304">
        <v>0</v>
      </c>
      <c r="H355" s="304">
        <f>Q355+R355*VLOOKUP(A355,Capacity!$AC$270:$AF$274,4,FALSE)</f>
        <v>0</v>
      </c>
      <c r="I355" s="304">
        <v>94.19</v>
      </c>
      <c r="J355" s="304">
        <f>SUMIF(RE!$A$274:$A$310,$B355,RE!B$274:B$310)</f>
        <v>0</v>
      </c>
      <c r="K355" s="304">
        <f>SUMIF(RE!$A$274:$A$310,$B355,RE!C$274:C$310)-N355</f>
        <v>0.16666666666666666</v>
      </c>
      <c r="L355" s="304">
        <f>SUMIF(RE!$A$274:$A$310,$B355,RE!D$274:D$310)+SUMIF(RE!$A$274:$A$310,$B355,RE!E$274:E$310)</f>
        <v>0</v>
      </c>
      <c r="M355" s="304">
        <f>SUMIF(RE!$A$274:$A$310,$B355,RE!F$274:F$310)</f>
        <v>38.136666666666663</v>
      </c>
      <c r="N355" s="304">
        <v>0</v>
      </c>
      <c r="Q355" s="304">
        <v>0</v>
      </c>
      <c r="R355" s="304">
        <f>IFERROR(Q355/VLOOKUP(A355,Capacity!$AC$270:$AE$274,3,FALSE),0)</f>
        <v>0</v>
      </c>
      <c r="Z355" s="304">
        <v>61.16</v>
      </c>
      <c r="AA355" s="304">
        <v>36.67</v>
      </c>
      <c r="AB355" s="304">
        <v>192.02</v>
      </c>
      <c r="AC355" s="304">
        <f t="shared" si="20"/>
        <v>1.6333333333333258</v>
      </c>
    </row>
    <row r="356" spans="1:29" s="304" customFormat="1" x14ac:dyDescent="0.35">
      <c r="A356" s="304" t="s">
        <v>1183</v>
      </c>
      <c r="B356" s="304" t="s">
        <v>1184</v>
      </c>
      <c r="C356" s="304" t="s">
        <v>1183</v>
      </c>
      <c r="D356" s="304" t="s">
        <v>1183</v>
      </c>
      <c r="E356" s="304">
        <v>0</v>
      </c>
      <c r="F356" s="304">
        <v>0</v>
      </c>
      <c r="G356" s="304">
        <v>40.049999999999997</v>
      </c>
      <c r="I356" s="304">
        <v>0</v>
      </c>
      <c r="J356" s="304">
        <f>SUMIF(RE!$A$274:$A$310,$B356,RE!B$274:B$310)</f>
        <v>0</v>
      </c>
      <c r="K356" s="304">
        <f>SUMIF(RE!$A$274:$A$310,$B356,RE!C$274:C$310)-N356</f>
        <v>0</v>
      </c>
      <c r="L356" s="304">
        <f>SUMIF(RE!$A$274:$A$310,$B356,RE!D$274:D$310)+SUMIF(RE!$A$274:$A$310,$B356,RE!E$274:E$310)</f>
        <v>0</v>
      </c>
      <c r="M356" s="304">
        <f>SUMIF(RE!$A$274:$A$310,$B356,RE!F$274:F$310)</f>
        <v>0</v>
      </c>
      <c r="N356" s="304">
        <v>0</v>
      </c>
      <c r="Z356" s="304">
        <v>40.049999999999997</v>
      </c>
      <c r="AA356" s="304">
        <v>12.56</v>
      </c>
      <c r="AB356" s="304">
        <v>52.61</v>
      </c>
      <c r="AC356" s="304">
        <f t="shared" si="20"/>
        <v>-12.56</v>
      </c>
    </row>
    <row r="357" spans="1:29" s="304" customFormat="1" x14ac:dyDescent="0.35">
      <c r="A357" s="304" t="s">
        <v>1185</v>
      </c>
      <c r="B357" s="304" t="s">
        <v>1186</v>
      </c>
      <c r="C357" s="304" t="s">
        <v>1185</v>
      </c>
      <c r="D357" s="304" t="s">
        <v>1185</v>
      </c>
      <c r="E357" s="304">
        <v>197171.5</v>
      </c>
      <c r="F357" s="304">
        <v>24897.46</v>
      </c>
      <c r="G357" s="304">
        <v>837.63</v>
      </c>
      <c r="H357" s="304">
        <v>6780</v>
      </c>
      <c r="I357" s="304">
        <v>45293.42</v>
      </c>
      <c r="J357" s="304">
        <f>SUM(J320:J356)</f>
        <v>34079.856666666667</v>
      </c>
      <c r="K357" s="304">
        <f>SUM(K320:K356)</f>
        <v>20213.311666666668</v>
      </c>
      <c r="L357" s="304">
        <f>SUM(L320:L356)</f>
        <v>9129.2000000000025</v>
      </c>
      <c r="M357" s="304">
        <f>SUM(M320:M356)</f>
        <v>4459.331666666666</v>
      </c>
      <c r="N357" s="304">
        <f>SUM(N320:N356)</f>
        <v>60</v>
      </c>
      <c r="Z357" s="304">
        <v>222906.59</v>
      </c>
      <c r="AA357" s="304">
        <v>69022.39</v>
      </c>
      <c r="AB357" s="304">
        <v>344002.39</v>
      </c>
      <c r="AC357" s="304">
        <f t="shared" si="20"/>
        <v>-1140.6899999999878</v>
      </c>
    </row>
    <row r="359" spans="1:29" x14ac:dyDescent="0.35">
      <c r="A359" s="263"/>
      <c r="B359" s="263"/>
      <c r="C359" s="263"/>
      <c r="D359" s="263"/>
      <c r="E359" s="263"/>
      <c r="F359" s="263"/>
      <c r="G359" s="263"/>
      <c r="H359" s="263"/>
      <c r="I359" s="263"/>
      <c r="M359" s="263"/>
      <c r="N359" s="263"/>
    </row>
    <row r="360" spans="1:29" x14ac:dyDescent="0.35">
      <c r="A360" s="263"/>
      <c r="B360" s="263"/>
      <c r="C360" s="263"/>
      <c r="D360" s="263"/>
      <c r="E360" s="263"/>
      <c r="F360" s="263"/>
      <c r="G360" s="263"/>
      <c r="H360" s="263"/>
      <c r="I360" s="263"/>
      <c r="M360" s="263"/>
      <c r="N360" s="263"/>
    </row>
    <row r="361" spans="1:29" x14ac:dyDescent="0.35">
      <c r="A361" s="263"/>
      <c r="B361" s="263"/>
      <c r="C361" s="263"/>
      <c r="D361" s="263"/>
      <c r="E361" s="263"/>
      <c r="F361" s="263"/>
      <c r="G361" s="263"/>
      <c r="H361" s="263"/>
      <c r="I361" s="263"/>
      <c r="M361" s="263"/>
      <c r="N361" s="263"/>
    </row>
    <row r="362" spans="1:29" x14ac:dyDescent="0.35">
      <c r="A362" s="263"/>
      <c r="B362" s="263"/>
      <c r="C362" s="263"/>
      <c r="D362" s="263"/>
      <c r="E362" s="263"/>
      <c r="F362" s="263"/>
      <c r="G362" s="263"/>
      <c r="H362" s="263"/>
      <c r="I362" s="263"/>
      <c r="M362" s="263"/>
      <c r="N362" s="263"/>
    </row>
    <row r="363" spans="1:29" x14ac:dyDescent="0.35">
      <c r="A363" s="263"/>
      <c r="B363" s="263"/>
      <c r="C363" s="263"/>
      <c r="D363" s="263"/>
      <c r="E363" s="263"/>
      <c r="F363" s="263"/>
      <c r="G363" s="263"/>
      <c r="H363" s="263"/>
      <c r="I363" s="263"/>
      <c r="M363" s="263"/>
      <c r="N363" s="263"/>
    </row>
    <row r="364" spans="1:29" x14ac:dyDescent="0.35">
      <c r="A364" s="263"/>
      <c r="B364" s="263"/>
      <c r="C364" s="263"/>
      <c r="D364" s="263"/>
      <c r="E364" s="263"/>
      <c r="F364" s="263"/>
      <c r="G364" s="263"/>
      <c r="H364" s="263"/>
      <c r="I364" s="263"/>
      <c r="M364" s="263"/>
      <c r="N364" s="263"/>
    </row>
    <row r="365" spans="1:29" x14ac:dyDescent="0.35">
      <c r="A365" s="263"/>
      <c r="B365" s="263"/>
      <c r="C365" s="263"/>
      <c r="D365" s="263"/>
      <c r="E365" s="263"/>
      <c r="F365" s="263"/>
      <c r="G365" s="263"/>
      <c r="H365" s="263"/>
      <c r="I365" s="263"/>
      <c r="M365" s="263"/>
      <c r="N365" s="263"/>
    </row>
    <row r="366" spans="1:29" x14ac:dyDescent="0.35">
      <c r="A366" s="263"/>
      <c r="B366" s="263"/>
      <c r="C366" s="263"/>
      <c r="D366" s="263"/>
      <c r="E366" s="263"/>
      <c r="F366" s="263"/>
      <c r="G366" s="263"/>
      <c r="H366" s="263"/>
      <c r="I366" s="263"/>
      <c r="M366" s="263"/>
      <c r="N366" s="263"/>
    </row>
    <row r="367" spans="1:29" x14ac:dyDescent="0.35">
      <c r="A367" s="263"/>
      <c r="B367" s="263"/>
      <c r="C367" s="263"/>
      <c r="D367" s="263"/>
      <c r="E367" s="263"/>
      <c r="F367" s="263"/>
      <c r="G367" s="263"/>
      <c r="H367" s="263"/>
      <c r="I367" s="263"/>
      <c r="M367" s="263"/>
      <c r="N367" s="263"/>
    </row>
    <row r="368" spans="1:29" x14ac:dyDescent="0.35">
      <c r="A368" s="263"/>
      <c r="B368" s="263"/>
      <c r="C368" s="263"/>
      <c r="D368" s="263"/>
      <c r="E368" s="263"/>
      <c r="F368" s="263"/>
      <c r="G368" s="263"/>
      <c r="H368" s="263"/>
      <c r="I368" s="263"/>
      <c r="M368" s="263"/>
      <c r="N368" s="263"/>
    </row>
    <row r="369" spans="1:14" x14ac:dyDescent="0.35">
      <c r="A369" s="263"/>
      <c r="B369" s="263"/>
      <c r="C369" s="263"/>
      <c r="D369" s="263"/>
      <c r="E369" s="263"/>
      <c r="F369" s="263"/>
      <c r="G369" s="263"/>
      <c r="H369" s="263"/>
      <c r="I369" s="263"/>
      <c r="M369" s="263"/>
      <c r="N369" s="263"/>
    </row>
    <row r="370" spans="1:14" x14ac:dyDescent="0.35">
      <c r="A370" s="263"/>
      <c r="B370" s="263"/>
      <c r="C370" s="263"/>
      <c r="D370" s="263"/>
      <c r="E370" s="263"/>
      <c r="F370" s="263"/>
      <c r="G370" s="263"/>
      <c r="H370" s="263"/>
      <c r="I370" s="263"/>
      <c r="M370" s="263"/>
      <c r="N370" s="263"/>
    </row>
    <row r="371" spans="1:14" x14ac:dyDescent="0.35">
      <c r="A371" s="263"/>
      <c r="B371" s="263"/>
      <c r="C371" s="263"/>
      <c r="D371" s="263"/>
      <c r="E371" s="263"/>
      <c r="F371" s="263"/>
      <c r="G371" s="263"/>
      <c r="H371" s="263"/>
      <c r="I371" s="263"/>
      <c r="M371" s="263"/>
      <c r="N371" s="263"/>
    </row>
    <row r="372" spans="1:14" x14ac:dyDescent="0.35">
      <c r="A372" s="263"/>
      <c r="B372" s="263"/>
      <c r="C372" s="263"/>
      <c r="D372" s="263"/>
      <c r="E372" s="263"/>
      <c r="F372" s="263"/>
      <c r="G372" s="263"/>
      <c r="H372" s="263"/>
      <c r="I372" s="263"/>
      <c r="M372" s="263"/>
      <c r="N372" s="263"/>
    </row>
    <row r="373" spans="1:14" x14ac:dyDescent="0.35">
      <c r="A373" s="263"/>
      <c r="B373" s="263"/>
      <c r="C373" s="263"/>
      <c r="D373" s="263"/>
      <c r="E373" s="263"/>
      <c r="F373" s="263"/>
      <c r="G373" s="263"/>
      <c r="H373" s="263"/>
      <c r="I373" s="263"/>
      <c r="M373" s="263"/>
      <c r="N373" s="263"/>
    </row>
    <row r="374" spans="1:14" x14ac:dyDescent="0.35">
      <c r="A374" s="263"/>
      <c r="B374" s="263"/>
      <c r="C374" s="263"/>
      <c r="D374" s="263"/>
      <c r="E374" s="263"/>
      <c r="F374" s="263"/>
      <c r="G374" s="263"/>
      <c r="H374" s="263"/>
      <c r="I374" s="263"/>
      <c r="M374" s="263"/>
      <c r="N374" s="263"/>
    </row>
    <row r="375" spans="1:14" x14ac:dyDescent="0.35">
      <c r="A375" s="263"/>
      <c r="B375" s="263"/>
      <c r="C375" s="263"/>
      <c r="D375" s="263"/>
      <c r="E375" s="263"/>
      <c r="F375" s="263"/>
      <c r="G375" s="263"/>
      <c r="H375" s="263"/>
      <c r="I375" s="263"/>
      <c r="M375" s="263"/>
      <c r="N375" s="263"/>
    </row>
    <row r="376" spans="1:14" x14ac:dyDescent="0.35">
      <c r="A376" s="263"/>
      <c r="B376" s="263"/>
      <c r="C376" s="263"/>
      <c r="D376" s="263"/>
      <c r="E376" s="263"/>
      <c r="F376" s="263"/>
      <c r="G376" s="263"/>
      <c r="H376" s="263"/>
      <c r="I376" s="263"/>
      <c r="M376" s="263"/>
      <c r="N376" s="263"/>
    </row>
    <row r="377" spans="1:14" x14ac:dyDescent="0.35">
      <c r="A377" s="263"/>
      <c r="B377" s="263"/>
      <c r="C377" s="263"/>
      <c r="D377" s="263"/>
      <c r="E377" s="263"/>
      <c r="F377" s="263"/>
      <c r="G377" s="263"/>
      <c r="H377" s="263"/>
      <c r="I377" s="263"/>
      <c r="M377" s="263"/>
      <c r="N377" s="263"/>
    </row>
    <row r="378" spans="1:14" x14ac:dyDescent="0.35">
      <c r="A378" s="263"/>
      <c r="B378" s="263"/>
      <c r="C378" s="263"/>
      <c r="D378" s="263"/>
      <c r="E378" s="263"/>
      <c r="F378" s="263"/>
      <c r="G378" s="263"/>
      <c r="H378" s="263"/>
      <c r="I378" s="263"/>
      <c r="M378" s="263"/>
      <c r="N378" s="263"/>
    </row>
    <row r="379" spans="1:14" x14ac:dyDescent="0.35">
      <c r="A379" s="263"/>
      <c r="B379" s="263"/>
      <c r="C379" s="263"/>
      <c r="D379" s="263"/>
      <c r="E379" s="263"/>
      <c r="F379" s="263"/>
      <c r="G379" s="263"/>
      <c r="H379" s="263"/>
      <c r="I379" s="263"/>
      <c r="M379" s="263"/>
      <c r="N379" s="263"/>
    </row>
    <row r="380" spans="1:14" x14ac:dyDescent="0.35">
      <c r="A380" s="263"/>
      <c r="B380" s="263"/>
      <c r="D380" s="263"/>
      <c r="E380" s="263"/>
      <c r="F380" s="263"/>
      <c r="G380" s="263"/>
      <c r="H380" s="263"/>
      <c r="I380" s="263"/>
      <c r="M380" s="263"/>
      <c r="N380" s="263"/>
    </row>
    <row r="381" spans="1:14" x14ac:dyDescent="0.35">
      <c r="A381" s="263"/>
      <c r="B381" s="263"/>
      <c r="C381" s="263"/>
      <c r="D381" s="263"/>
      <c r="E381" s="263"/>
      <c r="F381" s="263"/>
      <c r="G381" s="263"/>
      <c r="H381" s="263"/>
      <c r="I381" s="263"/>
      <c r="M381" s="263"/>
      <c r="N381" s="263"/>
    </row>
    <row r="382" spans="1:14" x14ac:dyDescent="0.35">
      <c r="A382" s="263"/>
      <c r="B382" s="263"/>
      <c r="C382" s="263"/>
      <c r="D382" s="263"/>
      <c r="E382" s="263"/>
      <c r="F382" s="263"/>
      <c r="G382" s="263"/>
      <c r="H382" s="263"/>
      <c r="I382" s="263"/>
      <c r="M382" s="263"/>
      <c r="N382" s="263"/>
    </row>
    <row r="383" spans="1:14" x14ac:dyDescent="0.35">
      <c r="A383" s="263"/>
      <c r="B383" s="263"/>
      <c r="C383" s="263"/>
      <c r="D383" s="263"/>
      <c r="E383" s="263"/>
      <c r="F383" s="263"/>
      <c r="G383" s="263"/>
      <c r="H383" s="263"/>
      <c r="I383" s="263"/>
      <c r="M383" s="263"/>
      <c r="N383" s="263"/>
    </row>
    <row r="384" spans="1:14" x14ac:dyDescent="0.35">
      <c r="A384" s="263"/>
      <c r="B384" s="263"/>
      <c r="C384" s="263"/>
      <c r="D384" s="263"/>
      <c r="E384" s="263"/>
      <c r="F384" s="263"/>
      <c r="G384" s="263"/>
      <c r="H384" s="263"/>
      <c r="I384" s="263"/>
      <c r="M384" s="263"/>
      <c r="N384" s="263"/>
    </row>
    <row r="385" spans="1:14" x14ac:dyDescent="0.35">
      <c r="A385" s="263"/>
      <c r="B385" s="263"/>
      <c r="C385" s="263"/>
      <c r="D385" s="263"/>
      <c r="E385" s="263"/>
      <c r="F385" s="263"/>
      <c r="G385" s="263"/>
      <c r="H385" s="263"/>
      <c r="I385" s="263"/>
      <c r="M385" s="263"/>
      <c r="N385" s="263"/>
    </row>
    <row r="386" spans="1:14" x14ac:dyDescent="0.35">
      <c r="A386" s="263"/>
      <c r="B386" s="263"/>
      <c r="C386" s="263"/>
      <c r="D386" s="263"/>
      <c r="E386" s="263"/>
      <c r="F386" s="263"/>
      <c r="G386" s="263"/>
      <c r="H386" s="263"/>
      <c r="I386" s="263"/>
      <c r="M386" s="263"/>
      <c r="N386" s="263"/>
    </row>
    <row r="387" spans="1:14" x14ac:dyDescent="0.35">
      <c r="A387" s="263"/>
      <c r="B387" s="263"/>
      <c r="C387" s="263"/>
      <c r="D387" s="263"/>
      <c r="E387" s="263"/>
      <c r="F387" s="263"/>
      <c r="G387" s="263"/>
      <c r="H387" s="263"/>
      <c r="I387" s="263"/>
      <c r="M387" s="263"/>
      <c r="N387" s="263"/>
    </row>
    <row r="388" spans="1:14" x14ac:dyDescent="0.35">
      <c r="A388" s="263"/>
      <c r="B388" s="263"/>
      <c r="C388" s="263"/>
      <c r="D388" s="263"/>
      <c r="E388" s="263"/>
      <c r="F388" s="263"/>
      <c r="G388" s="263"/>
      <c r="H388" s="263"/>
      <c r="I388" s="263"/>
      <c r="M388" s="263"/>
      <c r="N388" s="263"/>
    </row>
    <row r="389" spans="1:14" x14ac:dyDescent="0.35">
      <c r="A389" s="263"/>
      <c r="B389" s="263"/>
      <c r="C389" s="263"/>
      <c r="D389" s="263"/>
      <c r="E389" s="263"/>
      <c r="F389" s="263"/>
      <c r="G389" s="263"/>
      <c r="H389" s="263"/>
      <c r="I389" s="263"/>
      <c r="M389" s="263"/>
      <c r="N389" s="263"/>
    </row>
    <row r="390" spans="1:14" x14ac:dyDescent="0.35">
      <c r="A390" s="263"/>
      <c r="B390" s="263"/>
      <c r="C390" s="263"/>
      <c r="D390" s="263"/>
      <c r="E390" s="263"/>
      <c r="F390" s="263"/>
      <c r="G390" s="263"/>
      <c r="H390" s="263"/>
      <c r="I390" s="263"/>
      <c r="M390" s="263"/>
      <c r="N390" s="263"/>
    </row>
    <row r="391" spans="1:14" x14ac:dyDescent="0.35">
      <c r="A391" s="263"/>
      <c r="B391" s="263"/>
      <c r="C391" s="263"/>
      <c r="D391" s="263"/>
      <c r="E391" s="263"/>
      <c r="F391" s="263"/>
      <c r="G391" s="263"/>
      <c r="H391" s="263"/>
      <c r="I391" s="263"/>
      <c r="M391" s="263"/>
      <c r="N391" s="263"/>
    </row>
    <row r="392" spans="1:14" x14ac:dyDescent="0.35">
      <c r="A392" s="263"/>
      <c r="B392" s="263"/>
      <c r="C392" s="263"/>
      <c r="D392" s="263"/>
      <c r="E392" s="263"/>
      <c r="F392" s="263"/>
      <c r="G392" s="263"/>
      <c r="H392" s="263"/>
      <c r="I392" s="263"/>
      <c r="M392" s="263"/>
      <c r="N392" s="263"/>
    </row>
    <row r="393" spans="1:14" x14ac:dyDescent="0.35">
      <c r="A393" s="263"/>
      <c r="B393" s="263"/>
      <c r="C393" s="263"/>
      <c r="D393" s="263"/>
      <c r="E393" s="263"/>
      <c r="F393" s="263"/>
      <c r="G393" s="263"/>
      <c r="H393" s="263"/>
      <c r="I393" s="263"/>
      <c r="M393" s="263"/>
      <c r="N393" s="263"/>
    </row>
    <row r="394" spans="1:14" x14ac:dyDescent="0.35">
      <c r="A394" s="263"/>
      <c r="B394" s="263"/>
      <c r="C394" s="263"/>
      <c r="D394" s="263"/>
      <c r="E394" s="263"/>
      <c r="F394" s="263"/>
      <c r="G394" s="263"/>
      <c r="H394" s="263"/>
      <c r="I394" s="263"/>
      <c r="M394" s="263"/>
      <c r="N394" s="263"/>
    </row>
    <row r="395" spans="1:14" x14ac:dyDescent="0.35">
      <c r="A395" s="263"/>
      <c r="B395" s="263"/>
      <c r="C395" s="263"/>
      <c r="D395" s="263"/>
      <c r="E395" s="263"/>
      <c r="F395" s="263"/>
      <c r="G395" s="263"/>
      <c r="H395" s="263"/>
      <c r="I395" s="263"/>
      <c r="M395" s="263"/>
      <c r="N395" s="263"/>
    </row>
    <row r="396" spans="1:14" x14ac:dyDescent="0.35">
      <c r="A396" s="263"/>
      <c r="B396" s="263"/>
      <c r="C396" s="263"/>
      <c r="D396" s="263"/>
      <c r="E396" s="263"/>
      <c r="F396" s="263"/>
      <c r="G396" s="263"/>
      <c r="H396" s="263"/>
      <c r="I396" s="263"/>
      <c r="M396" s="263"/>
      <c r="N396" s="263"/>
    </row>
  </sheetData>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12"/>
  <sheetViews>
    <sheetView workbookViewId="0"/>
  </sheetViews>
  <sheetFormatPr defaultRowHeight="14.5" x14ac:dyDescent="0.35"/>
  <sheetData>
    <row r="1" spans="1:19" s="304" customFormat="1" x14ac:dyDescent="0.35">
      <c r="A1" s="2" t="s">
        <v>49</v>
      </c>
      <c r="C1" s="2"/>
    </row>
    <row r="2" spans="1:19" s="304" customFormat="1" x14ac:dyDescent="0.35">
      <c r="A2" s="2" t="s">
        <v>1152</v>
      </c>
      <c r="B2" s="2" t="s">
        <v>1100</v>
      </c>
      <c r="C2" s="2"/>
    </row>
    <row r="3" spans="1:19" s="304" customFormat="1" x14ac:dyDescent="0.35">
      <c r="A3" s="2" t="s">
        <v>1153</v>
      </c>
      <c r="B3" s="2" t="s">
        <v>1103</v>
      </c>
      <c r="C3" s="2"/>
    </row>
    <row r="4" spans="1:19" s="304" customFormat="1" x14ac:dyDescent="0.35">
      <c r="A4" s="2" t="s">
        <v>1151</v>
      </c>
      <c r="B4" s="2" t="s">
        <v>1150</v>
      </c>
      <c r="C4" s="2"/>
    </row>
    <row r="5" spans="1:19" s="304" customFormat="1" x14ac:dyDescent="0.35"/>
    <row r="6" spans="1:19" s="304" customFormat="1" x14ac:dyDescent="0.35">
      <c r="A6" s="2" t="s">
        <v>249</v>
      </c>
      <c r="B6" s="227" t="s">
        <v>1149</v>
      </c>
      <c r="M6" s="2" t="s">
        <v>249</v>
      </c>
      <c r="N6" s="2" t="s">
        <v>1162</v>
      </c>
    </row>
    <row r="7" spans="1:19" s="304" customFormat="1" x14ac:dyDescent="0.35"/>
    <row r="8" spans="1:19" s="304" customFormat="1" x14ac:dyDescent="0.35">
      <c r="A8" s="260" t="s">
        <v>1147</v>
      </c>
      <c r="B8" s="260"/>
      <c r="C8" s="260"/>
      <c r="D8" s="260"/>
      <c r="E8" s="260"/>
      <c r="F8" s="260"/>
      <c r="G8" s="260"/>
      <c r="H8" s="260"/>
      <c r="I8" s="260"/>
      <c r="J8" s="260"/>
      <c r="K8" s="260"/>
      <c r="L8" s="260"/>
      <c r="M8" s="264"/>
      <c r="N8" s="264"/>
      <c r="O8" s="264"/>
      <c r="P8" s="264"/>
      <c r="Q8" s="264"/>
    </row>
    <row r="9" spans="1:19" s="304" customFormat="1" ht="15" x14ac:dyDescent="0.35">
      <c r="A9" s="261" t="s">
        <v>1148</v>
      </c>
      <c r="B9" s="261"/>
      <c r="C9" s="261"/>
      <c r="D9" s="261"/>
      <c r="E9" s="261"/>
      <c r="F9" s="261"/>
      <c r="G9" s="261"/>
      <c r="H9" s="261"/>
      <c r="I9" s="261"/>
      <c r="J9" s="261"/>
      <c r="K9" s="261"/>
      <c r="L9" s="261"/>
      <c r="M9" s="264"/>
    </row>
    <row r="10" spans="1:19" s="304" customFormat="1" ht="91" x14ac:dyDescent="0.35">
      <c r="A10" s="265" t="s">
        <v>261</v>
      </c>
      <c r="B10" s="266" t="s">
        <v>1145</v>
      </c>
      <c r="C10" s="299" t="s">
        <v>1108</v>
      </c>
      <c r="D10" s="288" t="s">
        <v>1161</v>
      </c>
      <c r="E10" s="684" t="s">
        <v>1140</v>
      </c>
      <c r="F10" s="684" t="s">
        <v>1141</v>
      </c>
      <c r="G10" s="299" t="s">
        <v>1111</v>
      </c>
      <c r="H10" s="684" t="s">
        <v>1139</v>
      </c>
      <c r="I10" s="683" t="s">
        <v>1138</v>
      </c>
      <c r="J10" s="683" t="s">
        <v>1159</v>
      </c>
      <c r="K10" s="288" t="s">
        <v>1160</v>
      </c>
      <c r="L10" s="300" t="s">
        <v>1142</v>
      </c>
      <c r="M10" s="264"/>
      <c r="N10" s="304" t="s">
        <v>743</v>
      </c>
      <c r="O10" s="304" t="s">
        <v>743</v>
      </c>
      <c r="P10" s="304" t="s">
        <v>743</v>
      </c>
      <c r="Q10" s="304" t="s">
        <v>743</v>
      </c>
      <c r="R10" s="304" t="s">
        <v>743</v>
      </c>
      <c r="S10" s="304" t="s">
        <v>743</v>
      </c>
    </row>
    <row r="11" spans="1:19" s="304" customFormat="1" x14ac:dyDescent="0.35">
      <c r="A11" s="265"/>
      <c r="B11" s="268"/>
      <c r="C11" s="269" t="s">
        <v>1135</v>
      </c>
      <c r="D11" s="289" t="s">
        <v>1135</v>
      </c>
      <c r="E11" s="269" t="s">
        <v>1135</v>
      </c>
      <c r="F11" s="269" t="s">
        <v>1135</v>
      </c>
      <c r="G11" s="269" t="s">
        <v>1135</v>
      </c>
      <c r="H11" s="269" t="s">
        <v>1135</v>
      </c>
      <c r="I11" s="269" t="s">
        <v>1135</v>
      </c>
      <c r="J11" s="269" t="s">
        <v>1135</v>
      </c>
      <c r="K11" s="289" t="s">
        <v>1135</v>
      </c>
      <c r="L11" s="270" t="s">
        <v>1135</v>
      </c>
      <c r="M11" s="271"/>
      <c r="N11" s="304" t="s">
        <v>348</v>
      </c>
      <c r="O11" s="304" t="s">
        <v>351</v>
      </c>
      <c r="P11" s="304" t="s">
        <v>452</v>
      </c>
      <c r="Q11" s="304" t="s">
        <v>1098</v>
      </c>
      <c r="R11" s="304" t="s">
        <v>761</v>
      </c>
      <c r="S11" s="304" t="s">
        <v>1099</v>
      </c>
    </row>
    <row r="12" spans="1:19" s="304" customFormat="1" x14ac:dyDescent="0.35">
      <c r="A12" s="267">
        <v>1</v>
      </c>
      <c r="B12" s="272" t="s">
        <v>762</v>
      </c>
      <c r="C12" s="274">
        <v>4090.45</v>
      </c>
      <c r="D12" s="290">
        <v>3085.6800000000003</v>
      </c>
      <c r="E12" s="273">
        <v>98.98</v>
      </c>
      <c r="F12" s="273">
        <v>378.2</v>
      </c>
      <c r="G12" s="273">
        <v>162.11000000000001</v>
      </c>
      <c r="H12" s="274">
        <v>23.16</v>
      </c>
      <c r="I12" s="274">
        <v>500.34000000000003</v>
      </c>
      <c r="J12" s="274">
        <v>3027.15</v>
      </c>
      <c r="K12" s="290">
        <v>58.53</v>
      </c>
      <c r="L12" s="275">
        <v>7838.579999999999</v>
      </c>
      <c r="M12" s="264">
        <f>MATCH(B12,RE!$B$55:$B$98,0)</f>
        <v>20</v>
      </c>
      <c r="N12" s="262">
        <f ca="1">IFERROR(SUMIF(RE!$B$55:$B$98,$B12,D$12:D$48)/(C12*8.76),0)</f>
        <v>1.1016025689864203E-2</v>
      </c>
      <c r="O12" s="262">
        <f ca="1">IFERROR(SUMIF(RE!$B$55:$B$98,$B12,E$12:E$48)/(D12*8.76),0)</f>
        <v>3.2629738503943802E-4</v>
      </c>
      <c r="P12" s="262">
        <f ca="1">IFERROR(SUMIF(RE!$B$55:$B$98,$B12,F$12:F$48)/(E12*8.76),0)</f>
        <v>5.812714343841429E-2</v>
      </c>
      <c r="Q12" s="262">
        <f ca="1">IFERROR(SUMIF(RE!$B$55:$B$98,$B12,G$12:G$48)/(F12*8.76),0)</f>
        <v>1.9506301176686492E-2</v>
      </c>
      <c r="R12" s="262">
        <f ca="1">IFERROR(SUMIF(RE!$B$55:$B$98,$B12,H$12:H$48)/(G12*8.76),0)</f>
        <v>0</v>
      </c>
      <c r="S12" s="262">
        <f ca="1">IFERROR(SUMIF(RE!$B$55:$B$98,$B12,I$12:I$48)/(H12*8.76),0)</f>
        <v>0.2918943856909646</v>
      </c>
    </row>
    <row r="13" spans="1:19" s="304" customFormat="1" x14ac:dyDescent="0.35">
      <c r="A13" s="267">
        <v>2</v>
      </c>
      <c r="B13" s="272" t="s">
        <v>763</v>
      </c>
      <c r="C13" s="274"/>
      <c r="D13" s="290">
        <v>5.3900000000000006</v>
      </c>
      <c r="E13" s="273"/>
      <c r="F13" s="273"/>
      <c r="G13" s="284">
        <v>131.10499999999999</v>
      </c>
      <c r="H13" s="274"/>
      <c r="I13" s="274"/>
      <c r="J13" s="274">
        <v>1.27</v>
      </c>
      <c r="K13" s="290">
        <v>4.12</v>
      </c>
      <c r="L13" s="275">
        <v>136.495</v>
      </c>
      <c r="M13" s="264">
        <f>MATCH(B13,RE!$B$55:$B$98,0)</f>
        <v>36</v>
      </c>
      <c r="N13" s="262">
        <f ca="1">IFERROR(SUMIF(RE!$B$55:$B$98,$B13,D$12:D$48)/(C13*8.76),0)</f>
        <v>0</v>
      </c>
      <c r="O13" s="262">
        <f ca="1">IFERROR(SUMIF(RE!$B$55:$B$98,$B13,E$12:E$48)/(D13*8.76),0)</f>
        <v>0</v>
      </c>
      <c r="P13" s="262">
        <f ca="1">IFERROR(SUMIF(RE!$B$55:$B$98,$B13,F$12:F$48)/(E13*8.76),0)</f>
        <v>0</v>
      </c>
      <c r="Q13" s="262">
        <f ca="1">IFERROR(SUMIF(RE!$B$55:$B$98,$B13,G$12:G$48)/(F13*8.76),0)</f>
        <v>0</v>
      </c>
      <c r="R13" s="262">
        <f ca="1">IFERROR(SUMIF(RE!$B$55:$B$98,$B13,H$12:H$48)/(G13*8.76),0)</f>
        <v>0</v>
      </c>
      <c r="S13" s="262">
        <f ca="1">IFERROR(SUMIF(RE!$B$55:$B$98,$B13,I$12:I$48)/(H13*8.76),0)</f>
        <v>0</v>
      </c>
    </row>
    <row r="14" spans="1:19" s="304" customFormat="1" x14ac:dyDescent="0.35">
      <c r="A14" s="267">
        <v>3</v>
      </c>
      <c r="B14" s="272" t="s">
        <v>765</v>
      </c>
      <c r="C14" s="274"/>
      <c r="D14" s="290">
        <v>22.4</v>
      </c>
      <c r="E14" s="273"/>
      <c r="F14" s="273"/>
      <c r="G14" s="273">
        <v>34.11</v>
      </c>
      <c r="H14" s="274"/>
      <c r="I14" s="274"/>
      <c r="J14" s="274">
        <v>10.67</v>
      </c>
      <c r="K14" s="290">
        <v>11.73</v>
      </c>
      <c r="L14" s="275">
        <v>56.510000000000005</v>
      </c>
      <c r="M14" s="264">
        <f>MATCH(B14,RE!$B$55:$B$98,0)</f>
        <v>37</v>
      </c>
      <c r="N14" s="262">
        <f ca="1">IFERROR(SUMIF(RE!$B$55:$B$98,$B14,D$12:D$48)/(C14*8.76),0)</f>
        <v>0</v>
      </c>
      <c r="O14" s="262">
        <f ca="1">IFERROR(SUMIF(RE!$B$55:$B$98,$B14,E$12:E$48)/(D14*8.76),0)</f>
        <v>0</v>
      </c>
      <c r="P14" s="262">
        <f ca="1">IFERROR(SUMIF(RE!$B$55:$B$98,$B14,F$12:F$48)/(E14*8.76),0)</f>
        <v>0</v>
      </c>
      <c r="Q14" s="262">
        <f ca="1">IFERROR(SUMIF(RE!$B$55:$B$98,$B14,G$12:G$48)/(F14*8.76),0)</f>
        <v>0</v>
      </c>
      <c r="R14" s="262">
        <f ca="1">IFERROR(SUMIF(RE!$B$55:$B$98,$B14,H$12:H$48)/(G14*8.76),0)</f>
        <v>0</v>
      </c>
      <c r="S14" s="262">
        <f ca="1">IFERROR(SUMIF(RE!$B$55:$B$98,$B14,I$12:I$48)/(H14*8.76),0)</f>
        <v>0</v>
      </c>
    </row>
    <row r="15" spans="1:19" s="304" customFormat="1" x14ac:dyDescent="0.35">
      <c r="A15" s="267">
        <v>4</v>
      </c>
      <c r="B15" s="272" t="s">
        <v>766</v>
      </c>
      <c r="C15" s="274"/>
      <c r="D15" s="290">
        <v>142.45000000000002</v>
      </c>
      <c r="E15" s="273">
        <v>8.1999999999999993</v>
      </c>
      <c r="F15" s="273">
        <v>113</v>
      </c>
      <c r="G15" s="273">
        <v>70.7</v>
      </c>
      <c r="H15" s="274"/>
      <c r="I15" s="274">
        <v>121.2</v>
      </c>
      <c r="J15" s="274">
        <v>138.93</v>
      </c>
      <c r="K15" s="290">
        <v>3.52</v>
      </c>
      <c r="L15" s="275">
        <v>334.35</v>
      </c>
      <c r="M15" s="264">
        <f>MATCH(B15,RE!$B$55:$B$98,0)</f>
        <v>29</v>
      </c>
      <c r="N15" s="262">
        <f ca="1">IFERROR(SUMIF(RE!$B$55:$B$98,$B15,D$12:D$48)/(C15*8.76),0)</f>
        <v>0</v>
      </c>
      <c r="O15" s="262">
        <f ca="1">IFERROR(SUMIF(RE!$B$55:$B$98,$B15,E$12:E$48)/(D15*8.76),0)</f>
        <v>1.5963303634536512E-2</v>
      </c>
      <c r="P15" s="262">
        <f ca="1">IFERROR(SUMIF(RE!$B$55:$B$98,$B15,F$12:F$48)/(E15*8.76),0)</f>
        <v>4.1764116271299701</v>
      </c>
      <c r="Q15" s="262">
        <f ca="1">IFERROR(SUMIF(RE!$B$55:$B$98,$B15,G$12:G$48)/(F15*8.76),0)</f>
        <v>9.9507010950822317E-2</v>
      </c>
      <c r="R15" s="262">
        <f ca="1">IFERROR(SUMIF(RE!$B$55:$B$98,$B15,H$12:H$48)/(G15*8.76),0)</f>
        <v>0</v>
      </c>
      <c r="S15" s="262">
        <f ca="1">IFERROR(SUMIF(RE!$B$55:$B$98,$B15,I$12:I$48)/(H15*8.76),0)</f>
        <v>0</v>
      </c>
    </row>
    <row r="16" spans="1:19" s="304" customFormat="1" x14ac:dyDescent="0.35">
      <c r="A16" s="267">
        <v>5</v>
      </c>
      <c r="B16" s="272" t="s">
        <v>767</v>
      </c>
      <c r="C16" s="274"/>
      <c r="D16" s="290">
        <v>231.35000000000002</v>
      </c>
      <c r="E16" s="273">
        <v>2.5</v>
      </c>
      <c r="F16" s="273">
        <v>228</v>
      </c>
      <c r="G16" s="273">
        <v>76</v>
      </c>
      <c r="H16" s="274"/>
      <c r="I16" s="274">
        <v>230.5</v>
      </c>
      <c r="J16" s="274">
        <v>215.83</v>
      </c>
      <c r="K16" s="290">
        <v>15.52</v>
      </c>
      <c r="L16" s="275">
        <v>537.85</v>
      </c>
      <c r="M16" s="264">
        <f>MATCH(B16,RE!$B$55:$B$98,0)</f>
        <v>12</v>
      </c>
      <c r="N16" s="262">
        <f ca="1">IFERROR(SUMIF(RE!$B$55:$B$98,$B16,D$12:D$48)/(C16*8.76),0)</f>
        <v>0</v>
      </c>
      <c r="O16" s="262">
        <f ca="1">IFERROR(SUMIF(RE!$B$55:$B$98,$B16,E$12:E$48)/(D16*8.76),0)</f>
        <v>7.5001504964408812E-3</v>
      </c>
      <c r="P16" s="262">
        <f ca="1">IFERROR(SUMIF(RE!$B$55:$B$98,$B16,F$12:F$48)/(E16*8.76),0)</f>
        <v>81.44292237442923</v>
      </c>
      <c r="Q16" s="262">
        <f ca="1">IFERROR(SUMIF(RE!$B$55:$B$98,$B16,G$12:G$48)/(F16*8.76),0)</f>
        <v>0.62821937835456221</v>
      </c>
      <c r="R16" s="262">
        <f ca="1">IFERROR(SUMIF(RE!$B$55:$B$98,$B16,H$12:H$48)/(G16*8.76),0)</f>
        <v>1.5020427781783224E-3</v>
      </c>
      <c r="S16" s="262">
        <f ca="1">IFERROR(SUMIF(RE!$B$55:$B$98,$B16,I$12:I$48)/(H16*8.76),0)</f>
        <v>0</v>
      </c>
    </row>
    <row r="17" spans="1:19" s="304" customFormat="1" x14ac:dyDescent="0.35">
      <c r="A17" s="267">
        <v>6</v>
      </c>
      <c r="B17" s="272" t="s">
        <v>772</v>
      </c>
      <c r="C17" s="274"/>
      <c r="D17" s="290">
        <v>3.92</v>
      </c>
      <c r="E17" s="273"/>
      <c r="F17" s="273"/>
      <c r="G17" s="273">
        <v>0.05</v>
      </c>
      <c r="H17" s="274"/>
      <c r="I17" s="274"/>
      <c r="J17" s="274">
        <v>0.95</v>
      </c>
      <c r="K17" s="290">
        <v>2.97</v>
      </c>
      <c r="L17" s="275">
        <v>3.97</v>
      </c>
      <c r="M17" s="264" t="e">
        <f>MATCH(B17,RE!$B$55:$B$98,0)</f>
        <v>#N/A</v>
      </c>
      <c r="N17" s="262">
        <f ca="1">IFERROR(SUMIF(RE!$B$55:$B$98,$B17,D$12:D$48)/(C17*8.76),0)</f>
        <v>0</v>
      </c>
      <c r="O17" s="262">
        <f ca="1">IFERROR(SUMIF(RE!$B$55:$B$98,$B17,E$12:E$48)/(D17*8.76),0)</f>
        <v>0</v>
      </c>
      <c r="P17" s="262">
        <f ca="1">IFERROR(SUMIF(RE!$B$55:$B$98,$B17,F$12:F$48)/(E17*8.76),0)</f>
        <v>0</v>
      </c>
      <c r="Q17" s="262">
        <f ca="1">IFERROR(SUMIF(RE!$B$55:$B$98,$B17,G$12:G$48)/(F17*8.76),0)</f>
        <v>0</v>
      </c>
      <c r="R17" s="262">
        <f ca="1">IFERROR(SUMIF(RE!$B$55:$B$98,$B17,H$12:H$48)/(G17*8.76),0)</f>
        <v>0</v>
      </c>
      <c r="S17" s="262">
        <f ca="1">IFERROR(SUMIF(RE!$B$55:$B$98,$B17,I$12:I$48)/(H17*8.76),0)</f>
        <v>0</v>
      </c>
    </row>
    <row r="18" spans="1:19" s="304" customFormat="1" x14ac:dyDescent="0.35">
      <c r="A18" s="267">
        <v>7</v>
      </c>
      <c r="B18" s="272" t="s">
        <v>774</v>
      </c>
      <c r="C18" s="274">
        <v>6073.07</v>
      </c>
      <c r="D18" s="290">
        <v>2440.13</v>
      </c>
      <c r="E18" s="273">
        <v>12</v>
      </c>
      <c r="F18" s="273">
        <v>65.3</v>
      </c>
      <c r="G18" s="273">
        <v>61.3</v>
      </c>
      <c r="H18" s="274"/>
      <c r="I18" s="274">
        <v>77.3</v>
      </c>
      <c r="J18" s="276">
        <v>2113.46</v>
      </c>
      <c r="K18" s="291">
        <v>326.67</v>
      </c>
      <c r="L18" s="275">
        <v>8651.8000000000011</v>
      </c>
      <c r="M18" s="264">
        <f>MATCH(B18,RE!$B$55:$B$98,0)</f>
        <v>14</v>
      </c>
      <c r="N18" s="262">
        <f ca="1">IFERROR(SUMIF(RE!$B$55:$B$98,$B18,D$12:D$48)/(C18*8.76),0)</f>
        <v>3.4589413087719935E-2</v>
      </c>
      <c r="O18" s="262">
        <f ca="1">IFERROR(SUMIF(RE!$B$55:$B$98,$B18,E$12:E$48)/(D18*8.76),0)</f>
        <v>5.7776321409030388E-4</v>
      </c>
      <c r="P18" s="262">
        <f ca="1">IFERROR(SUMIF(RE!$B$55:$B$98,$B18,F$12:F$48)/(E18*8.76),0)</f>
        <v>0.88470319634703187</v>
      </c>
      <c r="Q18" s="262">
        <f ca="1">IFERROR(SUMIF(RE!$B$55:$B$98,$B18,G$12:G$48)/(F18*8.76),0)</f>
        <v>0.16766661771801383</v>
      </c>
      <c r="R18" s="262">
        <f ca="1">IFERROR(SUMIF(RE!$B$55:$B$98,$B18,H$12:H$48)/(G18*8.76),0)</f>
        <v>2.8678480710928368E-2</v>
      </c>
      <c r="S18" s="262">
        <f ca="1">IFERROR(SUMIF(RE!$B$55:$B$98,$B18,I$12:I$48)/(H18*8.76),0)</f>
        <v>0</v>
      </c>
    </row>
    <row r="19" spans="1:19" s="304" customFormat="1" x14ac:dyDescent="0.35">
      <c r="A19" s="267">
        <v>8</v>
      </c>
      <c r="B19" s="272" t="s">
        <v>775</v>
      </c>
      <c r="C19" s="274"/>
      <c r="D19" s="290">
        <v>224.52</v>
      </c>
      <c r="E19" s="273">
        <v>84.26</v>
      </c>
      <c r="F19" s="273">
        <v>121.4</v>
      </c>
      <c r="G19" s="273">
        <v>73.5</v>
      </c>
      <c r="H19" s="274"/>
      <c r="I19" s="274">
        <v>205.66000000000003</v>
      </c>
      <c r="J19" s="274">
        <v>130.80000000000001</v>
      </c>
      <c r="K19" s="290">
        <v>93.72</v>
      </c>
      <c r="L19" s="275">
        <v>503.68000000000006</v>
      </c>
      <c r="M19" s="264">
        <f>MATCH(B19,RE!$B$55:$B$98,0)</f>
        <v>3</v>
      </c>
      <c r="N19" s="262">
        <f ca="1">IFERROR(SUMIF(RE!$B$55:$B$98,$B19,D$12:D$48)/(C19*8.76),0)</f>
        <v>0</v>
      </c>
      <c r="O19" s="262">
        <f ca="1">IFERROR(SUMIF(RE!$B$55:$B$98,$B19,E$12:E$48)/(D19*8.76),0)</f>
        <v>0</v>
      </c>
      <c r="P19" s="262">
        <f ca="1">IFERROR(SUMIF(RE!$B$55:$B$98,$B19,F$12:F$48)/(E19*8.76),0)</f>
        <v>0</v>
      </c>
      <c r="Q19" s="262">
        <f ca="1">IFERROR(SUMIF(RE!$B$55:$B$98,$B19,G$12:G$48)/(F19*8.76),0)</f>
        <v>3.2074428471485637E-2</v>
      </c>
      <c r="R19" s="262">
        <f ca="1">IFERROR(SUMIF(RE!$B$55:$B$98,$B19,H$12:H$48)/(G19*8.76),0)</f>
        <v>0</v>
      </c>
      <c r="S19" s="262">
        <f ca="1">IFERROR(SUMIF(RE!$B$55:$B$98,$B19,I$12:I$48)/(H19*8.76),0)</f>
        <v>0</v>
      </c>
    </row>
    <row r="20" spans="1:19" s="304" customFormat="1" x14ac:dyDescent="0.35">
      <c r="A20" s="267">
        <v>9</v>
      </c>
      <c r="B20" s="272" t="s">
        <v>778</v>
      </c>
      <c r="C20" s="274"/>
      <c r="D20" s="290">
        <v>22.68</v>
      </c>
      <c r="E20" s="273">
        <v>7.2</v>
      </c>
      <c r="F20" s="273"/>
      <c r="G20" s="273">
        <v>860.61</v>
      </c>
      <c r="H20" s="274"/>
      <c r="I20" s="274">
        <v>7.2</v>
      </c>
      <c r="J20" s="274">
        <v>17</v>
      </c>
      <c r="K20" s="290">
        <v>5.68</v>
      </c>
      <c r="L20" s="275">
        <v>890.49</v>
      </c>
      <c r="M20" s="264">
        <f>MATCH(B20,RE!$B$55:$B$98,0)</f>
        <v>4</v>
      </c>
      <c r="N20" s="262">
        <f ca="1">IFERROR(SUMIF(RE!$B$55:$B$98,$B20,D$12:D$48)/(C20*8.76),0)</f>
        <v>0</v>
      </c>
      <c r="O20" s="262">
        <f ca="1">IFERROR(SUMIF(RE!$B$55:$B$98,$B20,E$12:E$48)/(D20*8.76),0)</f>
        <v>4.1273062582042795E-2</v>
      </c>
      <c r="P20" s="262">
        <f ca="1">IFERROR(SUMIF(RE!$B$55:$B$98,$B20,F$12:F$48)/(E20*8.76),0)</f>
        <v>1.791603247082699</v>
      </c>
      <c r="Q20" s="262">
        <f ca="1">IFERROR(SUMIF(RE!$B$55:$B$98,$B20,G$12:G$48)/(F20*8.76),0)</f>
        <v>0</v>
      </c>
      <c r="R20" s="262">
        <f ca="1">IFERROR(SUMIF(RE!$B$55:$B$98,$B20,H$12:H$48)/(G20*8.76),0)</f>
        <v>0</v>
      </c>
      <c r="S20" s="262">
        <f ca="1">IFERROR(SUMIF(RE!$B$55:$B$98,$B20,I$12:I$48)/(H20*8.76),0)</f>
        <v>0</v>
      </c>
    </row>
    <row r="21" spans="1:19" s="304" customFormat="1" x14ac:dyDescent="0.35">
      <c r="A21" s="267">
        <v>10</v>
      </c>
      <c r="B21" s="272" t="s">
        <v>1047</v>
      </c>
      <c r="C21" s="274"/>
      <c r="D21" s="290">
        <v>14.83</v>
      </c>
      <c r="E21" s="273"/>
      <c r="F21" s="273"/>
      <c r="G21" s="273">
        <v>179.03</v>
      </c>
      <c r="H21" s="274"/>
      <c r="I21" s="274"/>
      <c r="J21" s="274">
        <v>8.49</v>
      </c>
      <c r="K21" s="290">
        <v>6.34</v>
      </c>
      <c r="L21" s="275">
        <v>193.86</v>
      </c>
      <c r="M21" s="264">
        <f>MATCH(B21,RE!$B$55:$B$98,0)</f>
        <v>5</v>
      </c>
      <c r="N21" s="262">
        <f ca="1">IFERROR(SUMIF(RE!$B$55:$B$98,$B21,D$12:D$48)/(C21*8.76),0)</f>
        <v>0</v>
      </c>
      <c r="O21" s="262">
        <f ca="1">IFERROR(SUMIF(RE!$B$55:$B$98,$B21,E$12:E$48)/(D21*8.76),0)</f>
        <v>1.9243973557240814E-2</v>
      </c>
      <c r="P21" s="262">
        <f ca="1">IFERROR(SUMIF(RE!$B$55:$B$98,$B21,F$12:F$48)/(E21*8.76),0)</f>
        <v>0</v>
      </c>
      <c r="Q21" s="262">
        <f ca="1">IFERROR(SUMIF(RE!$B$55:$B$98,$B21,G$12:G$48)/(F21*8.76),0)</f>
        <v>0</v>
      </c>
      <c r="R21" s="262">
        <f ca="1">IFERROR(SUMIF(RE!$B$55:$B$98,$B21,H$12:H$48)/(G21*8.76),0)</f>
        <v>0</v>
      </c>
      <c r="S21" s="262">
        <f ca="1">IFERROR(SUMIF(RE!$B$55:$B$98,$B21,I$12:I$48)/(H21*8.76),0)</f>
        <v>0</v>
      </c>
    </row>
    <row r="22" spans="1:19" s="304" customFormat="1" x14ac:dyDescent="0.35">
      <c r="A22" s="267">
        <v>11</v>
      </c>
      <c r="B22" s="272" t="s">
        <v>781</v>
      </c>
      <c r="C22" s="274"/>
      <c r="D22" s="290">
        <v>34.950000000000003</v>
      </c>
      <c r="E22" s="273">
        <v>4.3</v>
      </c>
      <c r="F22" s="273"/>
      <c r="G22" s="273">
        <v>4.05</v>
      </c>
      <c r="H22" s="274"/>
      <c r="I22" s="274">
        <v>4.3</v>
      </c>
      <c r="J22" s="274">
        <v>19.05</v>
      </c>
      <c r="K22" s="290">
        <v>15.9</v>
      </c>
      <c r="L22" s="275">
        <v>43.3</v>
      </c>
      <c r="M22" s="264">
        <f>MATCH(B22,RE!$B$55:$B$98,0)</f>
        <v>30</v>
      </c>
      <c r="N22" s="262">
        <f ca="1">IFERROR(SUMIF(RE!$B$55:$B$98,$B22,D$12:D$48)/(C22*8.76),0)</f>
        <v>0</v>
      </c>
      <c r="O22" s="262">
        <f ca="1">IFERROR(SUMIF(RE!$B$55:$B$98,$B22,E$12:E$48)/(D22*8.76),0)</f>
        <v>0</v>
      </c>
      <c r="P22" s="262">
        <f ca="1">IFERROR(SUMIF(RE!$B$55:$B$98,$B22,F$12:F$48)/(E22*8.76),0)</f>
        <v>0</v>
      </c>
      <c r="Q22" s="262">
        <f ca="1">IFERROR(SUMIF(RE!$B$55:$B$98,$B22,G$12:G$48)/(F22*8.76),0)</f>
        <v>0</v>
      </c>
      <c r="R22" s="262">
        <f ca="1">IFERROR(SUMIF(RE!$B$55:$B$98,$B22,H$12:H$48)/(G22*8.76),0)</f>
        <v>0</v>
      </c>
      <c r="S22" s="262">
        <f ca="1">IFERROR(SUMIF(RE!$B$55:$B$98,$B22,I$12:I$48)/(H22*8.76),0)</f>
        <v>0</v>
      </c>
    </row>
    <row r="23" spans="1:19" s="304" customFormat="1" x14ac:dyDescent="0.35">
      <c r="A23" s="267">
        <v>12</v>
      </c>
      <c r="B23" s="272" t="s">
        <v>783</v>
      </c>
      <c r="C23" s="274">
        <v>4694.8999999999996</v>
      </c>
      <c r="D23" s="290">
        <v>6095.56</v>
      </c>
      <c r="E23" s="273">
        <v>15.2</v>
      </c>
      <c r="F23" s="273">
        <v>1783.6</v>
      </c>
      <c r="G23" s="273">
        <v>1254.73</v>
      </c>
      <c r="H23" s="274">
        <v>1</v>
      </c>
      <c r="I23" s="274">
        <v>1799.8</v>
      </c>
      <c r="J23" s="276">
        <v>5936.06</v>
      </c>
      <c r="K23" s="291">
        <v>159.5</v>
      </c>
      <c r="L23" s="275">
        <v>13844.99</v>
      </c>
      <c r="M23" s="264">
        <f>MATCH(B23,RE!$B$55:$B$98,0)</f>
        <v>22</v>
      </c>
      <c r="N23" s="262">
        <f ca="1">IFERROR(SUMIF(RE!$B$55:$B$98,$B23,D$12:D$48)/(C23*8.76),0)</f>
        <v>7.8458544980947467E-2</v>
      </c>
      <c r="O23" s="262">
        <f ca="1">IFERROR(SUMIF(RE!$B$55:$B$98,$B23,E$12:E$48)/(D23*8.76),0)</f>
        <v>3.7455213677349584E-5</v>
      </c>
      <c r="P23" s="262">
        <f ca="1">IFERROR(SUMIF(RE!$B$55:$B$98,$B23,F$12:F$48)/(E23*8.76),0)</f>
        <v>0.89596851718336945</v>
      </c>
      <c r="Q23" s="262">
        <f ca="1">IFERROR(SUMIF(RE!$B$55:$B$98,$B23,G$12:G$48)/(F23*8.76),0)</f>
        <v>1.5264648686510584E-3</v>
      </c>
      <c r="R23" s="262">
        <f ca="1">IFERROR(SUMIF(RE!$B$55:$B$98,$B23,H$12:H$48)/(G23*8.76),0)</f>
        <v>0</v>
      </c>
      <c r="S23" s="262">
        <f ca="1">IFERROR(SUMIF(RE!$B$55:$B$98,$B23,I$12:I$48)/(H23*8.76),0)</f>
        <v>13.84703196347032</v>
      </c>
    </row>
    <row r="24" spans="1:19" s="304" customFormat="1" x14ac:dyDescent="0.35">
      <c r="A24" s="267">
        <v>13</v>
      </c>
      <c r="B24" s="272" t="s">
        <v>786</v>
      </c>
      <c r="C24" s="274">
        <v>52.5</v>
      </c>
      <c r="D24" s="290">
        <v>138.59</v>
      </c>
      <c r="E24" s="273">
        <v>0.72</v>
      </c>
      <c r="F24" s="273"/>
      <c r="G24" s="273">
        <v>222.02</v>
      </c>
      <c r="H24" s="274"/>
      <c r="I24" s="274">
        <v>0.72</v>
      </c>
      <c r="J24" s="298">
        <v>100</v>
      </c>
      <c r="K24" s="291">
        <v>38.590000000000003</v>
      </c>
      <c r="L24" s="275">
        <v>413.83000000000004</v>
      </c>
      <c r="M24" s="264">
        <f>MATCH(B24,RE!$B$55:$B$98,0)</f>
        <v>23</v>
      </c>
      <c r="N24" s="262">
        <f ca="1">IFERROR(SUMIF(RE!$B$55:$B$98,$B24,D$12:D$48)/(C24*8.76),0)</f>
        <v>2.1743857360295719E-5</v>
      </c>
      <c r="O24" s="262">
        <f ca="1">IFERROR(SUMIF(RE!$B$55:$B$98,$B24,E$12:E$48)/(D24*8.76),0)</f>
        <v>0</v>
      </c>
      <c r="P24" s="262">
        <f ca="1">IFERROR(SUMIF(RE!$B$55:$B$98,$B24,F$12:F$48)/(E24*8.76),0)</f>
        <v>0</v>
      </c>
      <c r="Q24" s="262">
        <f ca="1">IFERROR(SUMIF(RE!$B$55:$B$98,$B24,G$12:G$48)/(F24*8.76),0)</f>
        <v>0</v>
      </c>
      <c r="R24" s="262">
        <f ca="1">IFERROR(SUMIF(RE!$B$55:$B$98,$B24,H$12:H$48)/(G24*8.76),0)</f>
        <v>0</v>
      </c>
      <c r="S24" s="262">
        <f ca="1">IFERROR(SUMIF(RE!$B$55:$B$98,$B24,I$12:I$48)/(H24*8.76),0)</f>
        <v>0</v>
      </c>
    </row>
    <row r="25" spans="1:19" s="304" customFormat="1" x14ac:dyDescent="0.35">
      <c r="A25" s="267">
        <v>14</v>
      </c>
      <c r="B25" s="272" t="s">
        <v>789</v>
      </c>
      <c r="C25" s="287">
        <v>2519.89</v>
      </c>
      <c r="D25" s="290">
        <v>1840.16</v>
      </c>
      <c r="E25" s="273">
        <v>12.35</v>
      </c>
      <c r="F25" s="273">
        <v>93</v>
      </c>
      <c r="G25" s="273">
        <v>95.91</v>
      </c>
      <c r="H25" s="274">
        <v>15.4</v>
      </c>
      <c r="I25" s="274">
        <v>120.75</v>
      </c>
      <c r="J25" s="276">
        <v>1806.53</v>
      </c>
      <c r="K25" s="291">
        <v>33.630000000000003</v>
      </c>
      <c r="L25" s="275">
        <v>4576.71</v>
      </c>
      <c r="M25" s="264">
        <f>MATCH(B25,RE!$B$55:$B$98,0)</f>
        <v>13</v>
      </c>
      <c r="N25" s="262">
        <f ca="1">IFERROR(SUMIF(RE!$B$55:$B$98,$B25,D$12:D$48)/(C25*8.76),0)</f>
        <v>8.0280466689212404E-2</v>
      </c>
      <c r="O25" s="262">
        <f ca="1">IFERROR(SUMIF(RE!$B$55:$B$98,$B25,E$12:E$48)/(D25*8.76),0)</f>
        <v>1.0620478108117656E-3</v>
      </c>
      <c r="P25" s="262">
        <f ca="1">IFERROR(SUMIF(RE!$B$55:$B$98,$B25,F$12:F$48)/(E25*8.76),0)</f>
        <v>23.105577431460631</v>
      </c>
      <c r="Q25" s="262">
        <f ca="1">IFERROR(SUMIF(RE!$B$55:$B$98,$B25,G$12:G$48)/(F25*8.76),0)</f>
        <v>0.73352727451269217</v>
      </c>
      <c r="R25" s="262">
        <f ca="1">IFERROR(SUMIF(RE!$B$55:$B$98,$B25,H$12:H$48)/(G25*8.76),0)</f>
        <v>1.4985034009718968E-2</v>
      </c>
      <c r="S25" s="262">
        <f ca="1">IFERROR(SUMIF(RE!$B$55:$B$98,$B25,I$12:I$48)/(H25*8.76),0)</f>
        <v>18.749703492854177</v>
      </c>
    </row>
    <row r="26" spans="1:19" s="304" customFormat="1" x14ac:dyDescent="0.35">
      <c r="A26" s="267">
        <v>15</v>
      </c>
      <c r="B26" s="272" t="s">
        <v>790</v>
      </c>
      <c r="C26" s="274">
        <v>4794.13</v>
      </c>
      <c r="D26" s="290">
        <v>1633.54</v>
      </c>
      <c r="E26" s="273">
        <v>16.399999999999999</v>
      </c>
      <c r="F26" s="273">
        <v>2499.6999999999998</v>
      </c>
      <c r="G26" s="284">
        <v>375.57</v>
      </c>
      <c r="H26" s="274">
        <v>12.59</v>
      </c>
      <c r="I26" s="274">
        <v>2528.69</v>
      </c>
      <c r="J26" s="298">
        <v>1447.3</v>
      </c>
      <c r="K26" s="291">
        <v>186.24</v>
      </c>
      <c r="L26" s="275">
        <v>9331.9299999999985</v>
      </c>
      <c r="M26" s="264">
        <f>MATCH(B26,RE!$B$55:$B$98,0)</f>
        <v>16</v>
      </c>
      <c r="N26" s="262">
        <f ca="1">IFERROR(SUMIF(RE!$B$55:$B$98,$B26,D$12:D$48)/(C26*8.76),0)</f>
        <v>8.1911434176157221E-5</v>
      </c>
      <c r="O26" s="262">
        <f ca="1">IFERROR(SUMIF(RE!$B$55:$B$98,$B26,E$12:E$48)/(D26*8.76),0)</f>
        <v>0</v>
      </c>
      <c r="P26" s="262">
        <f ca="1">IFERROR(SUMIF(RE!$B$55:$B$98,$B26,F$12:F$48)/(E26*8.76),0)</f>
        <v>0</v>
      </c>
      <c r="Q26" s="262">
        <f ca="1">IFERROR(SUMIF(RE!$B$55:$B$98,$B26,G$12:G$48)/(F26*8.76),0)</f>
        <v>2.4888831408627484E-4</v>
      </c>
      <c r="R26" s="262">
        <f ca="1">IFERROR(SUMIF(RE!$B$55:$B$98,$B26,H$12:H$48)/(G26*8.76),0)</f>
        <v>0</v>
      </c>
      <c r="S26" s="262">
        <f ca="1">IFERROR(SUMIF(RE!$B$55:$B$98,$B26,I$12:I$48)/(H26*8.76),0)</f>
        <v>0</v>
      </c>
    </row>
    <row r="27" spans="1:19" s="304" customFormat="1" x14ac:dyDescent="0.35">
      <c r="A27" s="267">
        <v>16</v>
      </c>
      <c r="B27" s="272" t="s">
        <v>791</v>
      </c>
      <c r="C27" s="274"/>
      <c r="D27" s="290">
        <v>3.44</v>
      </c>
      <c r="E27" s="273"/>
      <c r="F27" s="273"/>
      <c r="G27" s="273">
        <v>5.45</v>
      </c>
      <c r="H27" s="274"/>
      <c r="I27" s="274"/>
      <c r="J27" s="274">
        <v>0</v>
      </c>
      <c r="K27" s="290">
        <v>3.44</v>
      </c>
      <c r="L27" s="275">
        <v>8.89</v>
      </c>
      <c r="M27" s="264">
        <f>MATCH(B27,RE!$B$55:$B$98,0)</f>
        <v>38</v>
      </c>
      <c r="N27" s="262">
        <f ca="1">IFERROR(SUMIF(RE!$B$55:$B$98,$B27,D$12:D$48)/(C27*8.76),0)</f>
        <v>0</v>
      </c>
      <c r="O27" s="262">
        <f ca="1">IFERROR(SUMIF(RE!$B$55:$B$98,$B27,E$12:E$48)/(D27*8.76),0)</f>
        <v>22.393344483381114</v>
      </c>
      <c r="P27" s="262">
        <f ca="1">IFERROR(SUMIF(RE!$B$55:$B$98,$B27,F$12:F$48)/(E27*8.76),0)</f>
        <v>0</v>
      </c>
      <c r="Q27" s="262">
        <f ca="1">IFERROR(SUMIF(RE!$B$55:$B$98,$B27,G$12:G$48)/(F27*8.76),0)</f>
        <v>0</v>
      </c>
      <c r="R27" s="262">
        <f ca="1">IFERROR(SUMIF(RE!$B$55:$B$98,$B27,H$12:H$48)/(G27*8.76),0)</f>
        <v>2.8968204097021495</v>
      </c>
      <c r="S27" s="262">
        <f ca="1">IFERROR(SUMIF(RE!$B$55:$B$98,$B27,I$12:I$48)/(H27*8.76),0)</f>
        <v>0</v>
      </c>
    </row>
    <row r="28" spans="1:19" s="304" customFormat="1" x14ac:dyDescent="0.35">
      <c r="A28" s="267">
        <v>17</v>
      </c>
      <c r="B28" s="272" t="s">
        <v>792</v>
      </c>
      <c r="C28" s="274"/>
      <c r="D28" s="290">
        <v>0.12</v>
      </c>
      <c r="E28" s="273">
        <v>13.8</v>
      </c>
      <c r="F28" s="273"/>
      <c r="G28" s="273">
        <v>32.53</v>
      </c>
      <c r="H28" s="274"/>
      <c r="I28" s="274">
        <v>13.8</v>
      </c>
      <c r="J28" s="274">
        <v>0</v>
      </c>
      <c r="K28" s="290">
        <v>0.12</v>
      </c>
      <c r="L28" s="275">
        <v>46.449999999999996</v>
      </c>
      <c r="M28" s="264">
        <f>MATCH(B28,RE!$B$55:$B$98,0)</f>
        <v>39</v>
      </c>
      <c r="N28" s="262">
        <f ca="1">IFERROR(SUMIF(RE!$B$55:$B$98,$B28,D$12:D$48)/(C28*8.76),0)</f>
        <v>0</v>
      </c>
      <c r="O28" s="262">
        <f ca="1">IFERROR(SUMIF(RE!$B$55:$B$98,$B28,E$12:E$48)/(D28*8.76),0)</f>
        <v>0</v>
      </c>
      <c r="P28" s="262">
        <f ca="1">IFERROR(SUMIF(RE!$B$55:$B$98,$B28,F$12:F$48)/(E28*8.76),0)</f>
        <v>0</v>
      </c>
      <c r="Q28" s="262">
        <f ca="1">IFERROR(SUMIF(RE!$B$55:$B$98,$B28,G$12:G$48)/(F28*8.76),0)</f>
        <v>0</v>
      </c>
      <c r="R28" s="262">
        <f ca="1">IFERROR(SUMIF(RE!$B$55:$B$98,$B28,H$12:H$48)/(G28*8.76),0)</f>
        <v>0</v>
      </c>
      <c r="S28" s="262">
        <f ca="1">IFERROR(SUMIF(RE!$B$55:$B$98,$B28,I$12:I$48)/(H28*8.76),0)</f>
        <v>0</v>
      </c>
    </row>
    <row r="29" spans="1:19" s="304" customFormat="1" x14ac:dyDescent="0.35">
      <c r="A29" s="267">
        <v>18</v>
      </c>
      <c r="B29" s="272" t="s">
        <v>793</v>
      </c>
      <c r="C29" s="274"/>
      <c r="D29" s="290">
        <v>0.5</v>
      </c>
      <c r="E29" s="273"/>
      <c r="F29" s="273"/>
      <c r="G29" s="273">
        <v>36.47</v>
      </c>
      <c r="H29" s="274"/>
      <c r="I29" s="274"/>
      <c r="J29" s="274">
        <v>0.1</v>
      </c>
      <c r="K29" s="290">
        <v>0.4</v>
      </c>
      <c r="L29" s="275">
        <v>36.97</v>
      </c>
      <c r="M29" s="264">
        <f>MATCH(B29,RE!$B$55:$B$98,0)</f>
        <v>40</v>
      </c>
      <c r="N29" s="262">
        <f ca="1">IFERROR(SUMIF(RE!$B$55:$B$98,$B29,D$12:D$48)/(C29*8.76),0)</f>
        <v>0</v>
      </c>
      <c r="O29" s="262">
        <f ca="1">IFERROR(SUMIF(RE!$B$55:$B$98,$B29,E$12:E$48)/(D29*8.76),0)</f>
        <v>0</v>
      </c>
      <c r="P29" s="262">
        <f ca="1">IFERROR(SUMIF(RE!$B$55:$B$98,$B29,F$12:F$48)/(E29*8.76),0)</f>
        <v>0</v>
      </c>
      <c r="Q29" s="262">
        <f ca="1">IFERROR(SUMIF(RE!$B$55:$B$98,$B29,G$12:G$48)/(F29*8.76),0)</f>
        <v>0</v>
      </c>
      <c r="R29" s="262">
        <f ca="1">IFERROR(SUMIF(RE!$B$55:$B$98,$B29,H$12:H$48)/(G29*8.76),0)</f>
        <v>0</v>
      </c>
      <c r="S29" s="262">
        <f ca="1">IFERROR(SUMIF(RE!$B$55:$B$98,$B29,I$12:I$48)/(H29*8.76),0)</f>
        <v>0</v>
      </c>
    </row>
    <row r="30" spans="1:19" s="304" customFormat="1" x14ac:dyDescent="0.35">
      <c r="A30" s="267">
        <v>19</v>
      </c>
      <c r="B30" s="272" t="s">
        <v>794</v>
      </c>
      <c r="C30" s="274"/>
      <c r="D30" s="290">
        <v>1</v>
      </c>
      <c r="E30" s="273"/>
      <c r="F30" s="273"/>
      <c r="G30" s="273">
        <v>30.67</v>
      </c>
      <c r="H30" s="274"/>
      <c r="I30" s="274"/>
      <c r="J30" s="274">
        <v>0</v>
      </c>
      <c r="K30" s="290">
        <v>1</v>
      </c>
      <c r="L30" s="275">
        <v>31.67</v>
      </c>
      <c r="M30" s="264">
        <f>MATCH(B30,RE!$B$55:$B$98,0)</f>
        <v>41</v>
      </c>
      <c r="N30" s="262">
        <f ca="1">IFERROR(SUMIF(RE!$B$55:$B$98,$B30,D$12:D$48)/(C30*8.76),0)</f>
        <v>0</v>
      </c>
      <c r="O30" s="262">
        <f ca="1">IFERROR(SUMIF(RE!$B$55:$B$98,$B30,E$12:E$48)/(D30*8.76),0)</f>
        <v>0</v>
      </c>
      <c r="P30" s="262">
        <f ca="1">IFERROR(SUMIF(RE!$B$55:$B$98,$B30,F$12:F$48)/(E30*8.76),0)</f>
        <v>0</v>
      </c>
      <c r="Q30" s="262">
        <f ca="1">IFERROR(SUMIF(RE!$B$55:$B$98,$B30,G$12:G$48)/(F30*8.76),0)</f>
        <v>0</v>
      </c>
      <c r="R30" s="262">
        <f ca="1">IFERROR(SUMIF(RE!$B$55:$B$98,$B30,H$12:H$48)/(G30*8.76),0)</f>
        <v>0</v>
      </c>
      <c r="S30" s="262">
        <f ca="1">IFERROR(SUMIF(RE!$B$55:$B$98,$B30,I$12:I$48)/(H30*8.76),0)</f>
        <v>0</v>
      </c>
    </row>
    <row r="31" spans="1:19" s="304" customFormat="1" x14ac:dyDescent="0.35">
      <c r="A31" s="267">
        <v>20</v>
      </c>
      <c r="B31" s="272" t="s">
        <v>795</v>
      </c>
      <c r="C31" s="274"/>
      <c r="D31" s="290">
        <v>394.73</v>
      </c>
      <c r="E31" s="273">
        <v>8.82</v>
      </c>
      <c r="F31" s="273">
        <v>50.4</v>
      </c>
      <c r="G31" s="284">
        <v>64.625</v>
      </c>
      <c r="H31" s="274"/>
      <c r="I31" s="274">
        <v>59.22</v>
      </c>
      <c r="J31" s="276">
        <v>383.56</v>
      </c>
      <c r="K31" s="291">
        <v>11.17</v>
      </c>
      <c r="L31" s="275">
        <v>518.57499999999993</v>
      </c>
      <c r="M31" s="264">
        <f>MATCH(B31,RE!$B$55:$B$98,0)</f>
        <v>31</v>
      </c>
      <c r="N31" s="262">
        <f ca="1">IFERROR(SUMIF(RE!$B$55:$B$98,$B31,D$12:D$48)/(C31*8.76),0)</f>
        <v>0</v>
      </c>
      <c r="O31" s="262">
        <f ca="1">IFERROR(SUMIF(RE!$B$55:$B$98,$B31,E$12:E$48)/(D31*8.76),0)</f>
        <v>0</v>
      </c>
      <c r="P31" s="262">
        <f ca="1">IFERROR(SUMIF(RE!$B$55:$B$98,$B31,F$12:F$48)/(E31*8.76),0)</f>
        <v>0</v>
      </c>
      <c r="Q31" s="262">
        <f ca="1">IFERROR(SUMIF(RE!$B$55:$B$98,$B31,G$12:G$48)/(F31*8.76),0)</f>
        <v>0</v>
      </c>
      <c r="R31" s="262">
        <f ca="1">IFERROR(SUMIF(RE!$B$55:$B$98,$B31,H$12:H$48)/(G31*8.76),0)</f>
        <v>0</v>
      </c>
      <c r="S31" s="262">
        <f ca="1">IFERROR(SUMIF(RE!$B$55:$B$98,$B31,I$12:I$48)/(H31*8.76),0)</f>
        <v>0</v>
      </c>
    </row>
    <row r="32" spans="1:19" s="304" customFormat="1" x14ac:dyDescent="0.35">
      <c r="A32" s="267">
        <v>21</v>
      </c>
      <c r="B32" s="272" t="s">
        <v>798</v>
      </c>
      <c r="C32" s="274"/>
      <c r="D32" s="290">
        <v>905.62</v>
      </c>
      <c r="E32" s="273">
        <v>123.1</v>
      </c>
      <c r="F32" s="273">
        <v>194</v>
      </c>
      <c r="G32" s="273">
        <v>173.55</v>
      </c>
      <c r="H32" s="274">
        <v>9.25</v>
      </c>
      <c r="I32" s="274">
        <v>326.35000000000002</v>
      </c>
      <c r="J32" s="276">
        <v>828.1</v>
      </c>
      <c r="K32" s="291">
        <v>77.52</v>
      </c>
      <c r="L32" s="275">
        <v>1405.52</v>
      </c>
      <c r="M32" s="264">
        <f>MATCH(B32,RE!$B$55:$B$98,0)</f>
        <v>6</v>
      </c>
      <c r="N32" s="262">
        <f ca="1">IFERROR(SUMIF(RE!$B$55:$B$98,$B32,D$12:D$48)/(C32*8.76),0)</f>
        <v>0</v>
      </c>
      <c r="O32" s="262">
        <f ca="1">IFERROR(SUMIF(RE!$B$55:$B$98,$B32,E$12:E$48)/(D32*8.76),0)</f>
        <v>0</v>
      </c>
      <c r="P32" s="262">
        <f ca="1">IFERROR(SUMIF(RE!$B$55:$B$98,$B32,F$12:F$48)/(E32*8.76),0)</f>
        <v>0</v>
      </c>
      <c r="Q32" s="262">
        <f ca="1">IFERROR(SUMIF(RE!$B$55:$B$98,$B32,G$12:G$48)/(F32*8.76),0)</f>
        <v>2.9421456479781575E-5</v>
      </c>
      <c r="R32" s="262">
        <f ca="1">IFERROR(SUMIF(RE!$B$55:$B$98,$B32,H$12:H$48)/(G32*8.76),0)</f>
        <v>0</v>
      </c>
      <c r="S32" s="262">
        <f ca="1">IFERROR(SUMIF(RE!$B$55:$B$98,$B32,I$12:I$48)/(H32*8.76),0)</f>
        <v>0</v>
      </c>
    </row>
    <row r="33" spans="1:19" s="304" customFormat="1" x14ac:dyDescent="0.35">
      <c r="A33" s="267">
        <v>22</v>
      </c>
      <c r="B33" s="272" t="s">
        <v>800</v>
      </c>
      <c r="C33" s="274">
        <v>4299.72</v>
      </c>
      <c r="D33" s="290">
        <v>3226.79</v>
      </c>
      <c r="E33" s="273">
        <v>2</v>
      </c>
      <c r="F33" s="273">
        <v>119.3</v>
      </c>
      <c r="G33" s="273">
        <v>23.85</v>
      </c>
      <c r="H33" s="274"/>
      <c r="I33" s="274">
        <v>121.3</v>
      </c>
      <c r="J33" s="276">
        <v>3072.43</v>
      </c>
      <c r="K33" s="291">
        <v>154.36000000000001</v>
      </c>
      <c r="L33" s="275">
        <v>7671.6600000000008</v>
      </c>
      <c r="M33" s="264">
        <f>MATCH(B33,RE!$B$55:$B$98,0)</f>
        <v>7</v>
      </c>
      <c r="N33" s="262">
        <f ca="1">IFERROR(SUMIF(RE!$B$55:$B$98,$B33,D$12:D$48)/(C33*8.76),0)</f>
        <v>6.4784137796888297E-2</v>
      </c>
      <c r="O33" s="262">
        <f ca="1">IFERROR(SUMIF(RE!$B$55:$B$98,$B33,E$12:E$48)/(D33*8.76),0)</f>
        <v>4.2452809563021775E-4</v>
      </c>
      <c r="P33" s="262">
        <f ca="1">IFERROR(SUMIF(RE!$B$55:$B$98,$B33,F$12:F$48)/(E33*8.76),0)</f>
        <v>3.7271689497716896</v>
      </c>
      <c r="Q33" s="262">
        <f ca="1">IFERROR(SUMIF(RE!$B$55:$B$98,$B33,G$12:G$48)/(F33*8.76),0)</f>
        <v>5.8656470200982136E-2</v>
      </c>
      <c r="R33" s="262">
        <f ca="1">IFERROR(SUMIF(RE!$B$55:$B$98,$B33,H$12:H$48)/(G33*8.76),0)</f>
        <v>0</v>
      </c>
      <c r="S33" s="262">
        <f ca="1">IFERROR(SUMIF(RE!$B$55:$B$98,$B33,I$12:I$48)/(H33*8.76),0)</f>
        <v>0</v>
      </c>
    </row>
    <row r="34" spans="1:19" s="304" customFormat="1" x14ac:dyDescent="0.35">
      <c r="A34" s="267">
        <v>23</v>
      </c>
      <c r="B34" s="272" t="s">
        <v>801</v>
      </c>
      <c r="C34" s="274"/>
      <c r="D34" s="290">
        <v>0.01</v>
      </c>
      <c r="E34" s="273"/>
      <c r="F34" s="273"/>
      <c r="G34" s="273">
        <v>52.11</v>
      </c>
      <c r="H34" s="274"/>
      <c r="I34" s="274"/>
      <c r="J34" s="274">
        <v>0</v>
      </c>
      <c r="K34" s="290">
        <v>0.01</v>
      </c>
      <c r="L34" s="275">
        <v>52.12</v>
      </c>
      <c r="M34" s="264">
        <f>MATCH(B34,RE!$B$55:$B$98,0)</f>
        <v>32</v>
      </c>
      <c r="N34" s="262">
        <f ca="1">IFERROR(SUMIF(RE!$B$55:$B$98,$B34,D$12:D$48)/(C34*8.76),0)</f>
        <v>0</v>
      </c>
      <c r="O34" s="262">
        <f ca="1">IFERROR(SUMIF(RE!$B$55:$B$98,$B34,E$12:E$48)/(D34*8.76),0)</f>
        <v>0</v>
      </c>
      <c r="P34" s="262">
        <f ca="1">IFERROR(SUMIF(RE!$B$55:$B$98,$B34,F$12:F$48)/(E34*8.76),0)</f>
        <v>0</v>
      </c>
      <c r="Q34" s="262">
        <f ca="1">IFERROR(SUMIF(RE!$B$55:$B$98,$B34,G$12:G$48)/(F34*8.76),0)</f>
        <v>0</v>
      </c>
      <c r="R34" s="262">
        <f ca="1">IFERROR(SUMIF(RE!$B$55:$B$98,$B34,H$12:H$48)/(G34*8.76),0)</f>
        <v>0</v>
      </c>
      <c r="S34" s="262">
        <f ca="1">IFERROR(SUMIF(RE!$B$55:$B$98,$B34,I$12:I$48)/(H34*8.76),0)</f>
        <v>0</v>
      </c>
    </row>
    <row r="35" spans="1:19" s="304" customFormat="1" x14ac:dyDescent="0.35">
      <c r="A35" s="267">
        <v>24</v>
      </c>
      <c r="B35" s="272" t="s">
        <v>802</v>
      </c>
      <c r="C35" s="274">
        <v>8968.9050000000007</v>
      </c>
      <c r="D35" s="290">
        <v>2575.2199999999998</v>
      </c>
      <c r="E35" s="273">
        <v>28.55</v>
      </c>
      <c r="F35" s="273">
        <v>969</v>
      </c>
      <c r="G35" s="273">
        <v>123.05</v>
      </c>
      <c r="H35" s="274">
        <v>6.4</v>
      </c>
      <c r="I35" s="274">
        <v>1003.9499999999999</v>
      </c>
      <c r="J35" s="276">
        <v>2432.27</v>
      </c>
      <c r="K35" s="291">
        <v>142.94999999999999</v>
      </c>
      <c r="L35" s="275">
        <v>12671.125000000002</v>
      </c>
      <c r="M35" s="264">
        <f>MATCH(B35,RE!$B$55:$B$98,0)</f>
        <v>25</v>
      </c>
      <c r="N35" s="262">
        <f ca="1">IFERROR(SUMIF(RE!$B$55:$B$98,$B35,D$12:D$48)/(C35*8.76),0)</f>
        <v>4.5719732350053811E-2</v>
      </c>
      <c r="O35" s="262">
        <f ca="1">IFERROR(SUMIF(RE!$B$55:$B$98,$B35,E$12:E$48)/(D35*8.76),0)</f>
        <v>4.4328349089224426E-5</v>
      </c>
      <c r="P35" s="262">
        <f ca="1">IFERROR(SUMIF(RE!$B$55:$B$98,$B35,F$12:F$48)/(E35*8.76),0)</f>
        <v>0.63215219633903508</v>
      </c>
      <c r="Q35" s="262">
        <f ca="1">IFERROR(SUMIF(RE!$B$55:$B$98,$B35,G$12:G$48)/(F35*8.76),0)</f>
        <v>1.0705147235534444E-2</v>
      </c>
      <c r="R35" s="262">
        <f ca="1">IFERROR(SUMIF(RE!$B$55:$B$98,$B35,H$12:H$48)/(G35*8.76),0)</f>
        <v>1.716271553123707E-2</v>
      </c>
      <c r="S35" s="262">
        <f ca="1">IFERROR(SUMIF(RE!$B$55:$B$98,$B35,I$12:I$48)/(H35*8.76),0)</f>
        <v>3.1678082191780823</v>
      </c>
    </row>
    <row r="36" spans="1:19" s="304" customFormat="1" x14ac:dyDescent="0.35">
      <c r="A36" s="278">
        <v>25</v>
      </c>
      <c r="B36" s="279" t="s">
        <v>803</v>
      </c>
      <c r="C36" s="274">
        <v>128.1</v>
      </c>
      <c r="D36" s="290">
        <v>3592.09</v>
      </c>
      <c r="E36" s="280">
        <v>1</v>
      </c>
      <c r="F36" s="280">
        <v>158.1</v>
      </c>
      <c r="G36" s="273">
        <v>90.87</v>
      </c>
      <c r="H36" s="274">
        <v>18.5</v>
      </c>
      <c r="I36" s="274">
        <v>177.6</v>
      </c>
      <c r="J36" s="276">
        <v>3519.27</v>
      </c>
      <c r="K36" s="291">
        <v>72.819999999999993</v>
      </c>
      <c r="L36" s="275">
        <v>3988.6600000000003</v>
      </c>
      <c r="M36" s="264">
        <f>MATCH(B36,RE!$B$55:$B$98,0)</f>
        <v>21</v>
      </c>
      <c r="N36" s="262">
        <f ca="1">IFERROR(SUMIF(RE!$B$55:$B$98,$B36,D$12:D$48)/(C36*8.76),0)</f>
        <v>0.80703574191110683</v>
      </c>
      <c r="O36" s="262">
        <f ca="1">IFERROR(SUMIF(RE!$B$55:$B$98,$B36,E$12:E$48)/(D36*8.76),0)</f>
        <v>3.9120710827192842E-3</v>
      </c>
      <c r="P36" s="262">
        <f ca="1">IFERROR(SUMIF(RE!$B$55:$B$98,$B36,F$12:F$48)/(E36*8.76),0)</f>
        <v>22.146118721461189</v>
      </c>
      <c r="Q36" s="262">
        <f ca="1">IFERROR(SUMIF(RE!$B$55:$B$98,$B36,G$12:G$48)/(F36*8.76),0)</f>
        <v>0.12531084019997749</v>
      </c>
      <c r="R36" s="262">
        <f ca="1">IFERROR(SUMIF(RE!$B$55:$B$98,$B36,H$12:H$48)/(G36*8.76),0)</f>
        <v>1.1620293529870812E-2</v>
      </c>
      <c r="S36" s="262">
        <f ca="1">IFERROR(SUMIF(RE!$B$55:$B$98,$B36,I$12:I$48)/(H36*8.76),0)</f>
        <v>2.0137603356781439</v>
      </c>
    </row>
    <row r="37" spans="1:19" s="304" customFormat="1" x14ac:dyDescent="0.35">
      <c r="A37" s="267">
        <v>26</v>
      </c>
      <c r="B37" s="272" t="s">
        <v>804</v>
      </c>
      <c r="C37" s="274"/>
      <c r="D37" s="290">
        <v>5.09</v>
      </c>
      <c r="E37" s="274"/>
      <c r="F37" s="274"/>
      <c r="G37" s="273">
        <v>16.010000000000002</v>
      </c>
      <c r="H37" s="274"/>
      <c r="I37" s="274"/>
      <c r="J37" s="274">
        <v>5</v>
      </c>
      <c r="K37" s="290">
        <v>0.09</v>
      </c>
      <c r="L37" s="275">
        <v>21.1</v>
      </c>
      <c r="M37" s="264">
        <f>MATCH(B37,RE!$B$55:$B$98,0)</f>
        <v>42</v>
      </c>
      <c r="N37" s="262">
        <f ca="1">IFERROR(SUMIF(RE!$B$55:$B$98,$B37,D$12:D$48)/(C37*8.76),0)</f>
        <v>0</v>
      </c>
      <c r="O37" s="262">
        <f ca="1">IFERROR(SUMIF(RE!$B$55:$B$98,$B37,E$12:E$48)/(D37*8.76),0)</f>
        <v>0</v>
      </c>
      <c r="P37" s="262">
        <f ca="1">IFERROR(SUMIF(RE!$B$55:$B$98,$B37,F$12:F$48)/(E37*8.76),0)</f>
        <v>0</v>
      </c>
      <c r="Q37" s="262">
        <f ca="1">IFERROR(SUMIF(RE!$B$55:$B$98,$B37,G$12:G$48)/(F37*8.76),0)</f>
        <v>0</v>
      </c>
      <c r="R37" s="262">
        <f ca="1">IFERROR(SUMIF(RE!$B$55:$B$98,$B37,H$12:H$48)/(G37*8.76),0)</f>
        <v>0</v>
      </c>
      <c r="S37" s="262">
        <f ca="1">IFERROR(SUMIF(RE!$B$55:$B$98,$B37,I$12:I$48)/(H37*8.76),0)</f>
        <v>0</v>
      </c>
    </row>
    <row r="38" spans="1:19" s="304" customFormat="1" x14ac:dyDescent="0.35">
      <c r="A38" s="267">
        <v>27</v>
      </c>
      <c r="B38" s="272" t="s">
        <v>805</v>
      </c>
      <c r="C38" s="274"/>
      <c r="D38" s="290">
        <v>960.1</v>
      </c>
      <c r="E38" s="273">
        <v>158.01</v>
      </c>
      <c r="F38" s="273">
        <v>1957.5</v>
      </c>
      <c r="G38" s="273">
        <v>25.1</v>
      </c>
      <c r="H38" s="274"/>
      <c r="I38" s="274">
        <v>2115.5100000000002</v>
      </c>
      <c r="J38" s="274">
        <v>844</v>
      </c>
      <c r="K38" s="290">
        <v>116.1</v>
      </c>
      <c r="L38" s="275">
        <v>3100.71</v>
      </c>
      <c r="M38" s="264">
        <f>MATCH(B38,RE!$B$55:$B$98,0)</f>
        <v>8</v>
      </c>
      <c r="N38" s="262">
        <f ca="1">IFERROR(SUMIF(RE!$B$55:$B$98,$B38,D$12:D$48)/(C38*8.76),0)</f>
        <v>0</v>
      </c>
      <c r="O38" s="262">
        <f ca="1">IFERROR(SUMIF(RE!$B$55:$B$98,$B38,E$12:E$48)/(D38*8.76),0)</f>
        <v>1.0018457932702025E-2</v>
      </c>
      <c r="P38" s="262">
        <f ca="1">IFERROR(SUMIF(RE!$B$55:$B$98,$B38,F$12:F$48)/(E38*8.76),0)</f>
        <v>8.7706141944082494E-2</v>
      </c>
      <c r="Q38" s="262">
        <f ca="1">IFERROR(SUMIF(RE!$B$55:$B$98,$B38,G$12:G$48)/(F38*8.76),0)</f>
        <v>4.2862891233226615E-3</v>
      </c>
      <c r="R38" s="262">
        <f ca="1">IFERROR(SUMIF(RE!$B$55:$B$98,$B38,H$12:H$48)/(G38*8.76),0)</f>
        <v>0</v>
      </c>
      <c r="S38" s="262">
        <f ca="1">IFERROR(SUMIF(RE!$B$55:$B$98,$B38,I$12:I$48)/(H38*8.76),0)</f>
        <v>0</v>
      </c>
    </row>
    <row r="39" spans="1:19" s="304" customFormat="1" x14ac:dyDescent="0.35">
      <c r="A39" s="267">
        <v>28</v>
      </c>
      <c r="B39" s="272" t="s">
        <v>806</v>
      </c>
      <c r="C39" s="274"/>
      <c r="D39" s="290">
        <v>306.75</v>
      </c>
      <c r="E39" s="273">
        <v>57.5</v>
      </c>
      <c r="F39" s="273">
        <v>73</v>
      </c>
      <c r="G39" s="284">
        <v>214.32</v>
      </c>
      <c r="H39" s="274"/>
      <c r="I39" s="274">
        <v>130.5</v>
      </c>
      <c r="J39" s="274">
        <v>239.78</v>
      </c>
      <c r="K39" s="290">
        <v>66.97</v>
      </c>
      <c r="L39" s="275">
        <v>651.57000000000005</v>
      </c>
      <c r="M39" s="264">
        <f>MATCH(B39,RE!$B$55:$B$98,0)</f>
        <v>9</v>
      </c>
      <c r="N39" s="262">
        <f ca="1">IFERROR(SUMIF(RE!$B$55:$B$98,$B39,D$12:D$48)/(C39*8.76),0)</f>
        <v>0</v>
      </c>
      <c r="O39" s="262">
        <f ca="1">IFERROR(SUMIF(RE!$B$55:$B$98,$B39,E$12:E$48)/(D39*8.76),0)</f>
        <v>2.6794386576012327E-3</v>
      </c>
      <c r="P39" s="262">
        <f ca="1">IFERROR(SUMIF(RE!$B$55:$B$98,$B39,F$12:F$48)/(E39*8.76),0)</f>
        <v>0</v>
      </c>
      <c r="Q39" s="262">
        <f ca="1">IFERROR(SUMIF(RE!$B$55:$B$98,$B39,G$12:G$48)/(F39*8.76),0)</f>
        <v>1.3457965847250892</v>
      </c>
      <c r="R39" s="262">
        <f ca="1">IFERROR(SUMIF(RE!$B$55:$B$98,$B39,H$12:H$48)/(G39*8.76),0)</f>
        <v>0</v>
      </c>
      <c r="S39" s="262">
        <f ca="1">IFERROR(SUMIF(RE!$B$55:$B$98,$B39,I$12:I$48)/(H39*8.76),0)</f>
        <v>0</v>
      </c>
    </row>
    <row r="40" spans="1:19" s="304" customFormat="1" x14ac:dyDescent="0.35">
      <c r="A40" s="267">
        <v>29</v>
      </c>
      <c r="B40" s="272" t="s">
        <v>808</v>
      </c>
      <c r="C40" s="274"/>
      <c r="D40" s="290">
        <v>75.95</v>
      </c>
      <c r="E40" s="273">
        <v>19.920000000000002</v>
      </c>
      <c r="F40" s="273">
        <v>300</v>
      </c>
      <c r="G40" s="273">
        <v>98.5</v>
      </c>
      <c r="H40" s="274"/>
      <c r="I40" s="274">
        <v>319.92</v>
      </c>
      <c r="J40" s="274">
        <v>50</v>
      </c>
      <c r="K40" s="290">
        <v>25.95</v>
      </c>
      <c r="L40" s="275">
        <v>494.37</v>
      </c>
      <c r="M40" s="264">
        <f>MATCH(B40,RE!$B$55:$B$98,0)</f>
        <v>33</v>
      </c>
      <c r="N40" s="262">
        <f ca="1">IFERROR(SUMIF(RE!$B$55:$B$98,$B40,D$12:D$48)/(C40*8.76),0)</f>
        <v>0</v>
      </c>
      <c r="O40" s="262">
        <f ca="1">IFERROR(SUMIF(RE!$B$55:$B$98,$B40,E$12:E$48)/(D40*8.76),0)</f>
        <v>0</v>
      </c>
      <c r="P40" s="262">
        <f ca="1">IFERROR(SUMIF(RE!$B$55:$B$98,$B40,F$12:F$48)/(E40*8.76),0)</f>
        <v>0</v>
      </c>
      <c r="Q40" s="262">
        <f ca="1">IFERROR(SUMIF(RE!$B$55:$B$98,$B40,G$12:G$48)/(F40*8.76),0)</f>
        <v>0</v>
      </c>
      <c r="R40" s="262">
        <f ca="1">IFERROR(SUMIF(RE!$B$55:$B$98,$B40,H$12:H$48)/(G40*8.76),0)</f>
        <v>0</v>
      </c>
      <c r="S40" s="262">
        <f ca="1">IFERROR(SUMIF(RE!$B$55:$B$98,$B40,I$12:I$48)/(H40*8.76),0)</f>
        <v>0</v>
      </c>
    </row>
    <row r="41" spans="1:19" s="304" customFormat="1" x14ac:dyDescent="0.35">
      <c r="A41" s="267">
        <v>30</v>
      </c>
      <c r="B41" s="272" t="s">
        <v>1130</v>
      </c>
      <c r="C41" s="274"/>
      <c r="D41" s="290">
        <v>11.73</v>
      </c>
      <c r="E41" s="274"/>
      <c r="F41" s="274"/>
      <c r="G41" s="273">
        <v>5.25</v>
      </c>
      <c r="H41" s="274"/>
      <c r="I41" s="274"/>
      <c r="J41" s="274">
        <v>7.6</v>
      </c>
      <c r="K41" s="290">
        <v>4.13</v>
      </c>
      <c r="L41" s="275">
        <v>16.98</v>
      </c>
      <c r="M41" s="264">
        <f>MATCH(B41,RE!$B$55:$B$98,0)</f>
        <v>28</v>
      </c>
      <c r="N41" s="262">
        <f ca="1">IFERROR(SUMIF(RE!$B$55:$B$98,$B41,D$12:D$48)/(C41*8.76),0)</f>
        <v>0</v>
      </c>
      <c r="O41" s="262">
        <f ca="1">IFERROR(SUMIF(RE!$B$55:$B$98,$B41,E$12:E$48)/(D41*8.76),0)</f>
        <v>0.55958456441937499</v>
      </c>
      <c r="P41" s="262">
        <f ca="1">IFERROR(SUMIF(RE!$B$55:$B$98,$B41,F$12:F$48)/(E41*8.76),0)</f>
        <v>0</v>
      </c>
      <c r="Q41" s="262">
        <f ca="1">IFERROR(SUMIF(RE!$B$55:$B$98,$B41,G$12:G$48)/(F41*8.76),0)</f>
        <v>0</v>
      </c>
      <c r="R41" s="262">
        <f ca="1">IFERROR(SUMIF(RE!$B$55:$B$98,$B41,H$12:H$48)/(G41*8.76),0)</f>
        <v>0</v>
      </c>
      <c r="S41" s="262">
        <f ca="1">IFERROR(SUMIF(RE!$B$55:$B$98,$B41,I$12:I$48)/(H41*8.76),0)</f>
        <v>0</v>
      </c>
    </row>
    <row r="42" spans="1:19" s="304" customFormat="1" x14ac:dyDescent="0.35">
      <c r="A42" s="267">
        <v>31</v>
      </c>
      <c r="B42" s="272" t="s">
        <v>1048</v>
      </c>
      <c r="C42" s="274"/>
      <c r="D42" s="290">
        <v>34.71</v>
      </c>
      <c r="E42" s="274"/>
      <c r="F42" s="274"/>
      <c r="G42" s="273"/>
      <c r="H42" s="274"/>
      <c r="I42" s="274"/>
      <c r="J42" s="274">
        <v>6.34</v>
      </c>
      <c r="K42" s="290">
        <v>28.37</v>
      </c>
      <c r="L42" s="275">
        <v>34.71</v>
      </c>
      <c r="M42" s="264">
        <f>MATCH(B42,RE!$B$55:$B$98,0)</f>
        <v>1</v>
      </c>
      <c r="N42" s="262">
        <f ca="1">IFERROR(SUMIF(RE!$B$55:$B$98,$B42,D$12:D$48)/(C42*8.76),0)</f>
        <v>0</v>
      </c>
      <c r="O42" s="262">
        <f ca="1">IFERROR(SUMIF(RE!$B$55:$B$98,$B42,E$12:E$48)/(D42*8.76),0)</f>
        <v>0.32552828458631139</v>
      </c>
      <c r="P42" s="262">
        <f ca="1">IFERROR(SUMIF(RE!$B$55:$B$98,$B42,F$12:F$48)/(E42*8.76),0)</f>
        <v>0</v>
      </c>
      <c r="Q42" s="262">
        <f ca="1">IFERROR(SUMIF(RE!$B$55:$B$98,$B42,G$12:G$48)/(F42*8.76),0)</f>
        <v>0</v>
      </c>
      <c r="R42" s="262">
        <f ca="1">IFERROR(SUMIF(RE!$B$55:$B$98,$B42,H$12:H$48)/(G42*8.76),0)</f>
        <v>0</v>
      </c>
      <c r="S42" s="262">
        <f ca="1">IFERROR(SUMIF(RE!$B$55:$B$98,$B42,I$12:I$48)/(H42*8.76),0)</f>
        <v>0</v>
      </c>
    </row>
    <row r="43" spans="1:19" s="304" customFormat="1" x14ac:dyDescent="0.35">
      <c r="A43" s="267">
        <v>32</v>
      </c>
      <c r="B43" s="272" t="s">
        <v>1050</v>
      </c>
      <c r="C43" s="274"/>
      <c r="D43" s="290">
        <v>5.4600000000000009</v>
      </c>
      <c r="E43" s="274"/>
      <c r="F43" s="274"/>
      <c r="G43" s="273"/>
      <c r="H43" s="274"/>
      <c r="I43" s="274"/>
      <c r="J43" s="274">
        <v>2.4900000000000002</v>
      </c>
      <c r="K43" s="293">
        <v>2.97</v>
      </c>
      <c r="L43" s="275">
        <v>5.4600000000000009</v>
      </c>
      <c r="M43" s="264">
        <f>MATCH(B43,RE!$B$55:$B$98,0)</f>
        <v>17</v>
      </c>
      <c r="N43" s="262">
        <f ca="1">IFERROR(SUMIF(RE!$B$55:$B$98,$B43,D$12:D$48)/(C43*8.76),0)</f>
        <v>0</v>
      </c>
      <c r="O43" s="262">
        <f ca="1">IFERROR(SUMIF(RE!$B$55:$B$98,$B43,E$12:E$48)/(D43*8.76),0)</f>
        <v>0.2885242611270008</v>
      </c>
      <c r="P43" s="262">
        <f ca="1">IFERROR(SUMIF(RE!$B$55:$B$98,$B43,F$12:F$48)/(E43*8.76),0)</f>
        <v>0</v>
      </c>
      <c r="Q43" s="262">
        <f ca="1">IFERROR(SUMIF(RE!$B$55:$B$98,$B43,G$12:G$48)/(F43*8.76),0)</f>
        <v>0</v>
      </c>
      <c r="R43" s="262">
        <f ca="1">IFERROR(SUMIF(RE!$B$55:$B$98,$B43,H$12:H$48)/(G43*8.76),0)</f>
        <v>0</v>
      </c>
      <c r="S43" s="262">
        <f ca="1">IFERROR(SUMIF(RE!$B$55:$B$98,$B43,I$12:I$48)/(H43*8.76),0)</f>
        <v>0</v>
      </c>
    </row>
    <row r="44" spans="1:19" s="304" customFormat="1" x14ac:dyDescent="0.35">
      <c r="A44" s="267">
        <v>33</v>
      </c>
      <c r="B44" s="272" t="s">
        <v>1049</v>
      </c>
      <c r="C44" s="274"/>
      <c r="D44" s="290">
        <v>14.47</v>
      </c>
      <c r="E44" s="274"/>
      <c r="F44" s="274"/>
      <c r="G44" s="281"/>
      <c r="H44" s="274"/>
      <c r="I44" s="274"/>
      <c r="J44" s="295">
        <v>10.15</v>
      </c>
      <c r="K44" s="277">
        <v>4.32</v>
      </c>
      <c r="L44" s="275">
        <v>14.47</v>
      </c>
      <c r="M44" s="264">
        <f>MATCH(B44,RE!$B$55:$B$98,0)</f>
        <v>18</v>
      </c>
      <c r="N44" s="262">
        <f ca="1">IFERROR(SUMIF(RE!$B$55:$B$98,$B44,D$12:D$48)/(C44*8.76),0)</f>
        <v>0</v>
      </c>
      <c r="O44" s="262">
        <f ca="1">IFERROR(SUMIF(RE!$B$55:$B$98,$B44,E$12:E$48)/(D44*8.76),0)</f>
        <v>0</v>
      </c>
      <c r="P44" s="262">
        <f ca="1">IFERROR(SUMIF(RE!$B$55:$B$98,$B44,F$12:F$48)/(E44*8.76),0)</f>
        <v>0</v>
      </c>
      <c r="Q44" s="262">
        <f ca="1">IFERROR(SUMIF(RE!$B$55:$B$98,$B44,G$12:G$48)/(F44*8.76),0)</f>
        <v>0</v>
      </c>
      <c r="R44" s="262">
        <f ca="1">IFERROR(SUMIF(RE!$B$55:$B$98,$B44,H$12:H$48)/(G44*8.76),0)</f>
        <v>0</v>
      </c>
      <c r="S44" s="262">
        <f ca="1">IFERROR(SUMIF(RE!$B$55:$B$98,$B44,I$12:I$48)/(H44*8.76),0)</f>
        <v>0</v>
      </c>
    </row>
    <row r="45" spans="1:19" s="304" customFormat="1" x14ac:dyDescent="0.35">
      <c r="A45" s="267">
        <v>34</v>
      </c>
      <c r="B45" s="272" t="s">
        <v>770</v>
      </c>
      <c r="C45" s="274"/>
      <c r="D45" s="290">
        <v>126.89000000000001</v>
      </c>
      <c r="E45" s="274"/>
      <c r="F45" s="274"/>
      <c r="G45" s="281"/>
      <c r="H45" s="274">
        <v>52</v>
      </c>
      <c r="I45" s="274">
        <v>52</v>
      </c>
      <c r="J45" s="274">
        <v>8.9600000000000009</v>
      </c>
      <c r="K45" s="293">
        <v>117.93</v>
      </c>
      <c r="L45" s="275">
        <v>178.89000000000001</v>
      </c>
      <c r="M45" s="264">
        <f>MATCH(B45,RE!$B$55:$B$98,0)</f>
        <v>2</v>
      </c>
      <c r="N45" s="262">
        <f ca="1">IFERROR(SUMIF(RE!$B$55:$B$98,$B45,D$12:D$48)/(C45*8.76),0)</f>
        <v>0</v>
      </c>
      <c r="O45" s="262">
        <f ca="1">IFERROR(SUMIF(RE!$B$55:$B$98,$B45,E$12:E$48)/(D45*8.76),0)</f>
        <v>0</v>
      </c>
      <c r="P45" s="262">
        <f ca="1">IFERROR(SUMIF(RE!$B$55:$B$98,$B45,F$12:F$48)/(E45*8.76),0)</f>
        <v>0</v>
      </c>
      <c r="Q45" s="262">
        <f ca="1">IFERROR(SUMIF(RE!$B$55:$B$98,$B45,G$12:G$48)/(F45*8.76),0)</f>
        <v>0</v>
      </c>
      <c r="R45" s="262">
        <f ca="1">IFERROR(SUMIF(RE!$B$55:$B$98,$B45,H$12:H$48)/(G45*8.76),0)</f>
        <v>0</v>
      </c>
      <c r="S45" s="262">
        <f ca="1">IFERROR(SUMIF(RE!$B$55:$B$98,$B45,I$12:I$48)/(H45*8.76),0)</f>
        <v>0</v>
      </c>
    </row>
    <row r="46" spans="1:19" s="304" customFormat="1" x14ac:dyDescent="0.35">
      <c r="A46" s="267">
        <v>35</v>
      </c>
      <c r="B46" s="272" t="s">
        <v>1154</v>
      </c>
      <c r="C46" s="281"/>
      <c r="D46" s="290">
        <v>0.75</v>
      </c>
      <c r="E46" s="274"/>
      <c r="F46" s="274"/>
      <c r="G46" s="281"/>
      <c r="H46" s="274"/>
      <c r="I46" s="274"/>
      <c r="J46" s="274">
        <v>0.75</v>
      </c>
      <c r="K46" s="293">
        <v>0</v>
      </c>
      <c r="L46" s="275">
        <v>0.75</v>
      </c>
      <c r="M46" s="264">
        <f>MATCH(B46,RE!$B$55:$B$98,0)</f>
        <v>26</v>
      </c>
      <c r="N46" s="262">
        <f ca="1">IFERROR(SUMIF(RE!$B$55:$B$98,$B46,D$12:D$48)/(C46*8.76),0)</f>
        <v>0</v>
      </c>
      <c r="O46" s="262">
        <f ca="1">IFERROR(SUMIF(RE!$B$55:$B$98,$B46,E$12:E$48)/(D46*8.76),0)</f>
        <v>0</v>
      </c>
      <c r="P46" s="262">
        <f ca="1">IFERROR(SUMIF(RE!$B$55:$B$98,$B46,F$12:F$48)/(E46*8.76),0)</f>
        <v>0</v>
      </c>
      <c r="Q46" s="262">
        <f ca="1">IFERROR(SUMIF(RE!$B$55:$B$98,$B46,G$12:G$48)/(F46*8.76),0)</f>
        <v>0</v>
      </c>
      <c r="R46" s="262">
        <f ca="1">IFERROR(SUMIF(RE!$B$55:$B$98,$B46,H$12:H$48)/(G46*8.76),0)</f>
        <v>0</v>
      </c>
      <c r="S46" s="262">
        <f ca="1">IFERROR(SUMIF(RE!$B$55:$B$98,$B46,I$12:I$48)/(H46*8.76),0)</f>
        <v>0</v>
      </c>
    </row>
    <row r="47" spans="1:19" s="304" customFormat="1" x14ac:dyDescent="0.35">
      <c r="A47" s="267">
        <v>36</v>
      </c>
      <c r="B47" s="272" t="s">
        <v>1052</v>
      </c>
      <c r="C47" s="274"/>
      <c r="D47" s="290">
        <v>3.1399999999999997</v>
      </c>
      <c r="E47" s="274"/>
      <c r="F47" s="274"/>
      <c r="G47" s="281"/>
      <c r="H47" s="274"/>
      <c r="I47" s="274"/>
      <c r="J47" s="296">
        <v>0.03</v>
      </c>
      <c r="K47" s="277">
        <v>3.11</v>
      </c>
      <c r="L47" s="275">
        <v>3.1399999999999997</v>
      </c>
      <c r="M47" s="264">
        <f>MATCH(B47,RE!$B$55:$B$98,0)</f>
        <v>27</v>
      </c>
      <c r="N47" s="262">
        <f ca="1">IFERROR(SUMIF(RE!$B$55:$B$98,$B47,D$12:D$48)/(C47*8.76),0)</f>
        <v>0</v>
      </c>
      <c r="O47" s="262">
        <f ca="1">IFERROR(SUMIF(RE!$B$55:$B$98,$B47,E$12:E$48)/(D47*8.76),0)</f>
        <v>5.7444812843556416</v>
      </c>
      <c r="P47" s="262">
        <f ca="1">IFERROR(SUMIF(RE!$B$55:$B$98,$B47,F$12:F$48)/(E47*8.76),0)</f>
        <v>0</v>
      </c>
      <c r="Q47" s="262">
        <f ca="1">IFERROR(SUMIF(RE!$B$55:$B$98,$B47,G$12:G$48)/(F47*8.76),0)</f>
        <v>0</v>
      </c>
      <c r="R47" s="262">
        <f ca="1">IFERROR(SUMIF(RE!$B$55:$B$98,$B47,H$12:H$48)/(G47*8.76),0)</f>
        <v>0</v>
      </c>
      <c r="S47" s="262">
        <f ca="1">IFERROR(SUMIF(RE!$B$55:$B$98,$B47,I$12:I$48)/(H47*8.76),0)</f>
        <v>0</v>
      </c>
    </row>
    <row r="48" spans="1:19" s="304" customFormat="1" x14ac:dyDescent="0.35">
      <c r="A48" s="267">
        <v>37</v>
      </c>
      <c r="B48" s="272" t="s">
        <v>683</v>
      </c>
      <c r="C48" s="274">
        <v>4.3</v>
      </c>
      <c r="D48" s="290"/>
      <c r="E48" s="274"/>
      <c r="F48" s="274"/>
      <c r="G48" s="281"/>
      <c r="H48" s="274"/>
      <c r="I48" s="274"/>
      <c r="J48" s="274"/>
      <c r="K48" s="294"/>
      <c r="L48" s="275">
        <v>4.3</v>
      </c>
      <c r="M48" s="264" t="e">
        <f>MATCH(B48,RE!$B$55:$B$98,0)</f>
        <v>#N/A</v>
      </c>
      <c r="N48" s="262">
        <f ca="1">IFERROR(SUMIF(RE!$B$55:$B$98,$B48,D$12:D$48)/(C48*8.76),0)</f>
        <v>0</v>
      </c>
      <c r="O48" s="262">
        <f ca="1">IFERROR(SUMIF(RE!$B$55:$B$98,$B48,E$12:E$48)/(D48*8.76),0)</f>
        <v>0</v>
      </c>
      <c r="P48" s="262">
        <f ca="1">IFERROR(SUMIF(RE!$B$55:$B$98,$B48,F$12:F$48)/(E48*8.76),0)</f>
        <v>0</v>
      </c>
      <c r="Q48" s="262">
        <f ca="1">IFERROR(SUMIF(RE!$B$55:$B$98,$B48,G$12:G$48)/(F48*8.76),0)</f>
        <v>0</v>
      </c>
      <c r="R48" s="262">
        <f ca="1">IFERROR(SUMIF(RE!$B$55:$B$98,$B48,H$12:H$48)/(G48*8.76),0)</f>
        <v>0</v>
      </c>
      <c r="S48" s="262">
        <f ca="1">IFERROR(SUMIF(RE!$B$55:$B$98,$B48,I$12:I$48)/(H48*8.76),0)</f>
        <v>0</v>
      </c>
    </row>
    <row r="49" spans="1:19" s="304" customFormat="1" x14ac:dyDescent="0.35">
      <c r="A49" s="265"/>
      <c r="B49" s="283" t="s">
        <v>41</v>
      </c>
      <c r="C49" s="286">
        <v>35625.965000000004</v>
      </c>
      <c r="D49" s="292">
        <v>28180.71</v>
      </c>
      <c r="E49" s="282">
        <v>674.80999999999983</v>
      </c>
      <c r="F49" s="282">
        <v>9103.5</v>
      </c>
      <c r="G49" s="285">
        <v>4593.1500000000005</v>
      </c>
      <c r="H49" s="282">
        <v>138.30000000000001</v>
      </c>
      <c r="I49" s="282">
        <v>9916.6100000000024</v>
      </c>
      <c r="J49" s="282">
        <v>26384.32</v>
      </c>
      <c r="K49" s="292">
        <v>1796.3899999999999</v>
      </c>
      <c r="L49" s="297">
        <v>78316.435000000027</v>
      </c>
      <c r="M49" s="264">
        <f>MATCH(B49,RE!$B$55:$B$98,0)</f>
        <v>44</v>
      </c>
      <c r="N49" s="262">
        <f ca="1">IFERROR(SUMIF(RE!$B$55:$B$98,$B49,D$12:D$48)/(C49*8.76),0)</f>
        <v>0</v>
      </c>
      <c r="O49" s="262">
        <f ca="1">IFERROR(SUMIF(RE!$B$55:$B$98,$B49,E$12:E$48)/(D49*8.76),0)</f>
        <v>5.4726706421604512E-5</v>
      </c>
      <c r="P49" s="262">
        <f ca="1">IFERROR(SUMIF(RE!$B$55:$B$98,$B49,F$12:F$48)/(E49*8.76),0)</f>
        <v>0</v>
      </c>
      <c r="Q49" s="262">
        <f ca="1">IFERROR(SUMIF(RE!$B$55:$B$98,$B49,G$12:G$48)/(F49*8.76),0)</f>
        <v>0</v>
      </c>
      <c r="R49" s="262">
        <f ca="1">IFERROR(SUMIF(RE!$B$55:$B$98,$B49,H$12:H$48)/(G49*8.76),0)</f>
        <v>0</v>
      </c>
      <c r="S49" s="262">
        <f ca="1">IFERROR(SUMIF(RE!$B$55:$B$98,$B49,I$12:I$48)/(H49*8.76),0)</f>
        <v>0</v>
      </c>
    </row>
    <row r="52" spans="1:19" s="304" customFormat="1" x14ac:dyDescent="0.35">
      <c r="A52" s="2" t="s">
        <v>249</v>
      </c>
      <c r="B52" s="2" t="s">
        <v>1100</v>
      </c>
    </row>
    <row r="53" spans="1:19" s="304" customFormat="1" x14ac:dyDescent="0.35">
      <c r="A53" s="2"/>
      <c r="B53" s="2"/>
      <c r="D53" s="304" t="s">
        <v>1102</v>
      </c>
      <c r="E53" s="304" t="s">
        <v>1102</v>
      </c>
      <c r="F53" s="304" t="s">
        <v>1102</v>
      </c>
      <c r="G53" s="304" t="s">
        <v>1102</v>
      </c>
      <c r="H53" s="304" t="s">
        <v>1102</v>
      </c>
      <c r="I53" s="304" t="s">
        <v>1102</v>
      </c>
    </row>
    <row r="54" spans="1:19" s="304" customFormat="1" x14ac:dyDescent="0.35">
      <c r="A54" s="304" t="s">
        <v>1042</v>
      </c>
      <c r="B54" s="304" t="s">
        <v>179</v>
      </c>
      <c r="C54" s="304" t="s">
        <v>180</v>
      </c>
      <c r="D54" s="304" t="s">
        <v>348</v>
      </c>
      <c r="E54" s="304" t="s">
        <v>351</v>
      </c>
      <c r="F54" s="304" t="s">
        <v>452</v>
      </c>
      <c r="G54" s="304" t="s">
        <v>1098</v>
      </c>
      <c r="H54" s="304" t="s">
        <v>761</v>
      </c>
      <c r="I54" s="304" t="s">
        <v>1099</v>
      </c>
    </row>
    <row r="55" spans="1:19" s="304" customFormat="1" x14ac:dyDescent="0.35">
      <c r="A55" s="304" t="s">
        <v>1046</v>
      </c>
      <c r="B55" s="304" t="s">
        <v>1048</v>
      </c>
      <c r="C55" s="304" t="s">
        <v>739</v>
      </c>
      <c r="D55" s="304">
        <v>0</v>
      </c>
      <c r="E55" s="304">
        <v>13.51</v>
      </c>
      <c r="F55" s="304">
        <v>0</v>
      </c>
      <c r="G55" s="304">
        <v>0</v>
      </c>
      <c r="H55" s="304">
        <v>0</v>
      </c>
      <c r="I55" s="304">
        <v>0</v>
      </c>
    </row>
    <row r="56" spans="1:19" s="304" customFormat="1" x14ac:dyDescent="0.35">
      <c r="A56" s="304" t="s">
        <v>1046</v>
      </c>
      <c r="B56" s="304" t="s">
        <v>770</v>
      </c>
      <c r="C56" s="304" t="s">
        <v>739</v>
      </c>
      <c r="D56" s="304">
        <v>0</v>
      </c>
      <c r="E56" s="304">
        <v>10.84</v>
      </c>
      <c r="F56" s="304">
        <v>0</v>
      </c>
      <c r="G56" s="304">
        <v>0</v>
      </c>
      <c r="H56" s="304">
        <v>0</v>
      </c>
      <c r="I56" s="304">
        <v>276.81</v>
      </c>
    </row>
    <row r="57" spans="1:19" s="304" customFormat="1" x14ac:dyDescent="0.35">
      <c r="A57" s="304" t="s">
        <v>1046</v>
      </c>
      <c r="B57" s="304" t="s">
        <v>775</v>
      </c>
      <c r="C57" s="304" t="s">
        <v>739</v>
      </c>
      <c r="D57" s="304">
        <v>0</v>
      </c>
      <c r="E57" s="304">
        <v>65.95</v>
      </c>
      <c r="F57" s="304">
        <v>192.68</v>
      </c>
      <c r="G57" s="304">
        <v>146.37</v>
      </c>
      <c r="H57" s="304">
        <v>250.84</v>
      </c>
      <c r="I57" s="304">
        <v>0</v>
      </c>
    </row>
    <row r="58" spans="1:19" s="304" customFormat="1" x14ac:dyDescent="0.35">
      <c r="A58" s="304" t="s">
        <v>1046</v>
      </c>
      <c r="B58" s="304" t="s">
        <v>778</v>
      </c>
      <c r="C58" s="304" t="s">
        <v>739</v>
      </c>
      <c r="D58" s="304">
        <v>0</v>
      </c>
      <c r="E58" s="304">
        <v>0</v>
      </c>
      <c r="F58" s="304">
        <v>0</v>
      </c>
      <c r="G58" s="304">
        <v>0</v>
      </c>
      <c r="H58" s="304">
        <v>2287.9299999999998</v>
      </c>
      <c r="I58" s="304">
        <v>0</v>
      </c>
    </row>
    <row r="59" spans="1:19" s="304" customFormat="1" x14ac:dyDescent="0.35">
      <c r="A59" s="304" t="s">
        <v>1046</v>
      </c>
      <c r="B59" s="304" t="s">
        <v>1047</v>
      </c>
      <c r="C59" s="304" t="s">
        <v>739</v>
      </c>
      <c r="D59" s="304">
        <v>0</v>
      </c>
      <c r="E59" s="304">
        <v>0</v>
      </c>
      <c r="F59" s="304">
        <v>0</v>
      </c>
      <c r="G59" s="304">
        <v>0</v>
      </c>
      <c r="H59" s="304">
        <v>312.2</v>
      </c>
      <c r="I59" s="304">
        <v>0</v>
      </c>
    </row>
    <row r="60" spans="1:19" s="304" customFormat="1" x14ac:dyDescent="0.35">
      <c r="A60" s="304" t="s">
        <v>1046</v>
      </c>
      <c r="B60" s="304" t="s">
        <v>798</v>
      </c>
      <c r="C60" s="304" t="s">
        <v>739</v>
      </c>
      <c r="D60" s="304">
        <v>0</v>
      </c>
      <c r="E60" s="304">
        <v>1492.9</v>
      </c>
      <c r="F60" s="304">
        <v>355.9</v>
      </c>
      <c r="G60" s="304">
        <v>245.18</v>
      </c>
      <c r="H60" s="304">
        <v>351.23</v>
      </c>
      <c r="I60" s="304">
        <v>0</v>
      </c>
    </row>
    <row r="61" spans="1:19" s="304" customFormat="1" x14ac:dyDescent="0.35">
      <c r="A61" s="304" t="s">
        <v>1046</v>
      </c>
      <c r="B61" s="304" t="s">
        <v>800</v>
      </c>
      <c r="C61" s="304" t="s">
        <v>739</v>
      </c>
      <c r="D61" s="304">
        <v>6322.94</v>
      </c>
      <c r="E61" s="304">
        <v>4633.95</v>
      </c>
      <c r="F61" s="304">
        <v>345.09</v>
      </c>
      <c r="G61" s="304">
        <v>0</v>
      </c>
      <c r="H61" s="304">
        <v>5.17</v>
      </c>
      <c r="I61" s="304">
        <v>0</v>
      </c>
    </row>
    <row r="62" spans="1:19" s="304" customFormat="1" x14ac:dyDescent="0.35">
      <c r="A62" s="304" t="s">
        <v>1046</v>
      </c>
      <c r="B62" s="304" t="s">
        <v>805</v>
      </c>
      <c r="C62" s="304" t="s">
        <v>739</v>
      </c>
      <c r="D62" s="304">
        <v>0</v>
      </c>
      <c r="E62" s="304">
        <v>1192.8499999999999</v>
      </c>
      <c r="F62" s="304">
        <v>104.04</v>
      </c>
      <c r="G62" s="304">
        <v>4324.3999999999996</v>
      </c>
      <c r="H62" s="304">
        <v>19.010000000000002</v>
      </c>
      <c r="I62" s="304">
        <v>0</v>
      </c>
    </row>
    <row r="63" spans="1:19" s="304" customFormat="1" x14ac:dyDescent="0.35">
      <c r="A63" s="304" t="s">
        <v>1046</v>
      </c>
      <c r="B63" s="304" t="s">
        <v>806</v>
      </c>
      <c r="C63" s="304" t="s">
        <v>739</v>
      </c>
      <c r="D63" s="304">
        <v>0</v>
      </c>
      <c r="E63" s="304">
        <v>318.29000000000002</v>
      </c>
      <c r="F63" s="304">
        <v>0</v>
      </c>
      <c r="G63" s="304">
        <v>109.89</v>
      </c>
      <c r="H63" s="304">
        <v>676.79</v>
      </c>
      <c r="I63" s="304">
        <v>0</v>
      </c>
    </row>
    <row r="64" spans="1:19" s="304" customFormat="1" x14ac:dyDescent="0.35">
      <c r="A64" s="304" t="s">
        <v>1046</v>
      </c>
      <c r="B64" s="304" t="s">
        <v>1064</v>
      </c>
      <c r="C64" s="304" t="s">
        <v>739</v>
      </c>
      <c r="D64" s="304">
        <v>0</v>
      </c>
      <c r="E64" s="304">
        <v>498.99</v>
      </c>
      <c r="F64" s="304">
        <v>0</v>
      </c>
      <c r="G64" s="304">
        <v>0</v>
      </c>
      <c r="H64" s="304">
        <v>12.28</v>
      </c>
      <c r="I64" s="304">
        <v>0</v>
      </c>
    </row>
    <row r="65" spans="1:9" s="304" customFormat="1" x14ac:dyDescent="0.35">
      <c r="A65" s="304" t="s">
        <v>1046</v>
      </c>
      <c r="B65" s="304" t="s">
        <v>1065</v>
      </c>
      <c r="C65" s="304" t="s">
        <v>739</v>
      </c>
      <c r="D65" s="304">
        <v>80.849999999999994</v>
      </c>
      <c r="E65" s="304">
        <v>25.18</v>
      </c>
      <c r="F65" s="304">
        <v>0</v>
      </c>
      <c r="G65" s="304">
        <v>0</v>
      </c>
      <c r="H65" s="304">
        <v>0</v>
      </c>
      <c r="I65" s="304">
        <v>0</v>
      </c>
    </row>
    <row r="66" spans="1:9" s="304" customFormat="1" x14ac:dyDescent="0.35">
      <c r="A66" s="304" t="s">
        <v>628</v>
      </c>
      <c r="B66" s="304" t="s">
        <v>767</v>
      </c>
      <c r="C66" s="304" t="s">
        <v>739</v>
      </c>
      <c r="D66" s="304">
        <v>0</v>
      </c>
      <c r="E66" s="304">
        <v>335.14</v>
      </c>
      <c r="F66" s="304">
        <v>529.9</v>
      </c>
      <c r="G66" s="304">
        <v>0</v>
      </c>
      <c r="H66" s="304">
        <v>80.06</v>
      </c>
      <c r="I66" s="304">
        <v>0</v>
      </c>
    </row>
    <row r="67" spans="1:9" s="304" customFormat="1" x14ac:dyDescent="0.35">
      <c r="A67" s="304" t="s">
        <v>628</v>
      </c>
      <c r="B67" s="304" t="s">
        <v>789</v>
      </c>
      <c r="C67" s="304" t="s">
        <v>739</v>
      </c>
      <c r="D67" s="304">
        <v>86.07</v>
      </c>
      <c r="E67" s="304">
        <v>478.88</v>
      </c>
      <c r="F67" s="304">
        <v>0</v>
      </c>
      <c r="G67" s="304">
        <v>0</v>
      </c>
      <c r="H67" s="304">
        <v>0</v>
      </c>
      <c r="I67" s="304">
        <v>0</v>
      </c>
    </row>
    <row r="68" spans="1:9" s="304" customFormat="1" x14ac:dyDescent="0.35">
      <c r="A68" s="304" t="s">
        <v>628</v>
      </c>
      <c r="B68" s="304" t="s">
        <v>774</v>
      </c>
      <c r="C68" s="304" t="s">
        <v>739</v>
      </c>
      <c r="D68" s="304">
        <v>11199.51</v>
      </c>
      <c r="E68" s="304">
        <v>2410.3200000000002</v>
      </c>
      <c r="F68" s="304">
        <v>75.28</v>
      </c>
      <c r="G68" s="304">
        <v>5.09</v>
      </c>
      <c r="H68" s="304">
        <v>86.19</v>
      </c>
      <c r="I68" s="304">
        <v>0</v>
      </c>
    </row>
    <row r="69" spans="1:9" s="304" customFormat="1" x14ac:dyDescent="0.35">
      <c r="A69" s="304" t="s">
        <v>628</v>
      </c>
      <c r="B69" s="304" t="s">
        <v>789</v>
      </c>
      <c r="C69" s="304" t="s">
        <v>739</v>
      </c>
      <c r="D69" s="304">
        <v>4828.17</v>
      </c>
      <c r="E69" s="304">
        <v>2503.41</v>
      </c>
      <c r="F69" s="304">
        <v>2.0099999999999998</v>
      </c>
      <c r="G69" s="304">
        <v>110.32</v>
      </c>
      <c r="H69" s="304">
        <v>145.47</v>
      </c>
      <c r="I69" s="304">
        <v>51.11</v>
      </c>
    </row>
    <row r="70" spans="1:9" s="304" customFormat="1" x14ac:dyDescent="0.35">
      <c r="A70" s="304" t="s">
        <v>628</v>
      </c>
      <c r="B70" s="304" t="s">
        <v>790</v>
      </c>
      <c r="C70" s="304" t="s">
        <v>739</v>
      </c>
      <c r="D70" s="304">
        <v>7575.14</v>
      </c>
      <c r="E70" s="304">
        <v>2206.62</v>
      </c>
      <c r="F70" s="304">
        <v>445.98</v>
      </c>
      <c r="G70" s="304">
        <v>3987.29</v>
      </c>
      <c r="H70" s="304">
        <v>759.08</v>
      </c>
      <c r="I70" s="304">
        <v>0.8</v>
      </c>
    </row>
    <row r="71" spans="1:9" s="304" customFormat="1" x14ac:dyDescent="0.35">
      <c r="A71" s="304" t="s">
        <v>628</v>
      </c>
      <c r="B71" s="304" t="s">
        <v>1050</v>
      </c>
      <c r="C71" s="304" t="s">
        <v>739</v>
      </c>
      <c r="D71" s="304">
        <v>0</v>
      </c>
      <c r="E71" s="304">
        <v>5.76</v>
      </c>
      <c r="F71" s="304">
        <v>0</v>
      </c>
      <c r="G71" s="304">
        <v>0</v>
      </c>
      <c r="H71" s="304">
        <v>0</v>
      </c>
      <c r="I71" s="304">
        <v>0</v>
      </c>
    </row>
    <row r="72" spans="1:9" s="304" customFormat="1" x14ac:dyDescent="0.35">
      <c r="A72" s="304" t="s">
        <v>628</v>
      </c>
      <c r="B72" s="304" t="s">
        <v>1049</v>
      </c>
      <c r="C72" s="304" t="s">
        <v>739</v>
      </c>
      <c r="D72" s="304">
        <v>0</v>
      </c>
      <c r="E72" s="304">
        <v>18.940000000000001</v>
      </c>
      <c r="F72" s="304">
        <v>0</v>
      </c>
      <c r="G72" s="304">
        <v>0</v>
      </c>
      <c r="H72" s="304">
        <v>0</v>
      </c>
      <c r="I72" s="304">
        <v>0</v>
      </c>
    </row>
    <row r="73" spans="1:9" s="304" customFormat="1" x14ac:dyDescent="0.35">
      <c r="A73" s="304" t="s">
        <v>628</v>
      </c>
      <c r="B73" s="304" t="s">
        <v>1156</v>
      </c>
      <c r="C73" s="304" t="s">
        <v>739</v>
      </c>
      <c r="D73" s="304">
        <v>241.47</v>
      </c>
      <c r="E73" s="304">
        <v>0</v>
      </c>
      <c r="F73" s="304">
        <v>0</v>
      </c>
      <c r="G73" s="304">
        <v>0</v>
      </c>
      <c r="H73" s="304">
        <v>0</v>
      </c>
      <c r="I73" s="304">
        <v>0</v>
      </c>
    </row>
    <row r="74" spans="1:9" s="304" customFormat="1" x14ac:dyDescent="0.35">
      <c r="A74" s="304" t="s">
        <v>1051</v>
      </c>
      <c r="B74" s="304" t="s">
        <v>762</v>
      </c>
      <c r="C74" s="304" t="s">
        <v>739</v>
      </c>
      <c r="D74" s="304">
        <v>8869.86</v>
      </c>
      <c r="E74" s="304">
        <v>4545.8</v>
      </c>
      <c r="F74" s="304">
        <v>201.86</v>
      </c>
      <c r="G74" s="304">
        <v>312.45</v>
      </c>
      <c r="H74" s="304">
        <v>193.12</v>
      </c>
      <c r="I74" s="304">
        <v>7.27</v>
      </c>
    </row>
    <row r="75" spans="1:9" s="304" customFormat="1" x14ac:dyDescent="0.35">
      <c r="A75" s="304" t="s">
        <v>1051</v>
      </c>
      <c r="B75" s="304" t="s">
        <v>803</v>
      </c>
      <c r="C75" s="304" t="s">
        <v>739</v>
      </c>
      <c r="D75" s="304">
        <v>274.83</v>
      </c>
      <c r="E75" s="304">
        <v>6297.53</v>
      </c>
      <c r="F75" s="304">
        <v>152.24</v>
      </c>
      <c r="G75" s="304">
        <v>166.21</v>
      </c>
      <c r="H75" s="304">
        <v>51.17</v>
      </c>
      <c r="I75" s="304">
        <v>89.28</v>
      </c>
    </row>
    <row r="76" spans="1:9" s="304" customFormat="1" x14ac:dyDescent="0.35">
      <c r="A76" s="304" t="s">
        <v>1051</v>
      </c>
      <c r="B76" s="304" t="s">
        <v>783</v>
      </c>
      <c r="C76" s="304" t="s">
        <v>739</v>
      </c>
      <c r="D76" s="304">
        <v>9778.25</v>
      </c>
      <c r="E76" s="304">
        <v>7575.83</v>
      </c>
      <c r="F76" s="304">
        <v>155.02000000000001</v>
      </c>
      <c r="G76" s="304">
        <v>2345.35</v>
      </c>
      <c r="H76" s="304">
        <v>1803.09</v>
      </c>
      <c r="I76" s="304">
        <v>0</v>
      </c>
    </row>
    <row r="77" spans="1:9" s="304" customFormat="1" x14ac:dyDescent="0.35">
      <c r="A77" s="304" t="s">
        <v>1051</v>
      </c>
      <c r="B77" s="304" t="s">
        <v>786</v>
      </c>
      <c r="C77" s="304" t="s">
        <v>739</v>
      </c>
      <c r="D77" s="304">
        <v>107.94</v>
      </c>
      <c r="E77" s="304">
        <v>110.84</v>
      </c>
      <c r="F77" s="304">
        <v>0</v>
      </c>
      <c r="G77" s="304">
        <v>0</v>
      </c>
      <c r="H77" s="304">
        <v>551.54999999999995</v>
      </c>
      <c r="I77" s="304">
        <v>0</v>
      </c>
    </row>
    <row r="78" spans="1:9" s="304" customFormat="1" x14ac:dyDescent="0.35">
      <c r="A78" s="304" t="s">
        <v>1051</v>
      </c>
      <c r="B78" s="304" t="s">
        <v>1157</v>
      </c>
      <c r="C78" s="304" t="s">
        <v>739</v>
      </c>
      <c r="D78" s="304">
        <v>0</v>
      </c>
      <c r="E78" s="304">
        <v>434.89</v>
      </c>
      <c r="F78" s="304">
        <v>0</v>
      </c>
      <c r="G78" s="304">
        <v>0</v>
      </c>
      <c r="H78" s="304">
        <v>0</v>
      </c>
      <c r="I78" s="304">
        <v>0</v>
      </c>
    </row>
    <row r="79" spans="1:9" s="304" customFormat="1" x14ac:dyDescent="0.35">
      <c r="A79" s="304" t="s">
        <v>1051</v>
      </c>
      <c r="B79" s="304" t="s">
        <v>802</v>
      </c>
      <c r="C79" s="304" t="s">
        <v>739</v>
      </c>
      <c r="D79" s="304">
        <v>12600.85</v>
      </c>
      <c r="E79" s="304">
        <v>3554.5</v>
      </c>
      <c r="F79" s="304">
        <v>127.16</v>
      </c>
      <c r="G79" s="304">
        <v>268</v>
      </c>
      <c r="H79" s="304">
        <v>347.97</v>
      </c>
      <c r="I79" s="304">
        <v>0</v>
      </c>
    </row>
    <row r="80" spans="1:9" s="304" customFormat="1" x14ac:dyDescent="0.35">
      <c r="A80" s="304" t="s">
        <v>1051</v>
      </c>
      <c r="B80" s="304" t="s">
        <v>1154</v>
      </c>
      <c r="C80" s="304" t="s">
        <v>739</v>
      </c>
      <c r="D80" s="304">
        <v>0</v>
      </c>
      <c r="E80" s="304">
        <v>1.1200000000000001</v>
      </c>
      <c r="F80" s="304">
        <v>0</v>
      </c>
      <c r="G80" s="304">
        <v>0</v>
      </c>
      <c r="H80" s="304">
        <v>0</v>
      </c>
      <c r="I80" s="304">
        <v>0</v>
      </c>
    </row>
    <row r="81" spans="1:9" s="304" customFormat="1" x14ac:dyDescent="0.35">
      <c r="A81" s="304" t="s">
        <v>1051</v>
      </c>
      <c r="B81" s="304" t="s">
        <v>1052</v>
      </c>
      <c r="C81" s="304" t="s">
        <v>739</v>
      </c>
      <c r="D81" s="304">
        <v>0</v>
      </c>
      <c r="E81" s="304">
        <v>2.58</v>
      </c>
      <c r="F81" s="304">
        <v>0</v>
      </c>
      <c r="G81" s="304">
        <v>0</v>
      </c>
      <c r="H81" s="304">
        <v>0</v>
      </c>
      <c r="I81" s="304">
        <v>0</v>
      </c>
    </row>
    <row r="82" spans="1:9" s="304" customFormat="1" x14ac:dyDescent="0.35">
      <c r="A82" s="304" t="s">
        <v>644</v>
      </c>
      <c r="B82" s="304" t="s">
        <v>1130</v>
      </c>
      <c r="C82" s="304" t="s">
        <v>739</v>
      </c>
      <c r="D82" s="304">
        <v>0</v>
      </c>
      <c r="E82" s="304">
        <v>8.0399999999999991</v>
      </c>
      <c r="F82" s="304">
        <v>0</v>
      </c>
      <c r="G82" s="304">
        <v>0</v>
      </c>
      <c r="H82" s="304">
        <v>16.559999999999999</v>
      </c>
      <c r="I82" s="304">
        <v>0</v>
      </c>
    </row>
    <row r="83" spans="1:9" s="304" customFormat="1" x14ac:dyDescent="0.35">
      <c r="A83" s="304" t="s">
        <v>644</v>
      </c>
      <c r="B83" s="304" t="s">
        <v>766</v>
      </c>
      <c r="C83" s="304" t="s">
        <v>739</v>
      </c>
      <c r="D83" s="304">
        <v>12.28</v>
      </c>
      <c r="E83" s="304">
        <v>179.89</v>
      </c>
      <c r="F83" s="304">
        <v>10.59</v>
      </c>
      <c r="G83" s="304">
        <v>257.63</v>
      </c>
      <c r="H83" s="304">
        <v>27.74</v>
      </c>
      <c r="I83" s="304">
        <v>0</v>
      </c>
    </row>
    <row r="84" spans="1:9" s="304" customFormat="1" x14ac:dyDescent="0.35">
      <c r="A84" s="304" t="s">
        <v>644</v>
      </c>
      <c r="B84" s="304" t="s">
        <v>781</v>
      </c>
      <c r="C84" s="304" t="s">
        <v>739</v>
      </c>
      <c r="D84" s="304">
        <v>0</v>
      </c>
      <c r="E84" s="304">
        <v>19.14</v>
      </c>
      <c r="F84" s="304">
        <v>0</v>
      </c>
      <c r="G84" s="304">
        <v>0</v>
      </c>
      <c r="H84" s="304">
        <v>0</v>
      </c>
      <c r="I84" s="304">
        <v>0</v>
      </c>
    </row>
    <row r="85" spans="1:9" s="304" customFormat="1" x14ac:dyDescent="0.35">
      <c r="A85" s="304" t="s">
        <v>644</v>
      </c>
      <c r="B85" s="304" t="s">
        <v>795</v>
      </c>
      <c r="C85" s="304" t="s">
        <v>739</v>
      </c>
      <c r="D85" s="304">
        <v>58.23</v>
      </c>
      <c r="E85" s="304">
        <v>249.13</v>
      </c>
      <c r="F85" s="304">
        <v>66.08</v>
      </c>
      <c r="G85" s="304">
        <v>0</v>
      </c>
      <c r="H85" s="304">
        <v>266.10000000000002</v>
      </c>
      <c r="I85" s="304">
        <v>0</v>
      </c>
    </row>
    <row r="86" spans="1:9" s="304" customFormat="1" x14ac:dyDescent="0.35">
      <c r="A86" s="304" t="s">
        <v>644</v>
      </c>
      <c r="B86" s="304" t="s">
        <v>801</v>
      </c>
      <c r="C86" s="304" t="s">
        <v>739</v>
      </c>
      <c r="D86" s="304">
        <v>0</v>
      </c>
      <c r="E86" s="304">
        <v>0</v>
      </c>
      <c r="F86" s="304">
        <v>0</v>
      </c>
      <c r="G86" s="304">
        <v>0</v>
      </c>
      <c r="H86" s="304">
        <v>28.1</v>
      </c>
      <c r="I86" s="304">
        <v>0</v>
      </c>
    </row>
    <row r="87" spans="1:9" s="304" customFormat="1" x14ac:dyDescent="0.35">
      <c r="A87" s="304" t="s">
        <v>644</v>
      </c>
      <c r="B87" s="304" t="s">
        <v>808</v>
      </c>
      <c r="C87" s="304" t="s">
        <v>739</v>
      </c>
      <c r="D87" s="304">
        <v>0</v>
      </c>
      <c r="E87" s="304">
        <v>40.61</v>
      </c>
      <c r="F87" s="304">
        <v>0</v>
      </c>
      <c r="G87" s="304">
        <v>1283.69</v>
      </c>
      <c r="H87" s="304">
        <v>161.86000000000001</v>
      </c>
      <c r="I87" s="304">
        <v>0</v>
      </c>
    </row>
    <row r="88" spans="1:9" s="304" customFormat="1" x14ac:dyDescent="0.35">
      <c r="A88" s="304" t="s">
        <v>644</v>
      </c>
      <c r="B88" s="304" t="s">
        <v>688</v>
      </c>
      <c r="C88" s="304" t="s">
        <v>739</v>
      </c>
      <c r="D88" s="304">
        <v>0</v>
      </c>
      <c r="E88" s="304">
        <v>0.06</v>
      </c>
      <c r="F88" s="304">
        <v>0</v>
      </c>
      <c r="G88" s="304">
        <v>0.81</v>
      </c>
      <c r="H88" s="304">
        <v>1.76</v>
      </c>
      <c r="I88" s="304">
        <v>0</v>
      </c>
    </row>
    <row r="89" spans="1:9" s="304" customFormat="1" x14ac:dyDescent="0.35">
      <c r="A89" s="304" t="s">
        <v>644</v>
      </c>
      <c r="B89" s="304" t="s">
        <v>1158</v>
      </c>
      <c r="C89" s="304" t="s">
        <v>739</v>
      </c>
      <c r="D89" s="304">
        <v>0</v>
      </c>
      <c r="E89" s="304">
        <v>19.71</v>
      </c>
      <c r="F89" s="304">
        <v>0</v>
      </c>
      <c r="G89" s="304">
        <v>0</v>
      </c>
      <c r="H89" s="304">
        <v>0</v>
      </c>
      <c r="I89" s="304">
        <v>0</v>
      </c>
    </row>
    <row r="90" spans="1:9" s="304" customFormat="1" x14ac:dyDescent="0.35">
      <c r="A90" s="304" t="s">
        <v>1054</v>
      </c>
      <c r="B90" s="304" t="s">
        <v>763</v>
      </c>
      <c r="C90" s="304" t="s">
        <v>739</v>
      </c>
      <c r="D90" s="304">
        <v>0</v>
      </c>
      <c r="E90" s="304">
        <v>1.21</v>
      </c>
      <c r="F90" s="304">
        <v>0</v>
      </c>
      <c r="G90" s="304">
        <v>0</v>
      </c>
      <c r="H90" s="304">
        <v>0.55000000000000004</v>
      </c>
      <c r="I90" s="304">
        <v>0</v>
      </c>
    </row>
    <row r="91" spans="1:9" s="304" customFormat="1" x14ac:dyDescent="0.35">
      <c r="A91" s="304" t="s">
        <v>1054</v>
      </c>
      <c r="B91" s="304" t="s">
        <v>765</v>
      </c>
      <c r="C91" s="304" t="s">
        <v>739</v>
      </c>
      <c r="D91" s="304">
        <v>0</v>
      </c>
      <c r="E91" s="304">
        <v>6.66</v>
      </c>
      <c r="F91" s="304">
        <v>0</v>
      </c>
      <c r="G91" s="304">
        <v>0</v>
      </c>
      <c r="H91" s="304">
        <v>14.07</v>
      </c>
      <c r="I91" s="304">
        <v>0</v>
      </c>
    </row>
    <row r="92" spans="1:9" s="304" customFormat="1" x14ac:dyDescent="0.35">
      <c r="A92" s="304" t="s">
        <v>1054</v>
      </c>
      <c r="B92" s="304" t="s">
        <v>791</v>
      </c>
      <c r="C92" s="304" t="s">
        <v>739</v>
      </c>
      <c r="D92" s="304">
        <v>0</v>
      </c>
      <c r="E92" s="304">
        <v>1.88</v>
      </c>
      <c r="F92" s="304">
        <v>0</v>
      </c>
      <c r="G92" s="304">
        <v>0</v>
      </c>
      <c r="H92" s="304">
        <v>0</v>
      </c>
      <c r="I92" s="304">
        <v>0</v>
      </c>
    </row>
    <row r="93" spans="1:9" s="304" customFormat="1" x14ac:dyDescent="0.35">
      <c r="A93" s="304" t="s">
        <v>1054</v>
      </c>
      <c r="B93" s="304" t="s">
        <v>792</v>
      </c>
      <c r="C93" s="304" t="s">
        <v>739</v>
      </c>
      <c r="D93" s="304">
        <v>0</v>
      </c>
      <c r="E93" s="304">
        <v>0</v>
      </c>
      <c r="F93" s="304">
        <v>0</v>
      </c>
      <c r="G93" s="304">
        <v>0</v>
      </c>
      <c r="H93" s="304">
        <v>50.51</v>
      </c>
      <c r="I93" s="304">
        <v>0</v>
      </c>
    </row>
    <row r="94" spans="1:9" s="304" customFormat="1" x14ac:dyDescent="0.35">
      <c r="A94" s="304" t="s">
        <v>1054</v>
      </c>
      <c r="B94" s="304" t="s">
        <v>793</v>
      </c>
      <c r="C94" s="304" t="s">
        <v>739</v>
      </c>
      <c r="D94" s="304">
        <v>0</v>
      </c>
      <c r="E94" s="304">
        <v>0.12</v>
      </c>
      <c r="F94" s="304">
        <v>0</v>
      </c>
      <c r="G94" s="304">
        <v>0</v>
      </c>
      <c r="H94" s="304">
        <v>39.96</v>
      </c>
      <c r="I94" s="304">
        <v>0</v>
      </c>
    </row>
    <row r="95" spans="1:9" s="304" customFormat="1" x14ac:dyDescent="0.35">
      <c r="A95" s="304" t="s">
        <v>1054</v>
      </c>
      <c r="B95" s="304" t="s">
        <v>794</v>
      </c>
      <c r="C95" s="304" t="s">
        <v>739</v>
      </c>
      <c r="D95" s="304">
        <v>0</v>
      </c>
      <c r="E95" s="304">
        <v>0</v>
      </c>
      <c r="F95" s="304">
        <v>0</v>
      </c>
      <c r="G95" s="304">
        <v>0</v>
      </c>
      <c r="H95" s="304">
        <v>87.46</v>
      </c>
      <c r="I95" s="304">
        <v>0</v>
      </c>
    </row>
    <row r="96" spans="1:9" s="304" customFormat="1" x14ac:dyDescent="0.35">
      <c r="A96" s="304" t="s">
        <v>1054</v>
      </c>
      <c r="B96" s="304" t="s">
        <v>804</v>
      </c>
      <c r="C96" s="304" t="s">
        <v>739</v>
      </c>
      <c r="D96" s="304">
        <v>0</v>
      </c>
      <c r="E96" s="304">
        <v>0</v>
      </c>
      <c r="F96" s="304">
        <v>0</v>
      </c>
      <c r="G96" s="304">
        <v>0</v>
      </c>
      <c r="H96" s="304">
        <v>42.98</v>
      </c>
      <c r="I96" s="304">
        <v>0</v>
      </c>
    </row>
    <row r="97" spans="1:19" s="304" customFormat="1" x14ac:dyDescent="0.35">
      <c r="A97" s="304" t="s">
        <v>1054</v>
      </c>
      <c r="B97" s="304" t="s">
        <v>1155</v>
      </c>
      <c r="C97" s="304" t="s">
        <v>739</v>
      </c>
      <c r="D97" s="304">
        <v>0</v>
      </c>
      <c r="E97" s="304">
        <v>7.14</v>
      </c>
      <c r="F97" s="304">
        <v>0</v>
      </c>
      <c r="G97" s="304">
        <v>0</v>
      </c>
      <c r="H97" s="304">
        <v>31.96</v>
      </c>
      <c r="I97" s="304">
        <v>0</v>
      </c>
    </row>
    <row r="98" spans="1:19" s="304" customFormat="1" x14ac:dyDescent="0.35">
      <c r="B98" s="304" t="s">
        <v>41</v>
      </c>
      <c r="C98" s="304" t="s">
        <v>739</v>
      </c>
      <c r="D98" s="304">
        <v>62036.38</v>
      </c>
      <c r="E98" s="304">
        <v>39268.199999999997</v>
      </c>
      <c r="F98" s="304">
        <v>2763.82</v>
      </c>
      <c r="G98" s="304">
        <v>13562.67</v>
      </c>
      <c r="H98" s="304">
        <v>8702.75</v>
      </c>
      <c r="I98" s="304">
        <v>425.28</v>
      </c>
    </row>
    <row r="101" spans="1:19" s="304" customFormat="1" x14ac:dyDescent="0.35">
      <c r="A101" s="2" t="s">
        <v>249</v>
      </c>
      <c r="B101" s="2" t="s">
        <v>1995</v>
      </c>
      <c r="N101" s="262"/>
      <c r="O101" s="262"/>
      <c r="P101" s="262"/>
      <c r="Q101" s="262"/>
      <c r="R101" s="262"/>
      <c r="S101" s="262"/>
    </row>
    <row r="102" spans="1:19" s="304" customFormat="1" x14ac:dyDescent="0.35">
      <c r="A102" s="2"/>
      <c r="B102" s="2"/>
      <c r="D102" s="304" t="s">
        <v>1102</v>
      </c>
      <c r="E102" s="304" t="s">
        <v>1102</v>
      </c>
      <c r="F102" s="304" t="s">
        <v>1102</v>
      </c>
      <c r="G102" s="304" t="s">
        <v>1102</v>
      </c>
      <c r="H102" s="304" t="s">
        <v>1102</v>
      </c>
      <c r="I102" s="304" t="s">
        <v>1102</v>
      </c>
    </row>
    <row r="103" spans="1:19" s="304" customFormat="1" x14ac:dyDescent="0.35">
      <c r="A103" s="304" t="s">
        <v>1042</v>
      </c>
      <c r="B103" s="304" t="s">
        <v>179</v>
      </c>
      <c r="C103" s="304" t="s">
        <v>180</v>
      </c>
      <c r="D103" s="304" t="s">
        <v>348</v>
      </c>
      <c r="E103" s="304" t="s">
        <v>351</v>
      </c>
      <c r="F103" s="304" t="s">
        <v>452</v>
      </c>
      <c r="G103" s="304" t="s">
        <v>1098</v>
      </c>
      <c r="H103" s="304" t="s">
        <v>761</v>
      </c>
      <c r="I103" s="304" t="s">
        <v>1099</v>
      </c>
    </row>
    <row r="104" spans="1:19" s="304" customFormat="1" x14ac:dyDescent="0.35">
      <c r="A104" s="304" t="s">
        <v>1046</v>
      </c>
      <c r="B104" s="304" t="s">
        <v>1055</v>
      </c>
      <c r="C104" s="304" t="s">
        <v>750</v>
      </c>
      <c r="D104" s="304">
        <v>0</v>
      </c>
      <c r="E104" s="304">
        <v>7.87</v>
      </c>
      <c r="F104" s="304">
        <v>0</v>
      </c>
      <c r="G104" s="304">
        <v>0</v>
      </c>
      <c r="H104" s="304">
        <v>0</v>
      </c>
      <c r="I104" s="304">
        <v>0</v>
      </c>
    </row>
    <row r="105" spans="1:19" s="304" customFormat="1" x14ac:dyDescent="0.35">
      <c r="A105" s="304" t="s">
        <v>1046</v>
      </c>
      <c r="B105" s="304" t="s">
        <v>1056</v>
      </c>
      <c r="C105" s="304" t="s">
        <v>750</v>
      </c>
      <c r="D105" s="304">
        <v>0</v>
      </c>
      <c r="E105" s="304">
        <v>13.41</v>
      </c>
      <c r="F105" s="304">
        <v>0</v>
      </c>
      <c r="G105" s="304">
        <v>0</v>
      </c>
      <c r="H105" s="304">
        <v>0</v>
      </c>
      <c r="I105" s="304">
        <v>227.68</v>
      </c>
    </row>
    <row r="106" spans="1:19" s="304" customFormat="1" x14ac:dyDescent="0.35">
      <c r="A106" s="304" t="s">
        <v>1046</v>
      </c>
      <c r="B106" s="304" t="s">
        <v>1057</v>
      </c>
      <c r="C106" s="304" t="s">
        <v>750</v>
      </c>
      <c r="D106" s="304">
        <v>0</v>
      </c>
      <c r="E106" s="304">
        <v>64.650000000000006</v>
      </c>
      <c r="F106" s="304">
        <v>195.66</v>
      </c>
      <c r="G106" s="304">
        <v>90.1</v>
      </c>
      <c r="H106" s="304">
        <v>210.29</v>
      </c>
      <c r="I106" s="304">
        <v>0</v>
      </c>
    </row>
    <row r="107" spans="1:19" s="304" customFormat="1" x14ac:dyDescent="0.35">
      <c r="A107" s="304" t="s">
        <v>1046</v>
      </c>
      <c r="B107" s="304" t="s">
        <v>1058</v>
      </c>
      <c r="C107" s="304" t="s">
        <v>750</v>
      </c>
      <c r="D107" s="304">
        <v>0</v>
      </c>
      <c r="E107" s="304">
        <v>0</v>
      </c>
      <c r="F107" s="304">
        <v>0</v>
      </c>
      <c r="G107" s="304">
        <v>0</v>
      </c>
      <c r="H107" s="304">
        <v>1903.05</v>
      </c>
      <c r="I107" s="304">
        <v>0</v>
      </c>
    </row>
    <row r="108" spans="1:19" s="304" customFormat="1" x14ac:dyDescent="0.35">
      <c r="A108" s="304" t="s">
        <v>1046</v>
      </c>
      <c r="B108" s="304" t="s">
        <v>1059</v>
      </c>
      <c r="C108" s="304" t="s">
        <v>750</v>
      </c>
      <c r="D108" s="304">
        <v>0</v>
      </c>
      <c r="E108" s="304">
        <v>0</v>
      </c>
      <c r="F108" s="304">
        <v>0</v>
      </c>
      <c r="G108" s="304">
        <v>0</v>
      </c>
      <c r="H108" s="304">
        <v>324.37</v>
      </c>
      <c r="I108" s="304">
        <v>0</v>
      </c>
    </row>
    <row r="109" spans="1:19" s="304" customFormat="1" x14ac:dyDescent="0.35">
      <c r="A109" s="304" t="s">
        <v>1046</v>
      </c>
      <c r="B109" s="304" t="s">
        <v>1060</v>
      </c>
      <c r="C109" s="304" t="s">
        <v>750</v>
      </c>
      <c r="D109" s="304">
        <v>0</v>
      </c>
      <c r="E109" s="304">
        <v>1432.07</v>
      </c>
      <c r="F109" s="304">
        <v>489.68</v>
      </c>
      <c r="G109" s="304">
        <v>204.5</v>
      </c>
      <c r="H109" s="304">
        <v>217.62</v>
      </c>
      <c r="I109" s="304">
        <v>0</v>
      </c>
    </row>
    <row r="110" spans="1:19" s="304" customFormat="1" x14ac:dyDescent="0.35">
      <c r="A110" s="304" t="s">
        <v>1046</v>
      </c>
      <c r="B110" s="304" t="s">
        <v>1061</v>
      </c>
      <c r="C110" s="304" t="s">
        <v>750</v>
      </c>
      <c r="D110" s="304">
        <v>5665.45</v>
      </c>
      <c r="E110" s="304">
        <v>3469.25</v>
      </c>
      <c r="F110" s="304">
        <v>340.84</v>
      </c>
      <c r="G110" s="304">
        <v>0</v>
      </c>
      <c r="H110" s="304">
        <v>8.69</v>
      </c>
      <c r="I110" s="304">
        <v>0</v>
      </c>
    </row>
    <row r="111" spans="1:19" s="304" customFormat="1" x14ac:dyDescent="0.35">
      <c r="A111" s="304" t="s">
        <v>1046</v>
      </c>
      <c r="B111" s="304" t="s">
        <v>1062</v>
      </c>
      <c r="C111" s="304" t="s">
        <v>750</v>
      </c>
      <c r="D111" s="304">
        <v>0</v>
      </c>
      <c r="E111" s="304">
        <v>637.02</v>
      </c>
      <c r="F111" s="304">
        <v>129.30000000000001</v>
      </c>
      <c r="G111" s="304">
        <v>3809.79</v>
      </c>
      <c r="H111" s="304">
        <v>30.18</v>
      </c>
      <c r="I111" s="304">
        <v>0</v>
      </c>
    </row>
    <row r="112" spans="1:19" s="304" customFormat="1" x14ac:dyDescent="0.35">
      <c r="A112" s="304" t="s">
        <v>1046</v>
      </c>
      <c r="B112" s="304" t="s">
        <v>1063</v>
      </c>
      <c r="C112" s="304" t="s">
        <v>750</v>
      </c>
      <c r="D112" s="304">
        <v>0</v>
      </c>
      <c r="E112" s="304">
        <v>291.08</v>
      </c>
      <c r="F112" s="304">
        <v>0</v>
      </c>
      <c r="G112" s="304">
        <v>143.81</v>
      </c>
      <c r="H112" s="304">
        <v>749.61</v>
      </c>
      <c r="I112" s="304">
        <v>0</v>
      </c>
    </row>
    <row r="113" spans="1:9" s="304" customFormat="1" x14ac:dyDescent="0.35">
      <c r="A113" s="304" t="s">
        <v>1046</v>
      </c>
      <c r="B113" s="304" t="s">
        <v>1064</v>
      </c>
      <c r="C113" s="304" t="s">
        <v>750</v>
      </c>
      <c r="D113" s="304">
        <v>0</v>
      </c>
      <c r="E113" s="304">
        <v>480.99</v>
      </c>
      <c r="F113" s="304">
        <v>0</v>
      </c>
      <c r="G113" s="304">
        <v>0</v>
      </c>
      <c r="H113" s="304">
        <v>0</v>
      </c>
      <c r="I113" s="304">
        <v>0</v>
      </c>
    </row>
    <row r="114" spans="1:9" s="304" customFormat="1" x14ac:dyDescent="0.35">
      <c r="A114" s="304" t="s">
        <v>1046</v>
      </c>
      <c r="B114" s="304" t="s">
        <v>1065</v>
      </c>
      <c r="C114" s="304" t="s">
        <v>750</v>
      </c>
      <c r="D114" s="304">
        <v>225.79</v>
      </c>
      <c r="E114" s="304">
        <v>25.46</v>
      </c>
      <c r="F114" s="304">
        <v>0</v>
      </c>
      <c r="G114" s="304">
        <v>0</v>
      </c>
      <c r="H114" s="304">
        <v>0</v>
      </c>
      <c r="I114" s="304">
        <v>0</v>
      </c>
    </row>
    <row r="115" spans="1:9" s="304" customFormat="1" x14ac:dyDescent="0.35">
      <c r="A115" s="304" t="s">
        <v>628</v>
      </c>
      <c r="B115" s="304" t="s">
        <v>1066</v>
      </c>
      <c r="C115" s="304" t="s">
        <v>750</v>
      </c>
      <c r="D115" s="304">
        <v>0</v>
      </c>
      <c r="E115" s="304">
        <v>136.54</v>
      </c>
      <c r="F115" s="304">
        <v>909.72</v>
      </c>
      <c r="G115" s="304">
        <v>0</v>
      </c>
      <c r="H115" s="304">
        <v>22.94</v>
      </c>
      <c r="I115" s="304">
        <v>0</v>
      </c>
    </row>
    <row r="116" spans="1:9" s="304" customFormat="1" x14ac:dyDescent="0.35">
      <c r="A116" s="304" t="s">
        <v>628</v>
      </c>
      <c r="B116" s="304" t="s">
        <v>1067</v>
      </c>
      <c r="C116" s="304" t="s">
        <v>750</v>
      </c>
      <c r="D116" s="304">
        <v>41.86</v>
      </c>
      <c r="E116" s="304">
        <v>340.13</v>
      </c>
      <c r="F116" s="304">
        <v>0</v>
      </c>
      <c r="G116" s="304">
        <v>0</v>
      </c>
      <c r="H116" s="304">
        <v>0</v>
      </c>
      <c r="I116" s="304">
        <v>0</v>
      </c>
    </row>
    <row r="117" spans="1:9" s="304" customFormat="1" x14ac:dyDescent="0.35">
      <c r="A117" s="304" t="s">
        <v>628</v>
      </c>
      <c r="B117" s="304" t="s">
        <v>1068</v>
      </c>
      <c r="C117" s="304" t="s">
        <v>750</v>
      </c>
      <c r="D117" s="304">
        <v>9635.65</v>
      </c>
      <c r="E117" s="304">
        <v>2048.4</v>
      </c>
      <c r="F117" s="304">
        <v>32.65</v>
      </c>
      <c r="G117" s="304">
        <v>0</v>
      </c>
      <c r="H117" s="304">
        <v>42.93</v>
      </c>
      <c r="I117" s="304">
        <v>0</v>
      </c>
    </row>
    <row r="118" spans="1:9" s="304" customFormat="1" x14ac:dyDescent="0.35">
      <c r="A118" s="304" t="s">
        <v>628</v>
      </c>
      <c r="B118" s="304" t="s">
        <v>1069</v>
      </c>
      <c r="C118" s="304" t="s">
        <v>750</v>
      </c>
      <c r="D118" s="304">
        <v>4139.84</v>
      </c>
      <c r="E118" s="304">
        <v>1911.7</v>
      </c>
      <c r="F118" s="304">
        <v>21.94</v>
      </c>
      <c r="G118" s="304">
        <v>54.17</v>
      </c>
      <c r="H118" s="304">
        <v>124.11</v>
      </c>
      <c r="I118" s="304">
        <v>41.14</v>
      </c>
    </row>
    <row r="119" spans="1:9" s="304" customFormat="1" x14ac:dyDescent="0.35">
      <c r="A119" s="304" t="s">
        <v>628</v>
      </c>
      <c r="B119" s="304" t="s">
        <v>1070</v>
      </c>
      <c r="C119" s="304" t="s">
        <v>750</v>
      </c>
      <c r="D119" s="304">
        <v>6541.35</v>
      </c>
      <c r="E119" s="304">
        <v>1100.67</v>
      </c>
      <c r="F119" s="304">
        <v>539.1</v>
      </c>
      <c r="G119" s="304">
        <v>3228.72</v>
      </c>
      <c r="H119" s="304">
        <v>627.12</v>
      </c>
      <c r="I119" s="304">
        <v>0.01</v>
      </c>
    </row>
    <row r="120" spans="1:9" s="304" customFormat="1" x14ac:dyDescent="0.35">
      <c r="A120" s="304" t="s">
        <v>628</v>
      </c>
      <c r="B120" s="304" t="s">
        <v>1071</v>
      </c>
      <c r="C120" s="304" t="s">
        <v>750</v>
      </c>
      <c r="D120" s="304">
        <v>0</v>
      </c>
      <c r="E120" s="304">
        <v>5.23</v>
      </c>
      <c r="F120" s="304">
        <v>0</v>
      </c>
      <c r="G120" s="304">
        <v>0</v>
      </c>
      <c r="H120" s="304">
        <v>0</v>
      </c>
      <c r="I120" s="304">
        <v>0</v>
      </c>
    </row>
    <row r="121" spans="1:9" s="304" customFormat="1" x14ac:dyDescent="0.35">
      <c r="A121" s="304" t="s">
        <v>628</v>
      </c>
      <c r="B121" s="304" t="s">
        <v>1072</v>
      </c>
      <c r="C121" s="304" t="s">
        <v>750</v>
      </c>
      <c r="D121" s="304">
        <v>0</v>
      </c>
      <c r="E121" s="304">
        <v>18.53</v>
      </c>
      <c r="F121" s="304">
        <v>0</v>
      </c>
      <c r="G121" s="304">
        <v>0</v>
      </c>
      <c r="H121" s="304">
        <v>0</v>
      </c>
      <c r="I121" s="304">
        <v>0</v>
      </c>
    </row>
    <row r="122" spans="1:9" s="304" customFormat="1" x14ac:dyDescent="0.35">
      <c r="A122" s="304" t="s">
        <v>628</v>
      </c>
      <c r="B122" s="304" t="s">
        <v>1073</v>
      </c>
      <c r="C122" s="304" t="s">
        <v>750</v>
      </c>
      <c r="D122" s="304">
        <v>0</v>
      </c>
      <c r="E122" s="304">
        <v>0</v>
      </c>
      <c r="F122" s="304">
        <v>0</v>
      </c>
      <c r="G122" s="304">
        <v>0</v>
      </c>
      <c r="H122" s="304">
        <v>0</v>
      </c>
      <c r="I122" s="304">
        <v>0</v>
      </c>
    </row>
    <row r="123" spans="1:9" s="304" customFormat="1" x14ac:dyDescent="0.35">
      <c r="A123" s="304" t="s">
        <v>1051</v>
      </c>
      <c r="B123" s="304" t="s">
        <v>1074</v>
      </c>
      <c r="C123" s="304" t="s">
        <v>750</v>
      </c>
      <c r="D123" s="304">
        <v>6354.11</v>
      </c>
      <c r="E123" s="304">
        <v>3658.97</v>
      </c>
      <c r="F123" s="304">
        <v>206.49</v>
      </c>
      <c r="G123" s="304">
        <v>189.03</v>
      </c>
      <c r="H123" s="304">
        <v>181.69</v>
      </c>
      <c r="I123" s="304">
        <v>7.18</v>
      </c>
    </row>
    <row r="124" spans="1:9" s="304" customFormat="1" x14ac:dyDescent="0.35">
      <c r="A124" s="304" t="s">
        <v>1051</v>
      </c>
      <c r="B124" s="304" t="s">
        <v>1075</v>
      </c>
      <c r="C124" s="304" t="s">
        <v>750</v>
      </c>
      <c r="D124" s="304">
        <v>195.29</v>
      </c>
      <c r="E124" s="304">
        <v>4013.8</v>
      </c>
      <c r="F124" s="304">
        <v>175.48</v>
      </c>
      <c r="G124" s="304">
        <v>114.02</v>
      </c>
      <c r="H124" s="304">
        <v>51.27</v>
      </c>
      <c r="I124" s="304">
        <v>82.43</v>
      </c>
    </row>
    <row r="125" spans="1:9" s="304" customFormat="1" x14ac:dyDescent="0.35">
      <c r="A125" s="304" t="s">
        <v>1051</v>
      </c>
      <c r="B125" s="304" t="s">
        <v>1076</v>
      </c>
      <c r="C125" s="304" t="s">
        <v>750</v>
      </c>
      <c r="D125" s="304">
        <v>7410.29</v>
      </c>
      <c r="E125" s="304">
        <v>2391.73</v>
      </c>
      <c r="F125" s="304">
        <v>135.6</v>
      </c>
      <c r="G125" s="304">
        <v>1921.96</v>
      </c>
      <c r="H125" s="304">
        <v>1604.41</v>
      </c>
      <c r="I125" s="304">
        <v>0</v>
      </c>
    </row>
    <row r="126" spans="1:9" s="304" customFormat="1" x14ac:dyDescent="0.35">
      <c r="A126" s="304" t="s">
        <v>1051</v>
      </c>
      <c r="B126" s="304" t="s">
        <v>1077</v>
      </c>
      <c r="C126" s="304" t="s">
        <v>750</v>
      </c>
      <c r="D126" s="304">
        <v>98.46</v>
      </c>
      <c r="E126" s="304">
        <v>55.35</v>
      </c>
      <c r="F126" s="304">
        <v>0</v>
      </c>
      <c r="G126" s="304">
        <v>0</v>
      </c>
      <c r="H126" s="304">
        <v>620.52</v>
      </c>
      <c r="I126" s="304">
        <v>0</v>
      </c>
    </row>
    <row r="127" spans="1:9" s="304" customFormat="1" x14ac:dyDescent="0.35">
      <c r="A127" s="304" t="s">
        <v>1051</v>
      </c>
      <c r="B127" s="304" t="s">
        <v>1078</v>
      </c>
      <c r="C127" s="304" t="s">
        <v>750</v>
      </c>
      <c r="D127" s="304">
        <v>0</v>
      </c>
      <c r="E127" s="304">
        <v>426.37</v>
      </c>
      <c r="F127" s="304">
        <v>0</v>
      </c>
      <c r="G127" s="304">
        <v>0</v>
      </c>
      <c r="H127" s="304">
        <v>0</v>
      </c>
      <c r="I127" s="304">
        <v>0</v>
      </c>
    </row>
    <row r="128" spans="1:9" s="304" customFormat="1" x14ac:dyDescent="0.35">
      <c r="A128" s="304" t="s">
        <v>1051</v>
      </c>
      <c r="B128" s="304" t="s">
        <v>1079</v>
      </c>
      <c r="C128" s="304" t="s">
        <v>750</v>
      </c>
      <c r="D128" s="304">
        <v>12358.01</v>
      </c>
      <c r="E128" s="304">
        <v>2906.01</v>
      </c>
      <c r="F128" s="304">
        <v>178.33</v>
      </c>
      <c r="G128" s="304">
        <v>551.39</v>
      </c>
      <c r="H128" s="304">
        <v>186.14</v>
      </c>
      <c r="I128" s="304">
        <v>0</v>
      </c>
    </row>
    <row r="129" spans="1:9" s="304" customFormat="1" x14ac:dyDescent="0.35">
      <c r="A129" s="304" t="s">
        <v>1051</v>
      </c>
      <c r="B129" s="304" t="s">
        <v>1080</v>
      </c>
      <c r="C129" s="304" t="s">
        <v>750</v>
      </c>
      <c r="D129" s="304">
        <v>0</v>
      </c>
      <c r="E129" s="304">
        <v>1.79</v>
      </c>
      <c r="F129" s="304">
        <v>0</v>
      </c>
      <c r="G129" s="304">
        <v>0</v>
      </c>
      <c r="H129" s="304">
        <v>0</v>
      </c>
      <c r="I129" s="304">
        <v>0</v>
      </c>
    </row>
    <row r="130" spans="1:9" s="304" customFormat="1" x14ac:dyDescent="0.35">
      <c r="A130" s="304" t="s">
        <v>1051</v>
      </c>
      <c r="B130" s="304" t="s">
        <v>1081</v>
      </c>
      <c r="C130" s="304" t="s">
        <v>750</v>
      </c>
      <c r="D130" s="304">
        <v>0</v>
      </c>
      <c r="E130" s="304">
        <v>1.17</v>
      </c>
      <c r="F130" s="304">
        <v>0</v>
      </c>
      <c r="G130" s="304">
        <v>0</v>
      </c>
      <c r="H130" s="304">
        <v>0</v>
      </c>
      <c r="I130" s="304">
        <v>0</v>
      </c>
    </row>
    <row r="131" spans="1:9" s="304" customFormat="1" x14ac:dyDescent="0.35">
      <c r="A131" s="304" t="s">
        <v>644</v>
      </c>
      <c r="B131" s="304" t="s">
        <v>1082</v>
      </c>
      <c r="C131" s="304" t="s">
        <v>750</v>
      </c>
      <c r="D131" s="304">
        <v>0</v>
      </c>
      <c r="E131" s="304">
        <v>6.88</v>
      </c>
      <c r="F131" s="304">
        <v>0</v>
      </c>
      <c r="G131" s="304">
        <v>0</v>
      </c>
      <c r="H131" s="304">
        <v>12.77</v>
      </c>
      <c r="I131" s="304">
        <v>0</v>
      </c>
    </row>
    <row r="132" spans="1:9" s="304" customFormat="1" x14ac:dyDescent="0.35">
      <c r="A132" s="304" t="s">
        <v>644</v>
      </c>
      <c r="B132" s="304" t="s">
        <v>1083</v>
      </c>
      <c r="C132" s="304" t="s">
        <v>750</v>
      </c>
      <c r="D132" s="304">
        <v>0</v>
      </c>
      <c r="E132" s="304">
        <v>145.34</v>
      </c>
      <c r="F132" s="304">
        <v>2.93</v>
      </c>
      <c r="G132" s="304">
        <v>152.84</v>
      </c>
      <c r="H132" s="304">
        <v>7.95</v>
      </c>
      <c r="I132" s="304">
        <v>0</v>
      </c>
    </row>
    <row r="133" spans="1:9" s="304" customFormat="1" x14ac:dyDescent="0.35">
      <c r="A133" s="304" t="s">
        <v>644</v>
      </c>
      <c r="B133" s="304" t="s">
        <v>1084</v>
      </c>
      <c r="C133" s="304" t="s">
        <v>750</v>
      </c>
      <c r="D133" s="304">
        <v>0</v>
      </c>
      <c r="E133" s="304">
        <v>19.47</v>
      </c>
      <c r="F133" s="304">
        <v>0</v>
      </c>
      <c r="G133" s="304">
        <v>0</v>
      </c>
      <c r="H133" s="304">
        <v>0</v>
      </c>
      <c r="I133" s="304">
        <v>0</v>
      </c>
    </row>
    <row r="134" spans="1:9" s="304" customFormat="1" x14ac:dyDescent="0.35">
      <c r="A134" s="304" t="s">
        <v>644</v>
      </c>
      <c r="B134" s="304" t="s">
        <v>1085</v>
      </c>
      <c r="C134" s="304" t="s">
        <v>750</v>
      </c>
      <c r="D134" s="304">
        <v>0</v>
      </c>
      <c r="E134" s="304">
        <v>204.77</v>
      </c>
      <c r="F134" s="304">
        <v>47.22</v>
      </c>
      <c r="G134" s="304">
        <v>0</v>
      </c>
      <c r="H134" s="304">
        <v>265.57</v>
      </c>
      <c r="I134" s="304">
        <v>0</v>
      </c>
    </row>
    <row r="135" spans="1:9" s="304" customFormat="1" x14ac:dyDescent="0.35">
      <c r="A135" s="304" t="s">
        <v>644</v>
      </c>
      <c r="B135" s="304" t="s">
        <v>1086</v>
      </c>
      <c r="C135" s="304" t="s">
        <v>750</v>
      </c>
      <c r="D135" s="304">
        <v>0</v>
      </c>
      <c r="E135" s="304">
        <v>0</v>
      </c>
      <c r="F135" s="304">
        <v>0</v>
      </c>
      <c r="G135" s="304">
        <v>0</v>
      </c>
      <c r="H135" s="304">
        <v>30.54</v>
      </c>
      <c r="I135" s="304">
        <v>0</v>
      </c>
    </row>
    <row r="136" spans="1:9" s="304" customFormat="1" x14ac:dyDescent="0.35">
      <c r="A136" s="304" t="s">
        <v>644</v>
      </c>
      <c r="B136" s="304" t="s">
        <v>1087</v>
      </c>
      <c r="C136" s="304" t="s">
        <v>750</v>
      </c>
      <c r="D136" s="304">
        <v>0</v>
      </c>
      <c r="E136" s="304">
        <v>20.47</v>
      </c>
      <c r="F136" s="304">
        <v>0</v>
      </c>
      <c r="G136" s="304">
        <v>1387.01</v>
      </c>
      <c r="H136" s="304">
        <v>183.05</v>
      </c>
      <c r="I136" s="304">
        <v>0</v>
      </c>
    </row>
    <row r="137" spans="1:9" s="304" customFormat="1" x14ac:dyDescent="0.35">
      <c r="A137" s="304" t="s">
        <v>644</v>
      </c>
      <c r="B137" s="304" t="s">
        <v>1088</v>
      </c>
      <c r="C137" s="304" t="s">
        <v>750</v>
      </c>
      <c r="D137" s="304">
        <v>0</v>
      </c>
      <c r="E137" s="304">
        <v>0.06</v>
      </c>
      <c r="F137" s="304">
        <v>0</v>
      </c>
      <c r="G137" s="304">
        <v>0</v>
      </c>
      <c r="H137" s="304">
        <v>9.4700000000000006</v>
      </c>
      <c r="I137" s="304">
        <v>0</v>
      </c>
    </row>
    <row r="138" spans="1:9" s="304" customFormat="1" x14ac:dyDescent="0.35">
      <c r="A138" s="304" t="s">
        <v>644</v>
      </c>
      <c r="B138" s="304" t="s">
        <v>1089</v>
      </c>
      <c r="C138" s="304" t="s">
        <v>750</v>
      </c>
      <c r="D138" s="304">
        <v>0</v>
      </c>
      <c r="E138" s="304">
        <v>20.43</v>
      </c>
      <c r="F138" s="304">
        <v>0</v>
      </c>
      <c r="G138" s="304">
        <v>0</v>
      </c>
      <c r="H138" s="304">
        <v>0</v>
      </c>
      <c r="I138" s="304">
        <v>0</v>
      </c>
    </row>
    <row r="139" spans="1:9" s="304" customFormat="1" x14ac:dyDescent="0.35">
      <c r="A139" s="304" t="s">
        <v>1054</v>
      </c>
      <c r="B139" s="304" t="s">
        <v>1090</v>
      </c>
      <c r="C139" s="304" t="s">
        <v>750</v>
      </c>
      <c r="D139" s="304">
        <v>0</v>
      </c>
      <c r="E139" s="304">
        <v>0.23</v>
      </c>
      <c r="F139" s="304">
        <v>0</v>
      </c>
      <c r="G139" s="304">
        <v>0</v>
      </c>
      <c r="H139" s="304">
        <v>0.47</v>
      </c>
      <c r="I139" s="304">
        <v>0</v>
      </c>
    </row>
    <row r="140" spans="1:9" s="304" customFormat="1" x14ac:dyDescent="0.35">
      <c r="A140" s="304" t="s">
        <v>1054</v>
      </c>
      <c r="B140" s="304" t="s">
        <v>1091</v>
      </c>
      <c r="C140" s="304" t="s">
        <v>750</v>
      </c>
      <c r="D140" s="304">
        <v>0</v>
      </c>
      <c r="E140" s="304">
        <v>8.36</v>
      </c>
      <c r="F140" s="304">
        <v>0</v>
      </c>
      <c r="G140" s="304">
        <v>0</v>
      </c>
      <c r="H140" s="304">
        <v>16.13</v>
      </c>
      <c r="I140" s="304">
        <v>0</v>
      </c>
    </row>
    <row r="141" spans="1:9" s="304" customFormat="1" x14ac:dyDescent="0.35">
      <c r="A141" s="304" t="s">
        <v>1054</v>
      </c>
      <c r="B141" s="304" t="s">
        <v>1092</v>
      </c>
      <c r="C141" s="304" t="s">
        <v>750</v>
      </c>
      <c r="D141" s="304">
        <v>0</v>
      </c>
      <c r="E141" s="304">
        <v>0.15</v>
      </c>
      <c r="F141" s="304">
        <v>0</v>
      </c>
      <c r="G141" s="304">
        <v>0</v>
      </c>
      <c r="H141" s="304">
        <v>0</v>
      </c>
      <c r="I141" s="304">
        <v>0</v>
      </c>
    </row>
    <row r="142" spans="1:9" s="304" customFormat="1" x14ac:dyDescent="0.35">
      <c r="A142" s="304" t="s">
        <v>1054</v>
      </c>
      <c r="B142" s="304" t="s">
        <v>1093</v>
      </c>
      <c r="C142" s="304" t="s">
        <v>750</v>
      </c>
      <c r="D142" s="304">
        <v>0</v>
      </c>
      <c r="E142" s="304">
        <v>0</v>
      </c>
      <c r="F142" s="304">
        <v>0</v>
      </c>
      <c r="G142" s="304">
        <v>0</v>
      </c>
      <c r="H142" s="304">
        <v>70.56</v>
      </c>
      <c r="I142" s="304">
        <v>0</v>
      </c>
    </row>
    <row r="143" spans="1:9" s="304" customFormat="1" x14ac:dyDescent="0.35">
      <c r="A143" s="304" t="s">
        <v>1054</v>
      </c>
      <c r="B143" s="304" t="s">
        <v>1094</v>
      </c>
      <c r="C143" s="304" t="s">
        <v>750</v>
      </c>
      <c r="D143" s="304">
        <v>0</v>
      </c>
      <c r="E143" s="304">
        <v>0</v>
      </c>
      <c r="F143" s="304">
        <v>0</v>
      </c>
      <c r="G143" s="304">
        <v>0</v>
      </c>
      <c r="H143" s="304">
        <v>54.67</v>
      </c>
      <c r="I143" s="304">
        <v>0</v>
      </c>
    </row>
    <row r="144" spans="1:9" s="304" customFormat="1" x14ac:dyDescent="0.35">
      <c r="A144" s="304" t="s">
        <v>1054</v>
      </c>
      <c r="B144" s="304" t="s">
        <v>1095</v>
      </c>
      <c r="C144" s="304" t="s">
        <v>750</v>
      </c>
      <c r="D144" s="304">
        <v>0</v>
      </c>
      <c r="E144" s="304">
        <v>0</v>
      </c>
      <c r="F144" s="304">
        <v>0</v>
      </c>
      <c r="G144" s="304">
        <v>0</v>
      </c>
      <c r="H144" s="304">
        <v>91</v>
      </c>
      <c r="I144" s="304">
        <v>0</v>
      </c>
    </row>
    <row r="145" spans="1:9" s="304" customFormat="1" x14ac:dyDescent="0.35">
      <c r="A145" s="304" t="s">
        <v>1054</v>
      </c>
      <c r="B145" s="304" t="s">
        <v>1096</v>
      </c>
      <c r="C145" s="304" t="s">
        <v>750</v>
      </c>
      <c r="D145" s="304">
        <v>0</v>
      </c>
      <c r="E145" s="304">
        <v>0</v>
      </c>
      <c r="F145" s="304">
        <v>0</v>
      </c>
      <c r="G145" s="304">
        <v>0</v>
      </c>
      <c r="H145" s="304">
        <v>44.48</v>
      </c>
      <c r="I145" s="304">
        <v>0</v>
      </c>
    </row>
    <row r="146" spans="1:9" s="304" customFormat="1" x14ac:dyDescent="0.35">
      <c r="A146" s="304" t="s">
        <v>1054</v>
      </c>
      <c r="B146" s="304" t="s">
        <v>1097</v>
      </c>
      <c r="C146" s="304" t="s">
        <v>750</v>
      </c>
      <c r="D146" s="304">
        <v>0</v>
      </c>
      <c r="E146" s="304">
        <v>6.71</v>
      </c>
      <c r="F146" s="304">
        <v>0</v>
      </c>
      <c r="G146" s="304">
        <v>0</v>
      </c>
      <c r="H146" s="304">
        <v>0</v>
      </c>
      <c r="I146" s="304">
        <v>0</v>
      </c>
    </row>
    <row r="147" spans="1:9" s="304" customFormat="1" x14ac:dyDescent="0.35">
      <c r="B147" s="304" t="s">
        <v>1005</v>
      </c>
      <c r="C147" s="304" t="s">
        <v>750</v>
      </c>
      <c r="D147" s="304">
        <v>52666.09</v>
      </c>
      <c r="E147" s="304">
        <v>25871.07</v>
      </c>
      <c r="F147" s="304">
        <v>3404.95</v>
      </c>
      <c r="G147" s="304">
        <v>11847.35</v>
      </c>
      <c r="H147" s="304">
        <v>7691.58</v>
      </c>
      <c r="I147" s="304">
        <v>358.45</v>
      </c>
    </row>
    <row r="150" spans="1:9" s="304" customFormat="1" x14ac:dyDescent="0.35">
      <c r="A150" s="2" t="s">
        <v>249</v>
      </c>
      <c r="B150" s="2" t="s">
        <v>1104</v>
      </c>
    </row>
    <row r="151" spans="1:9" s="304" customFormat="1" x14ac:dyDescent="0.35">
      <c r="B151" s="256" t="s">
        <v>1105</v>
      </c>
      <c r="C151" s="255"/>
      <c r="D151" s="255"/>
      <c r="E151" s="255"/>
    </row>
    <row r="152" spans="1:9" s="304" customFormat="1" ht="101.5" x14ac:dyDescent="0.35">
      <c r="B152" s="255" t="s">
        <v>1106</v>
      </c>
      <c r="C152" s="255" t="s">
        <v>1122</v>
      </c>
      <c r="D152" s="255" t="s">
        <v>1124</v>
      </c>
      <c r="E152" s="229" t="s">
        <v>1123</v>
      </c>
    </row>
    <row r="153" spans="1:9" s="304" customFormat="1" ht="101.5" x14ac:dyDescent="0.35">
      <c r="B153" s="255" t="s">
        <v>1107</v>
      </c>
      <c r="C153" s="255"/>
      <c r="D153" s="255"/>
      <c r="E153" s="255"/>
    </row>
    <row r="154" spans="1:9" s="304" customFormat="1" ht="29" x14ac:dyDescent="0.35">
      <c r="B154" s="254" t="s">
        <v>1108</v>
      </c>
      <c r="C154" s="254">
        <v>3000</v>
      </c>
      <c r="D154" s="254">
        <v>463.16</v>
      </c>
      <c r="E154" s="254">
        <v>36089.120000000003</v>
      </c>
    </row>
    <row r="155" spans="1:9" s="304" customFormat="1" ht="58" x14ac:dyDescent="0.35">
      <c r="B155" s="254" t="s">
        <v>1109</v>
      </c>
      <c r="C155" s="254">
        <v>7500</v>
      </c>
      <c r="D155" s="254">
        <v>1059.1199999999999</v>
      </c>
      <c r="E155" s="254">
        <v>27443.439999999999</v>
      </c>
    </row>
    <row r="156" spans="1:9" s="304" customFormat="1" ht="43.5" x14ac:dyDescent="0.35">
      <c r="B156" s="254" t="s">
        <v>1110</v>
      </c>
      <c r="C156" s="254">
        <v>1000</v>
      </c>
      <c r="D156" s="254">
        <v>169.45</v>
      </c>
      <c r="E156" s="254">
        <v>1965.81</v>
      </c>
    </row>
    <row r="157" spans="1:9" s="304" customFormat="1" ht="43.5" x14ac:dyDescent="0.35">
      <c r="B157" s="254" t="s">
        <v>1111</v>
      </c>
      <c r="C157" s="254">
        <v>50</v>
      </c>
      <c r="D157" s="254">
        <v>10.6</v>
      </c>
      <c r="E157" s="254">
        <v>4603.75</v>
      </c>
    </row>
    <row r="158" spans="1:9" s="304" customFormat="1" ht="58" x14ac:dyDescent="0.35">
      <c r="B158" s="254" t="s">
        <v>1112</v>
      </c>
      <c r="C158" s="254">
        <v>150</v>
      </c>
      <c r="D158" s="254">
        <v>28</v>
      </c>
      <c r="E158" s="254">
        <v>9131.5</v>
      </c>
    </row>
    <row r="159" spans="1:9" s="304" customFormat="1" ht="101.5" x14ac:dyDescent="0.35">
      <c r="B159" s="254" t="s">
        <v>1113</v>
      </c>
      <c r="C159" s="254">
        <v>100</v>
      </c>
      <c r="D159" s="254">
        <v>0</v>
      </c>
      <c r="E159" s="254">
        <v>674.81</v>
      </c>
    </row>
    <row r="160" spans="1:9" s="304" customFormat="1" ht="29" x14ac:dyDescent="0.35">
      <c r="B160" s="254" t="s">
        <v>1114</v>
      </c>
      <c r="C160" s="254">
        <v>2</v>
      </c>
      <c r="D160" s="254">
        <v>0</v>
      </c>
      <c r="E160" s="254">
        <v>138.30000000000001</v>
      </c>
    </row>
    <row r="161" spans="1:12" s="304" customFormat="1" x14ac:dyDescent="0.35">
      <c r="B161" s="255" t="s">
        <v>41</v>
      </c>
      <c r="C161" s="255">
        <v>11802</v>
      </c>
      <c r="D161" s="255">
        <v>1730.33</v>
      </c>
      <c r="E161" s="255">
        <v>80046.73</v>
      </c>
    </row>
    <row r="162" spans="1:12" s="304" customFormat="1" ht="103.5" x14ac:dyDescent="0.35">
      <c r="B162" s="255" t="s">
        <v>1115</v>
      </c>
      <c r="C162" s="255"/>
      <c r="D162" s="255"/>
      <c r="E162" s="255"/>
    </row>
    <row r="163" spans="1:12" s="304" customFormat="1" ht="43.5" x14ac:dyDescent="0.35">
      <c r="B163" s="254" t="s">
        <v>1116</v>
      </c>
      <c r="C163" s="254">
        <v>10</v>
      </c>
      <c r="D163" s="254">
        <v>0</v>
      </c>
      <c r="E163" s="254">
        <v>178.73</v>
      </c>
    </row>
    <row r="164" spans="1:12" s="304" customFormat="1" ht="72.5" x14ac:dyDescent="0.35">
      <c r="B164" s="254" t="s">
        <v>1117</v>
      </c>
      <c r="C164" s="254">
        <v>1</v>
      </c>
      <c r="D164" s="254">
        <v>0</v>
      </c>
      <c r="E164" s="254">
        <v>163.37</v>
      </c>
    </row>
    <row r="165" spans="1:12" s="304" customFormat="1" ht="29" x14ac:dyDescent="0.35">
      <c r="B165" s="254" t="s">
        <v>1118</v>
      </c>
      <c r="C165" s="254">
        <v>400</v>
      </c>
      <c r="D165" s="254">
        <v>1.29</v>
      </c>
      <c r="E165" s="254">
        <v>916.9</v>
      </c>
    </row>
    <row r="166" spans="1:12" s="304" customFormat="1" x14ac:dyDescent="0.35">
      <c r="B166" s="255" t="s">
        <v>41</v>
      </c>
      <c r="C166" s="255">
        <v>411</v>
      </c>
      <c r="D166" s="255">
        <v>1.29</v>
      </c>
      <c r="E166" s="255">
        <v>1259</v>
      </c>
    </row>
    <row r="167" spans="1:12" s="304" customFormat="1" ht="87" x14ac:dyDescent="0.35">
      <c r="B167" s="255" t="s">
        <v>1119</v>
      </c>
      <c r="C167" s="255"/>
      <c r="D167" s="255"/>
      <c r="E167" s="255"/>
    </row>
    <row r="168" spans="1:12" s="304" customFormat="1" ht="29" x14ac:dyDescent="0.35">
      <c r="B168" s="254" t="s">
        <v>1120</v>
      </c>
      <c r="C168" s="254">
        <v>86900</v>
      </c>
      <c r="D168" s="254">
        <v>0</v>
      </c>
      <c r="E168" s="254">
        <v>25561</v>
      </c>
    </row>
    <row r="169" spans="1:12" s="304" customFormat="1" x14ac:dyDescent="0.35"/>
    <row r="170" spans="1:12" s="304" customFormat="1" x14ac:dyDescent="0.35">
      <c r="B170" s="223" t="s">
        <v>1121</v>
      </c>
    </row>
    <row r="171" spans="1:12" s="304" customFormat="1" x14ac:dyDescent="0.35">
      <c r="A171" s="260" t="s">
        <v>1147</v>
      </c>
      <c r="B171" s="260"/>
      <c r="C171" s="260"/>
      <c r="D171" s="260"/>
      <c r="E171" s="260"/>
      <c r="F171" s="260"/>
      <c r="G171" s="260"/>
      <c r="H171" s="260"/>
      <c r="I171" s="260"/>
      <c r="J171" s="260"/>
      <c r="K171" s="260"/>
      <c r="L171" s="260"/>
    </row>
    <row r="172" spans="1:12" s="304" customFormat="1" ht="15" x14ac:dyDescent="0.35">
      <c r="A172" s="261" t="s">
        <v>1146</v>
      </c>
      <c r="B172" s="261"/>
      <c r="C172" s="261"/>
      <c r="D172" s="261"/>
      <c r="E172" s="261"/>
      <c r="F172" s="261"/>
      <c r="G172" s="261"/>
      <c r="H172" s="261"/>
      <c r="I172" s="261"/>
      <c r="J172" s="261"/>
      <c r="K172" s="261"/>
      <c r="L172" s="261"/>
    </row>
    <row r="173" spans="1:12" s="304" customFormat="1" x14ac:dyDescent="0.35">
      <c r="A173" s="265" t="s">
        <v>261</v>
      </c>
      <c r="B173" s="266" t="s">
        <v>1145</v>
      </c>
      <c r="C173" s="795" t="s">
        <v>1111</v>
      </c>
      <c r="D173" s="795" t="s">
        <v>1108</v>
      </c>
      <c r="E173" s="777" t="s">
        <v>1144</v>
      </c>
      <c r="F173" s="778"/>
      <c r="G173" s="778"/>
      <c r="H173" s="779"/>
      <c r="I173" s="780" t="s">
        <v>1143</v>
      </c>
      <c r="J173" s="780"/>
      <c r="K173" s="780"/>
      <c r="L173" s="775" t="s">
        <v>1142</v>
      </c>
    </row>
    <row r="174" spans="1:12" s="304" customFormat="1" ht="91" x14ac:dyDescent="0.35">
      <c r="A174" s="267"/>
      <c r="B174" s="259"/>
      <c r="C174" s="796"/>
      <c r="D174" s="796"/>
      <c r="E174" s="684" t="s">
        <v>1141</v>
      </c>
      <c r="F174" s="684" t="s">
        <v>1140</v>
      </c>
      <c r="G174" s="684" t="s">
        <v>1139</v>
      </c>
      <c r="H174" s="683" t="s">
        <v>1138</v>
      </c>
      <c r="I174" s="683" t="s">
        <v>1137</v>
      </c>
      <c r="J174" s="288" t="s">
        <v>1136</v>
      </c>
      <c r="K174" s="288" t="s">
        <v>41</v>
      </c>
      <c r="L174" s="776"/>
    </row>
    <row r="175" spans="1:12" s="304" customFormat="1" x14ac:dyDescent="0.35">
      <c r="A175" s="265"/>
      <c r="B175" s="268"/>
      <c r="C175" s="269" t="s">
        <v>1135</v>
      </c>
      <c r="D175" s="269" t="s">
        <v>1135</v>
      </c>
      <c r="E175" s="269" t="s">
        <v>1135</v>
      </c>
      <c r="F175" s="269" t="s">
        <v>1135</v>
      </c>
      <c r="G175" s="269" t="s">
        <v>1135</v>
      </c>
      <c r="H175" s="269" t="s">
        <v>1135</v>
      </c>
      <c r="I175" s="269" t="s">
        <v>1135</v>
      </c>
      <c r="J175" s="289" t="s">
        <v>1135</v>
      </c>
      <c r="K175" s="289" t="s">
        <v>1135</v>
      </c>
      <c r="L175" s="270" t="s">
        <v>1135</v>
      </c>
    </row>
    <row r="176" spans="1:12" s="304" customFormat="1" x14ac:dyDescent="0.35">
      <c r="A176" s="267">
        <v>1</v>
      </c>
      <c r="B176" s="272" t="s">
        <v>762</v>
      </c>
      <c r="C176" s="273">
        <v>162.11000000000001</v>
      </c>
      <c r="D176" s="274">
        <v>4092.45</v>
      </c>
      <c r="E176" s="273">
        <v>378.2</v>
      </c>
      <c r="F176" s="273">
        <v>98.98</v>
      </c>
      <c r="G176" s="274">
        <v>23.16</v>
      </c>
      <c r="H176" s="274">
        <f>E176+F176+G176</f>
        <v>500.34000000000003</v>
      </c>
      <c r="I176" s="274">
        <v>3230.74</v>
      </c>
      <c r="J176" s="290">
        <v>60.02</v>
      </c>
      <c r="K176" s="290">
        <f t="shared" ref="K176:K211" si="0">I176+J176</f>
        <v>3290.7599999999998</v>
      </c>
      <c r="L176" s="275">
        <f t="shared" ref="L176:L212" si="1">C176+D176+H176+I176+J176</f>
        <v>8045.66</v>
      </c>
    </row>
    <row r="177" spans="1:12" s="304" customFormat="1" x14ac:dyDescent="0.35">
      <c r="A177" s="267">
        <v>2</v>
      </c>
      <c r="B177" s="272" t="s">
        <v>763</v>
      </c>
      <c r="C177" s="284">
        <v>131.10499999999999</v>
      </c>
      <c r="D177" s="274"/>
      <c r="E177" s="273"/>
      <c r="F177" s="273"/>
      <c r="G177" s="274"/>
      <c r="H177" s="274"/>
      <c r="I177" s="274">
        <v>1.27</v>
      </c>
      <c r="J177" s="290">
        <v>4.12</v>
      </c>
      <c r="K177" s="290">
        <f t="shared" si="0"/>
        <v>5.3900000000000006</v>
      </c>
      <c r="L177" s="275">
        <f t="shared" si="1"/>
        <v>136.495</v>
      </c>
    </row>
    <row r="178" spans="1:12" s="304" customFormat="1" x14ac:dyDescent="0.35">
      <c r="A178" s="267">
        <v>3</v>
      </c>
      <c r="B178" s="272" t="s">
        <v>765</v>
      </c>
      <c r="C178" s="273">
        <v>34.11</v>
      </c>
      <c r="D178" s="274"/>
      <c r="E178" s="273"/>
      <c r="F178" s="273"/>
      <c r="G178" s="274"/>
      <c r="H178" s="274"/>
      <c r="I178" s="274">
        <v>10.67</v>
      </c>
      <c r="J178" s="290">
        <v>16.2</v>
      </c>
      <c r="K178" s="290">
        <f t="shared" si="0"/>
        <v>26.869999999999997</v>
      </c>
      <c r="L178" s="275">
        <f t="shared" si="1"/>
        <v>60.980000000000004</v>
      </c>
    </row>
    <row r="179" spans="1:12" s="304" customFormat="1" x14ac:dyDescent="0.35">
      <c r="A179" s="267">
        <v>4</v>
      </c>
      <c r="B179" s="272" t="s">
        <v>1134</v>
      </c>
      <c r="C179" s="273">
        <v>70.7</v>
      </c>
      <c r="D179" s="274"/>
      <c r="E179" s="273">
        <v>113</v>
      </c>
      <c r="F179" s="273">
        <v>8.1999999999999993</v>
      </c>
      <c r="G179" s="274"/>
      <c r="H179" s="274">
        <f>E179+F179+G179</f>
        <v>121.2</v>
      </c>
      <c r="I179" s="274">
        <v>138.93</v>
      </c>
      <c r="J179" s="290">
        <v>6.02</v>
      </c>
      <c r="K179" s="290">
        <f t="shared" si="0"/>
        <v>144.95000000000002</v>
      </c>
      <c r="L179" s="275">
        <f t="shared" si="1"/>
        <v>336.85</v>
      </c>
    </row>
    <row r="180" spans="1:12" s="304" customFormat="1" x14ac:dyDescent="0.35">
      <c r="A180" s="267">
        <v>5</v>
      </c>
      <c r="B180" s="272" t="s">
        <v>1133</v>
      </c>
      <c r="C180" s="273">
        <v>76</v>
      </c>
      <c r="D180" s="274"/>
      <c r="E180" s="273">
        <v>228</v>
      </c>
      <c r="F180" s="273">
        <v>2.5</v>
      </c>
      <c r="G180" s="274"/>
      <c r="H180" s="274">
        <f>E180+F180+G180</f>
        <v>230.5</v>
      </c>
      <c r="I180" s="274">
        <v>215.83</v>
      </c>
      <c r="J180" s="290">
        <v>15.52</v>
      </c>
      <c r="K180" s="290">
        <f t="shared" si="0"/>
        <v>231.35000000000002</v>
      </c>
      <c r="L180" s="275">
        <f t="shared" si="1"/>
        <v>537.85</v>
      </c>
    </row>
    <row r="181" spans="1:12" s="304" customFormat="1" x14ac:dyDescent="0.35">
      <c r="A181" s="267">
        <v>6</v>
      </c>
      <c r="B181" s="272" t="s">
        <v>772</v>
      </c>
      <c r="C181" s="273">
        <v>0.05</v>
      </c>
      <c r="D181" s="274"/>
      <c r="E181" s="273"/>
      <c r="F181" s="273"/>
      <c r="G181" s="274"/>
      <c r="H181" s="274"/>
      <c r="I181" s="274">
        <v>0.95</v>
      </c>
      <c r="J181" s="290">
        <v>3.83</v>
      </c>
      <c r="K181" s="290">
        <f t="shared" si="0"/>
        <v>4.78</v>
      </c>
      <c r="L181" s="275">
        <f t="shared" si="1"/>
        <v>4.83</v>
      </c>
    </row>
    <row r="182" spans="1:12" s="304" customFormat="1" x14ac:dyDescent="0.35">
      <c r="A182" s="267">
        <v>7</v>
      </c>
      <c r="B182" s="272" t="s">
        <v>774</v>
      </c>
      <c r="C182" s="273">
        <v>61.3</v>
      </c>
      <c r="D182" s="274">
        <v>6290.47</v>
      </c>
      <c r="E182" s="273">
        <v>65.3</v>
      </c>
      <c r="F182" s="273">
        <v>12</v>
      </c>
      <c r="G182" s="274"/>
      <c r="H182" s="274">
        <f>E182+F182+G182</f>
        <v>77.3</v>
      </c>
      <c r="I182" s="276">
        <v>2200.5700000000002</v>
      </c>
      <c r="J182" s="258">
        <v>363.57</v>
      </c>
      <c r="K182" s="290">
        <f t="shared" si="0"/>
        <v>2564.1400000000003</v>
      </c>
      <c r="L182" s="275">
        <f t="shared" si="1"/>
        <v>8993.2100000000009</v>
      </c>
    </row>
    <row r="183" spans="1:12" s="304" customFormat="1" x14ac:dyDescent="0.35">
      <c r="A183" s="267">
        <v>8</v>
      </c>
      <c r="B183" s="272" t="s">
        <v>775</v>
      </c>
      <c r="C183" s="273">
        <v>73.5</v>
      </c>
      <c r="D183" s="274"/>
      <c r="E183" s="273">
        <v>121.4</v>
      </c>
      <c r="F183" s="273">
        <v>84.26</v>
      </c>
      <c r="G183" s="274"/>
      <c r="H183" s="274">
        <f>E183+F183+G183</f>
        <v>205.66000000000003</v>
      </c>
      <c r="I183" s="274">
        <v>130.80000000000001</v>
      </c>
      <c r="J183" s="290">
        <v>101.36</v>
      </c>
      <c r="K183" s="290">
        <f t="shared" si="0"/>
        <v>232.16000000000003</v>
      </c>
      <c r="L183" s="275">
        <f t="shared" si="1"/>
        <v>511.32000000000005</v>
      </c>
    </row>
    <row r="184" spans="1:12" s="304" customFormat="1" x14ac:dyDescent="0.35">
      <c r="A184" s="267">
        <v>9</v>
      </c>
      <c r="B184" s="272" t="s">
        <v>778</v>
      </c>
      <c r="C184" s="273">
        <v>870.21</v>
      </c>
      <c r="D184" s="274"/>
      <c r="E184" s="273"/>
      <c r="F184" s="273">
        <v>7.2</v>
      </c>
      <c r="G184" s="274"/>
      <c r="H184" s="274">
        <f>E184+F184+G184</f>
        <v>7.2</v>
      </c>
      <c r="I184" s="274">
        <v>17</v>
      </c>
      <c r="J184" s="290">
        <v>7.02</v>
      </c>
      <c r="K184" s="290">
        <f t="shared" si="0"/>
        <v>24.02</v>
      </c>
      <c r="L184" s="275">
        <f t="shared" si="1"/>
        <v>901.43000000000006</v>
      </c>
    </row>
    <row r="185" spans="1:12" s="304" customFormat="1" x14ac:dyDescent="0.35">
      <c r="A185" s="267">
        <v>10</v>
      </c>
      <c r="B185" s="272" t="s">
        <v>1047</v>
      </c>
      <c r="C185" s="273">
        <v>180.03</v>
      </c>
      <c r="D185" s="274"/>
      <c r="E185" s="273"/>
      <c r="F185" s="273"/>
      <c r="G185" s="274"/>
      <c r="H185" s="274"/>
      <c r="I185" s="274">
        <v>8.49</v>
      </c>
      <c r="J185" s="290">
        <v>6.63</v>
      </c>
      <c r="K185" s="290">
        <f t="shared" si="0"/>
        <v>15.120000000000001</v>
      </c>
      <c r="L185" s="275">
        <f t="shared" si="1"/>
        <v>195.15</v>
      </c>
    </row>
    <row r="186" spans="1:12" s="304" customFormat="1" x14ac:dyDescent="0.35">
      <c r="A186" s="267">
        <v>11</v>
      </c>
      <c r="B186" s="272" t="s">
        <v>781</v>
      </c>
      <c r="C186" s="273">
        <v>4.05</v>
      </c>
      <c r="D186" s="274"/>
      <c r="E186" s="273"/>
      <c r="F186" s="273">
        <v>4.3</v>
      </c>
      <c r="G186" s="274"/>
      <c r="H186" s="274">
        <f>E186+F186+G186</f>
        <v>4.3</v>
      </c>
      <c r="I186" s="274">
        <v>19.05</v>
      </c>
      <c r="J186" s="290">
        <v>17.420000000000002</v>
      </c>
      <c r="K186" s="290">
        <f t="shared" si="0"/>
        <v>36.47</v>
      </c>
      <c r="L186" s="275">
        <f t="shared" si="1"/>
        <v>44.82</v>
      </c>
    </row>
    <row r="187" spans="1:12" s="304" customFormat="1" x14ac:dyDescent="0.35">
      <c r="A187" s="267">
        <v>12</v>
      </c>
      <c r="B187" s="272" t="s">
        <v>783</v>
      </c>
      <c r="C187" s="273">
        <v>1254.73</v>
      </c>
      <c r="D187" s="274">
        <v>4714.7</v>
      </c>
      <c r="E187" s="273">
        <v>1811.6</v>
      </c>
      <c r="F187" s="273">
        <v>15.2</v>
      </c>
      <c r="G187" s="274">
        <v>1</v>
      </c>
      <c r="H187" s="274">
        <f>E187+F187+G187</f>
        <v>1827.8</v>
      </c>
      <c r="I187" s="276">
        <v>5944.06</v>
      </c>
      <c r="J187" s="258">
        <v>190.85</v>
      </c>
      <c r="K187" s="290">
        <f t="shared" si="0"/>
        <v>6134.9100000000008</v>
      </c>
      <c r="L187" s="275">
        <f t="shared" si="1"/>
        <v>13932.140000000001</v>
      </c>
    </row>
    <row r="188" spans="1:12" s="304" customFormat="1" x14ac:dyDescent="0.35">
      <c r="A188" s="267">
        <v>13</v>
      </c>
      <c r="B188" s="272" t="s">
        <v>786</v>
      </c>
      <c r="C188" s="273">
        <v>222.02</v>
      </c>
      <c r="D188" s="274">
        <v>52.5</v>
      </c>
      <c r="E188" s="273"/>
      <c r="F188" s="273">
        <v>0.72</v>
      </c>
      <c r="G188" s="274"/>
      <c r="H188" s="274">
        <f>E188+F188+G188</f>
        <v>0.72</v>
      </c>
      <c r="I188" s="298">
        <v>100</v>
      </c>
      <c r="J188" s="258">
        <v>40.33</v>
      </c>
      <c r="K188" s="290">
        <f t="shared" si="0"/>
        <v>140.32999999999998</v>
      </c>
      <c r="L188" s="275">
        <f t="shared" si="1"/>
        <v>415.57</v>
      </c>
    </row>
    <row r="189" spans="1:12" s="304" customFormat="1" x14ac:dyDescent="0.35">
      <c r="A189" s="267">
        <v>14</v>
      </c>
      <c r="B189" s="272" t="s">
        <v>1132</v>
      </c>
      <c r="C189" s="273">
        <v>95.91</v>
      </c>
      <c r="D189" s="287">
        <v>2519.89</v>
      </c>
      <c r="E189" s="273">
        <v>93</v>
      </c>
      <c r="F189" s="273">
        <v>12.35</v>
      </c>
      <c r="G189" s="274">
        <v>15.4</v>
      </c>
      <c r="H189" s="274">
        <f>E189+F189+G189</f>
        <v>120.75</v>
      </c>
      <c r="I189" s="276">
        <v>1956.53</v>
      </c>
      <c r="J189" s="258">
        <v>35.72</v>
      </c>
      <c r="K189" s="290">
        <f t="shared" si="0"/>
        <v>1992.25</v>
      </c>
      <c r="L189" s="275">
        <f t="shared" si="1"/>
        <v>4728.8</v>
      </c>
    </row>
    <row r="190" spans="1:12" s="304" customFormat="1" x14ac:dyDescent="0.35">
      <c r="A190" s="267">
        <v>15</v>
      </c>
      <c r="B190" s="272" t="s">
        <v>790</v>
      </c>
      <c r="C190" s="284">
        <v>375.57</v>
      </c>
      <c r="D190" s="274">
        <v>4794.13</v>
      </c>
      <c r="E190" s="273">
        <v>2499.6999999999998</v>
      </c>
      <c r="F190" s="273">
        <v>16.399999999999999</v>
      </c>
      <c r="G190" s="274">
        <v>12.59</v>
      </c>
      <c r="H190" s="274">
        <f>E190+F190+G190</f>
        <v>2528.69</v>
      </c>
      <c r="I190" s="298">
        <v>1447.3</v>
      </c>
      <c r="J190" s="258">
        <v>191.85</v>
      </c>
      <c r="K190" s="290">
        <f t="shared" si="0"/>
        <v>1639.1499999999999</v>
      </c>
      <c r="L190" s="275">
        <f t="shared" si="1"/>
        <v>9337.5399999999991</v>
      </c>
    </row>
    <row r="191" spans="1:12" s="304" customFormat="1" x14ac:dyDescent="0.35">
      <c r="A191" s="267">
        <v>16</v>
      </c>
      <c r="B191" s="272" t="s">
        <v>791</v>
      </c>
      <c r="C191" s="273">
        <v>5.45</v>
      </c>
      <c r="D191" s="274"/>
      <c r="E191" s="273"/>
      <c r="F191" s="273"/>
      <c r="G191" s="274"/>
      <c r="H191" s="274"/>
      <c r="I191" s="274">
        <v>0</v>
      </c>
      <c r="J191" s="290">
        <v>3.47</v>
      </c>
      <c r="K191" s="290">
        <f t="shared" si="0"/>
        <v>3.47</v>
      </c>
      <c r="L191" s="275">
        <f t="shared" si="1"/>
        <v>8.92</v>
      </c>
    </row>
    <row r="192" spans="1:12" s="304" customFormat="1" x14ac:dyDescent="0.35">
      <c r="A192" s="267">
        <v>17</v>
      </c>
      <c r="B192" s="272" t="s">
        <v>792</v>
      </c>
      <c r="C192" s="273">
        <v>32.53</v>
      </c>
      <c r="D192" s="274"/>
      <c r="E192" s="273"/>
      <c r="F192" s="273">
        <v>13.8</v>
      </c>
      <c r="G192" s="274"/>
      <c r="H192" s="274">
        <f>E192+F192+G192</f>
        <v>13.8</v>
      </c>
      <c r="I192" s="274">
        <v>0</v>
      </c>
      <c r="J192" s="290">
        <v>0.12</v>
      </c>
      <c r="K192" s="290">
        <f t="shared" si="0"/>
        <v>0.12</v>
      </c>
      <c r="L192" s="275">
        <f t="shared" si="1"/>
        <v>46.449999999999996</v>
      </c>
    </row>
    <row r="193" spans="1:12" s="304" customFormat="1" x14ac:dyDescent="0.35">
      <c r="A193" s="267">
        <v>18</v>
      </c>
      <c r="B193" s="272" t="s">
        <v>793</v>
      </c>
      <c r="C193" s="273">
        <v>36.47</v>
      </c>
      <c r="D193" s="274"/>
      <c r="E193" s="273"/>
      <c r="F193" s="273"/>
      <c r="G193" s="274"/>
      <c r="H193" s="274"/>
      <c r="I193" s="274">
        <v>0.1</v>
      </c>
      <c r="J193" s="290">
        <v>0.41</v>
      </c>
      <c r="K193" s="290">
        <f t="shared" si="0"/>
        <v>0.51</v>
      </c>
      <c r="L193" s="275">
        <f t="shared" si="1"/>
        <v>36.979999999999997</v>
      </c>
    </row>
    <row r="194" spans="1:12" s="304" customFormat="1" x14ac:dyDescent="0.35">
      <c r="A194" s="267">
        <v>19</v>
      </c>
      <c r="B194" s="272" t="s">
        <v>794</v>
      </c>
      <c r="C194" s="273">
        <v>30.67</v>
      </c>
      <c r="D194" s="274"/>
      <c r="E194" s="273"/>
      <c r="F194" s="273"/>
      <c r="G194" s="274"/>
      <c r="H194" s="274"/>
      <c r="I194" s="274">
        <v>0</v>
      </c>
      <c r="J194" s="290">
        <v>1</v>
      </c>
      <c r="K194" s="290">
        <f t="shared" si="0"/>
        <v>1</v>
      </c>
      <c r="L194" s="275">
        <f t="shared" si="1"/>
        <v>31.67</v>
      </c>
    </row>
    <row r="195" spans="1:12" s="304" customFormat="1" x14ac:dyDescent="0.35">
      <c r="A195" s="267">
        <v>20</v>
      </c>
      <c r="B195" s="272" t="s">
        <v>795</v>
      </c>
      <c r="C195" s="284">
        <v>64.625</v>
      </c>
      <c r="D195" s="274"/>
      <c r="E195" s="273">
        <v>50.4</v>
      </c>
      <c r="F195" s="273">
        <v>8.82</v>
      </c>
      <c r="G195" s="274"/>
      <c r="H195" s="274">
        <f>E195+F195+G195</f>
        <v>59.22</v>
      </c>
      <c r="I195" s="276">
        <v>383.56</v>
      </c>
      <c r="J195" s="258">
        <v>13.33</v>
      </c>
      <c r="K195" s="290">
        <f t="shared" si="0"/>
        <v>396.89</v>
      </c>
      <c r="L195" s="275">
        <f t="shared" si="1"/>
        <v>520.73500000000001</v>
      </c>
    </row>
    <row r="196" spans="1:12" s="304" customFormat="1" x14ac:dyDescent="0.35">
      <c r="A196" s="267">
        <v>21</v>
      </c>
      <c r="B196" s="272" t="s">
        <v>798</v>
      </c>
      <c r="C196" s="273">
        <v>173.55</v>
      </c>
      <c r="D196" s="274"/>
      <c r="E196" s="273">
        <v>194</v>
      </c>
      <c r="F196" s="273">
        <v>123.1</v>
      </c>
      <c r="G196" s="274">
        <v>9.25</v>
      </c>
      <c r="H196" s="274">
        <f>E196+F196+G196</f>
        <v>326.35000000000002</v>
      </c>
      <c r="I196" s="276">
        <v>828.1</v>
      </c>
      <c r="J196" s="258">
        <v>77.52</v>
      </c>
      <c r="K196" s="290">
        <f t="shared" si="0"/>
        <v>905.62</v>
      </c>
      <c r="L196" s="275">
        <f t="shared" si="1"/>
        <v>1405.52</v>
      </c>
    </row>
    <row r="197" spans="1:12" s="304" customFormat="1" x14ac:dyDescent="0.35">
      <c r="A197" s="267">
        <v>22</v>
      </c>
      <c r="B197" s="272" t="s">
        <v>800</v>
      </c>
      <c r="C197" s="273">
        <v>23.85</v>
      </c>
      <c r="D197" s="274">
        <v>4299.72</v>
      </c>
      <c r="E197" s="273">
        <v>119.3</v>
      </c>
      <c r="F197" s="273">
        <v>2</v>
      </c>
      <c r="G197" s="274"/>
      <c r="H197" s="274">
        <f>E197+F197+G197</f>
        <v>121.3</v>
      </c>
      <c r="I197" s="276">
        <v>3396.64</v>
      </c>
      <c r="J197" s="258">
        <v>154.36000000000001</v>
      </c>
      <c r="K197" s="290">
        <f t="shared" si="0"/>
        <v>3551</v>
      </c>
      <c r="L197" s="275">
        <f t="shared" si="1"/>
        <v>7995.87</v>
      </c>
    </row>
    <row r="198" spans="1:12" s="304" customFormat="1" x14ac:dyDescent="0.35">
      <c r="A198" s="267">
        <v>23</v>
      </c>
      <c r="B198" s="272" t="s">
        <v>801</v>
      </c>
      <c r="C198" s="273">
        <v>52.11</v>
      </c>
      <c r="D198" s="274"/>
      <c r="E198" s="273"/>
      <c r="F198" s="273"/>
      <c r="G198" s="274"/>
      <c r="H198" s="274"/>
      <c r="I198" s="274">
        <v>0</v>
      </c>
      <c r="J198" s="290">
        <v>0.01</v>
      </c>
      <c r="K198" s="290">
        <f t="shared" si="0"/>
        <v>0.01</v>
      </c>
      <c r="L198" s="275">
        <f t="shared" si="1"/>
        <v>52.12</v>
      </c>
    </row>
    <row r="199" spans="1:12" s="304" customFormat="1" x14ac:dyDescent="0.35">
      <c r="A199" s="267">
        <v>24</v>
      </c>
      <c r="B199" s="272" t="s">
        <v>802</v>
      </c>
      <c r="C199" s="273">
        <v>123.05</v>
      </c>
      <c r="D199" s="274">
        <v>9192.86</v>
      </c>
      <c r="E199" s="273">
        <v>969</v>
      </c>
      <c r="F199" s="273">
        <v>28.55</v>
      </c>
      <c r="G199" s="274">
        <v>6.4</v>
      </c>
      <c r="H199" s="274">
        <f>E199+F199+G199</f>
        <v>1003.9499999999999</v>
      </c>
      <c r="I199" s="276">
        <v>2663.48</v>
      </c>
      <c r="J199" s="258">
        <v>148.57</v>
      </c>
      <c r="K199" s="290">
        <f t="shared" si="0"/>
        <v>2812.05</v>
      </c>
      <c r="L199" s="275">
        <f t="shared" si="1"/>
        <v>13131.91</v>
      </c>
    </row>
    <row r="200" spans="1:12" s="304" customFormat="1" x14ac:dyDescent="0.35">
      <c r="A200" s="278">
        <v>25</v>
      </c>
      <c r="B200" s="279" t="s">
        <v>803</v>
      </c>
      <c r="C200" s="273">
        <v>90.87</v>
      </c>
      <c r="D200" s="274">
        <v>128.1</v>
      </c>
      <c r="E200" s="280">
        <v>158.1</v>
      </c>
      <c r="F200" s="280">
        <v>1</v>
      </c>
      <c r="G200" s="274">
        <v>18.5</v>
      </c>
      <c r="H200" s="274">
        <f>E200+F200+G200</f>
        <v>177.6</v>
      </c>
      <c r="I200" s="276">
        <v>3519.27</v>
      </c>
      <c r="J200" s="258">
        <v>79.53</v>
      </c>
      <c r="K200" s="290">
        <f t="shared" si="0"/>
        <v>3598.8</v>
      </c>
      <c r="L200" s="275">
        <f t="shared" si="1"/>
        <v>3995.3700000000003</v>
      </c>
    </row>
    <row r="201" spans="1:12" s="304" customFormat="1" x14ac:dyDescent="0.35">
      <c r="A201" s="267">
        <v>26</v>
      </c>
      <c r="B201" s="272" t="s">
        <v>804</v>
      </c>
      <c r="C201" s="273">
        <v>16.010000000000002</v>
      </c>
      <c r="D201" s="274"/>
      <c r="E201" s="274"/>
      <c r="F201" s="274"/>
      <c r="G201" s="274"/>
      <c r="H201" s="274"/>
      <c r="I201" s="274">
        <v>5</v>
      </c>
      <c r="J201" s="290">
        <v>4.41</v>
      </c>
      <c r="K201" s="290">
        <f t="shared" si="0"/>
        <v>9.41</v>
      </c>
      <c r="L201" s="275">
        <f t="shared" si="1"/>
        <v>25.42</v>
      </c>
    </row>
    <row r="202" spans="1:12" s="304" customFormat="1" x14ac:dyDescent="0.35">
      <c r="A202" s="267">
        <v>27</v>
      </c>
      <c r="B202" s="272" t="s">
        <v>805</v>
      </c>
      <c r="C202" s="273">
        <v>25.1</v>
      </c>
      <c r="D202" s="274"/>
      <c r="E202" s="273">
        <v>1957.5</v>
      </c>
      <c r="F202" s="273">
        <v>158.01</v>
      </c>
      <c r="G202" s="274"/>
      <c r="H202" s="274">
        <f>E202+F202+G202</f>
        <v>2115.5100000000002</v>
      </c>
      <c r="I202" s="274">
        <v>899</v>
      </c>
      <c r="J202" s="290">
        <v>146.1</v>
      </c>
      <c r="K202" s="290">
        <f t="shared" si="0"/>
        <v>1045.0999999999999</v>
      </c>
      <c r="L202" s="275">
        <f t="shared" si="1"/>
        <v>3185.71</v>
      </c>
    </row>
    <row r="203" spans="1:12" s="304" customFormat="1" x14ac:dyDescent="0.35">
      <c r="A203" s="267">
        <v>28</v>
      </c>
      <c r="B203" s="272" t="s">
        <v>806</v>
      </c>
      <c r="C203" s="284">
        <v>214.32</v>
      </c>
      <c r="D203" s="274"/>
      <c r="E203" s="273">
        <v>73</v>
      </c>
      <c r="F203" s="273">
        <v>57.5</v>
      </c>
      <c r="G203" s="274"/>
      <c r="H203" s="274">
        <f>E203+F203+G203</f>
        <v>130.5</v>
      </c>
      <c r="I203" s="274">
        <v>239.78</v>
      </c>
      <c r="J203" s="290">
        <v>70.06</v>
      </c>
      <c r="K203" s="290">
        <f t="shared" si="0"/>
        <v>309.84000000000003</v>
      </c>
      <c r="L203" s="275">
        <f t="shared" si="1"/>
        <v>654.66000000000008</v>
      </c>
    </row>
    <row r="204" spans="1:12" s="304" customFormat="1" x14ac:dyDescent="0.35">
      <c r="A204" s="267">
        <v>29</v>
      </c>
      <c r="B204" s="272" t="s">
        <v>1131</v>
      </c>
      <c r="C204" s="273">
        <v>98.5</v>
      </c>
      <c r="D204" s="274"/>
      <c r="E204" s="273">
        <v>300</v>
      </c>
      <c r="F204" s="273">
        <v>19.920000000000002</v>
      </c>
      <c r="G204" s="274"/>
      <c r="H204" s="274">
        <f>E204+F204+G204</f>
        <v>319.92</v>
      </c>
      <c r="I204" s="274">
        <v>50</v>
      </c>
      <c r="J204" s="290">
        <v>39.43</v>
      </c>
      <c r="K204" s="290">
        <f t="shared" si="0"/>
        <v>89.43</v>
      </c>
      <c r="L204" s="275">
        <f t="shared" si="1"/>
        <v>507.85</v>
      </c>
    </row>
    <row r="205" spans="1:12" s="304" customFormat="1" x14ac:dyDescent="0.35">
      <c r="A205" s="267">
        <v>30</v>
      </c>
      <c r="B205" s="272" t="s">
        <v>1130</v>
      </c>
      <c r="C205" s="273">
        <v>5.25</v>
      </c>
      <c r="D205" s="274"/>
      <c r="E205" s="274"/>
      <c r="F205" s="274"/>
      <c r="G205" s="274"/>
      <c r="H205" s="274"/>
      <c r="I205" s="274">
        <v>7.6</v>
      </c>
      <c r="J205" s="290">
        <v>4.13</v>
      </c>
      <c r="K205" s="290">
        <f t="shared" si="0"/>
        <v>11.73</v>
      </c>
      <c r="L205" s="275">
        <f t="shared" si="1"/>
        <v>16.98</v>
      </c>
    </row>
    <row r="206" spans="1:12" s="304" customFormat="1" x14ac:dyDescent="0.35">
      <c r="A206" s="267">
        <v>31</v>
      </c>
      <c r="B206" s="272" t="s">
        <v>1048</v>
      </c>
      <c r="C206" s="273"/>
      <c r="D206" s="274"/>
      <c r="E206" s="274"/>
      <c r="F206" s="274"/>
      <c r="G206" s="274"/>
      <c r="H206" s="274"/>
      <c r="I206" s="274">
        <v>6.34</v>
      </c>
      <c r="J206" s="290">
        <v>28.37</v>
      </c>
      <c r="K206" s="290">
        <f t="shared" si="0"/>
        <v>34.71</v>
      </c>
      <c r="L206" s="275">
        <f t="shared" si="1"/>
        <v>34.71</v>
      </c>
    </row>
    <row r="207" spans="1:12" s="304" customFormat="1" x14ac:dyDescent="0.35">
      <c r="A207" s="267">
        <v>32</v>
      </c>
      <c r="B207" s="272" t="s">
        <v>1129</v>
      </c>
      <c r="C207" s="273"/>
      <c r="D207" s="274"/>
      <c r="E207" s="274"/>
      <c r="F207" s="274"/>
      <c r="G207" s="274"/>
      <c r="H207" s="274"/>
      <c r="I207" s="274">
        <v>2.4900000000000002</v>
      </c>
      <c r="J207" s="293">
        <v>2.97</v>
      </c>
      <c r="K207" s="290">
        <f t="shared" si="0"/>
        <v>5.4600000000000009</v>
      </c>
      <c r="L207" s="275">
        <f t="shared" si="1"/>
        <v>5.4600000000000009</v>
      </c>
    </row>
    <row r="208" spans="1:12" s="304" customFormat="1" x14ac:dyDescent="0.35">
      <c r="A208" s="267">
        <v>33</v>
      </c>
      <c r="B208" s="272" t="s">
        <v>1049</v>
      </c>
      <c r="C208" s="281"/>
      <c r="D208" s="274"/>
      <c r="E208" s="274"/>
      <c r="F208" s="274"/>
      <c r="G208" s="274"/>
      <c r="H208" s="274"/>
      <c r="I208" s="295">
        <v>10.15</v>
      </c>
      <c r="J208" s="257">
        <v>5.26</v>
      </c>
      <c r="K208" s="290">
        <f t="shared" si="0"/>
        <v>15.41</v>
      </c>
      <c r="L208" s="275">
        <f t="shared" si="1"/>
        <v>15.41</v>
      </c>
    </row>
    <row r="209" spans="1:13" s="304" customFormat="1" x14ac:dyDescent="0.35">
      <c r="A209" s="267">
        <v>34</v>
      </c>
      <c r="B209" s="272" t="s">
        <v>770</v>
      </c>
      <c r="C209" s="281"/>
      <c r="D209" s="274"/>
      <c r="E209" s="274"/>
      <c r="F209" s="274"/>
      <c r="G209" s="274">
        <v>52</v>
      </c>
      <c r="H209" s="274">
        <f>E209+F209+G209</f>
        <v>52</v>
      </c>
      <c r="I209" s="274">
        <v>8.9600000000000009</v>
      </c>
      <c r="J209" s="293">
        <v>123.19</v>
      </c>
      <c r="K209" s="290">
        <f t="shared" si="0"/>
        <v>132.15</v>
      </c>
      <c r="L209" s="275">
        <f t="shared" si="1"/>
        <v>184.15</v>
      </c>
    </row>
    <row r="210" spans="1:13" s="304" customFormat="1" x14ac:dyDescent="0.35">
      <c r="A210" s="267">
        <v>35</v>
      </c>
      <c r="B210" s="272" t="s">
        <v>1128</v>
      </c>
      <c r="C210" s="281"/>
      <c r="D210" s="281"/>
      <c r="E210" s="274"/>
      <c r="F210" s="274"/>
      <c r="G210" s="274"/>
      <c r="H210" s="274"/>
      <c r="I210" s="274">
        <v>0.75</v>
      </c>
      <c r="J210" s="293">
        <v>0</v>
      </c>
      <c r="K210" s="290">
        <f t="shared" si="0"/>
        <v>0.75</v>
      </c>
      <c r="L210" s="275">
        <f t="shared" si="1"/>
        <v>0.75</v>
      </c>
    </row>
    <row r="211" spans="1:13" s="304" customFormat="1" x14ac:dyDescent="0.35">
      <c r="A211" s="267">
        <v>36</v>
      </c>
      <c r="B211" s="272" t="s">
        <v>1127</v>
      </c>
      <c r="C211" s="281"/>
      <c r="D211" s="274"/>
      <c r="E211" s="274"/>
      <c r="F211" s="274"/>
      <c r="G211" s="274"/>
      <c r="H211" s="274"/>
      <c r="I211" s="296">
        <v>0.03</v>
      </c>
      <c r="J211" s="257">
        <v>3.11</v>
      </c>
      <c r="K211" s="290">
        <f t="shared" si="0"/>
        <v>3.1399999999999997</v>
      </c>
      <c r="L211" s="275">
        <f t="shared" si="1"/>
        <v>3.1399999999999997</v>
      </c>
    </row>
    <row r="212" spans="1:13" s="304" customFormat="1" x14ac:dyDescent="0.35">
      <c r="A212" s="267">
        <v>37</v>
      </c>
      <c r="B212" s="272" t="s">
        <v>683</v>
      </c>
      <c r="C212" s="281"/>
      <c r="D212" s="274">
        <v>4.3</v>
      </c>
      <c r="E212" s="274"/>
      <c r="F212" s="274"/>
      <c r="G212" s="274"/>
      <c r="H212" s="274"/>
      <c r="I212" s="274"/>
      <c r="J212" s="294"/>
      <c r="K212" s="290"/>
      <c r="L212" s="275">
        <f t="shared" si="1"/>
        <v>4.3</v>
      </c>
    </row>
    <row r="213" spans="1:13" s="304" customFormat="1" x14ac:dyDescent="0.35">
      <c r="A213" s="265"/>
      <c r="B213" s="283" t="s">
        <v>1126</v>
      </c>
      <c r="C213" s="285">
        <f t="shared" ref="C213:L213" si="2">SUM(C176:C212)</f>
        <v>4603.75</v>
      </c>
      <c r="D213" s="286">
        <f t="shared" si="2"/>
        <v>36089.120000000003</v>
      </c>
      <c r="E213" s="282">
        <f t="shared" si="2"/>
        <v>9131.5</v>
      </c>
      <c r="F213" s="282">
        <f t="shared" si="2"/>
        <v>674.80999999999983</v>
      </c>
      <c r="G213" s="282">
        <f t="shared" si="2"/>
        <v>138.30000000000001</v>
      </c>
      <c r="H213" s="282">
        <f t="shared" si="2"/>
        <v>9944.6100000000024</v>
      </c>
      <c r="I213" s="282">
        <f t="shared" si="2"/>
        <v>27443.439999999999</v>
      </c>
      <c r="J213" s="292">
        <f t="shared" si="2"/>
        <v>1965.81</v>
      </c>
      <c r="K213" s="292">
        <f t="shared" si="2"/>
        <v>29409.249999999993</v>
      </c>
      <c r="L213" s="297">
        <f t="shared" si="2"/>
        <v>80046.730000000025</v>
      </c>
    </row>
    <row r="214" spans="1:13" s="304" customFormat="1" ht="15" thickBot="1" x14ac:dyDescent="0.4">
      <c r="A214" s="789" t="s">
        <v>1125</v>
      </c>
      <c r="B214" s="790"/>
      <c r="C214" s="790"/>
      <c r="D214" s="790"/>
      <c r="E214" s="790"/>
      <c r="F214" s="790"/>
      <c r="G214" s="790"/>
      <c r="H214" s="790"/>
      <c r="I214" s="790"/>
      <c r="J214" s="791"/>
      <c r="K214" s="791"/>
      <c r="L214" s="792"/>
    </row>
    <row r="215" spans="1:13" s="304" customFormat="1" x14ac:dyDescent="0.35"/>
    <row r="216" spans="1:13" s="304" customFormat="1" x14ac:dyDescent="0.35"/>
    <row r="217" spans="1:13" s="304" customFormat="1" x14ac:dyDescent="0.35">
      <c r="A217" s="2" t="s">
        <v>249</v>
      </c>
      <c r="B217" s="2" t="s">
        <v>1206</v>
      </c>
    </row>
    <row r="218" spans="1:13" s="304" customFormat="1" x14ac:dyDescent="0.35">
      <c r="A218" s="2"/>
      <c r="B218" s="2"/>
    </row>
    <row r="219" spans="1:13" s="304" customFormat="1" ht="17.649999999999999" customHeight="1" x14ac:dyDescent="0.35">
      <c r="A219" s="340" t="s">
        <v>1191</v>
      </c>
      <c r="B219" s="339"/>
      <c r="C219" s="339"/>
      <c r="D219" s="339"/>
      <c r="E219" s="339"/>
      <c r="F219" s="339"/>
      <c r="G219" s="339"/>
      <c r="H219" s="339"/>
      <c r="I219" s="339"/>
      <c r="J219" s="339"/>
      <c r="K219" s="339"/>
      <c r="L219" s="339"/>
      <c r="M219" s="339"/>
    </row>
    <row r="220" spans="1:13" s="304" customFormat="1" ht="17.5" x14ac:dyDescent="0.35">
      <c r="A220" s="305"/>
      <c r="B220" s="306"/>
      <c r="C220" s="306"/>
      <c r="D220" s="306"/>
      <c r="E220" s="306"/>
      <c r="K220" s="785"/>
      <c r="L220" s="785"/>
      <c r="M220" s="304" t="s">
        <v>1192</v>
      </c>
    </row>
    <row r="221" spans="1:13" s="304" customFormat="1" ht="17.5" x14ac:dyDescent="0.35">
      <c r="A221" s="307"/>
      <c r="B221" s="786" t="s">
        <v>1193</v>
      </c>
      <c r="C221" s="787"/>
      <c r="D221" s="787"/>
      <c r="E221" s="788"/>
      <c r="F221" s="781" t="s">
        <v>1194</v>
      </c>
      <c r="G221" s="782"/>
      <c r="H221" s="781" t="s">
        <v>1111</v>
      </c>
      <c r="I221" s="782"/>
      <c r="J221" s="781" t="s">
        <v>1143</v>
      </c>
      <c r="K221" s="782"/>
      <c r="L221" s="781" t="s">
        <v>41</v>
      </c>
      <c r="M221" s="782"/>
    </row>
    <row r="222" spans="1:13" s="304" customFormat="1" x14ac:dyDescent="0.35">
      <c r="A222" s="793" t="s">
        <v>1195</v>
      </c>
      <c r="B222" s="786" t="s">
        <v>1196</v>
      </c>
      <c r="C222" s="788"/>
      <c r="D222" s="786" t="s">
        <v>1139</v>
      </c>
      <c r="E222" s="788"/>
      <c r="F222" s="783"/>
      <c r="G222" s="784"/>
      <c r="H222" s="783"/>
      <c r="I222" s="784"/>
      <c r="J222" s="783"/>
      <c r="K222" s="784"/>
      <c r="L222" s="783"/>
      <c r="M222" s="784"/>
    </row>
    <row r="223" spans="1:13" s="304" customFormat="1" x14ac:dyDescent="0.35">
      <c r="A223" s="794"/>
      <c r="B223" s="308" t="s">
        <v>1197</v>
      </c>
      <c r="C223" s="308" t="s">
        <v>1198</v>
      </c>
      <c r="D223" s="308" t="s">
        <v>1197</v>
      </c>
      <c r="E223" s="308" t="s">
        <v>1198</v>
      </c>
      <c r="F223" s="308" t="s">
        <v>1197</v>
      </c>
      <c r="G223" s="308" t="s">
        <v>1198</v>
      </c>
      <c r="H223" s="308" t="s">
        <v>1197</v>
      </c>
      <c r="I223" s="308" t="s">
        <v>1198</v>
      </c>
      <c r="J223" s="308" t="s">
        <v>1197</v>
      </c>
      <c r="K223" s="308" t="s">
        <v>1198</v>
      </c>
      <c r="L223" s="308" t="s">
        <v>1197</v>
      </c>
      <c r="M223" s="308" t="s">
        <v>1198</v>
      </c>
    </row>
    <row r="224" spans="1:13" s="304" customFormat="1" x14ac:dyDescent="0.35">
      <c r="A224" s="309" t="s">
        <v>762</v>
      </c>
      <c r="B224" s="310">
        <v>378.2</v>
      </c>
      <c r="C224" s="310">
        <v>477.18</v>
      </c>
      <c r="D224" s="311">
        <v>58.16</v>
      </c>
      <c r="E224" s="311">
        <v>23.16</v>
      </c>
      <c r="F224" s="312">
        <v>3618.85</v>
      </c>
      <c r="G224" s="312">
        <v>4074.35</v>
      </c>
      <c r="H224" s="310">
        <v>241.98</v>
      </c>
      <c r="I224" s="310">
        <v>162.11000000000001</v>
      </c>
      <c r="J224" s="323">
        <v>1867.23</v>
      </c>
      <c r="K224" s="311">
        <v>2641.76</v>
      </c>
      <c r="L224" s="324">
        <v>6164.42</v>
      </c>
      <c r="M224" s="324">
        <v>7378.56</v>
      </c>
    </row>
    <row r="225" spans="1:13" s="304" customFormat="1" x14ac:dyDescent="0.35">
      <c r="A225" s="313" t="s">
        <v>763</v>
      </c>
      <c r="B225" s="314">
        <v>0</v>
      </c>
      <c r="C225" s="314">
        <v>0</v>
      </c>
      <c r="D225" s="314">
        <v>0</v>
      </c>
      <c r="E225" s="314"/>
      <c r="F225" s="314">
        <v>0</v>
      </c>
      <c r="G225" s="314"/>
      <c r="H225" s="312">
        <v>104.605</v>
      </c>
      <c r="I225" s="312">
        <v>107.1</v>
      </c>
      <c r="J225" s="325">
        <v>0.26500000000000001</v>
      </c>
      <c r="K225" s="316">
        <v>5.3900000000000006</v>
      </c>
      <c r="L225" s="326">
        <v>104.87</v>
      </c>
      <c r="M225" s="326">
        <v>112.49</v>
      </c>
    </row>
    <row r="226" spans="1:13" s="304" customFormat="1" x14ac:dyDescent="0.35">
      <c r="A226" s="313" t="s">
        <v>765</v>
      </c>
      <c r="B226" s="314">
        <v>0</v>
      </c>
      <c r="C226" s="314">
        <v>0</v>
      </c>
      <c r="D226" s="314">
        <v>0</v>
      </c>
      <c r="E226" s="314"/>
      <c r="F226" s="314">
        <v>0</v>
      </c>
      <c r="G226" s="314"/>
      <c r="H226" s="312">
        <v>34.11</v>
      </c>
      <c r="I226" s="312">
        <v>34.11</v>
      </c>
      <c r="J226" s="327">
        <v>11.78</v>
      </c>
      <c r="K226" s="314">
        <v>12.7</v>
      </c>
      <c r="L226" s="326">
        <v>45.89</v>
      </c>
      <c r="M226" s="326">
        <v>46.81</v>
      </c>
    </row>
    <row r="227" spans="1:13" s="304" customFormat="1" x14ac:dyDescent="0.35">
      <c r="A227" s="313" t="s">
        <v>766</v>
      </c>
      <c r="B227" s="312">
        <v>113</v>
      </c>
      <c r="C227" s="312">
        <v>121.2</v>
      </c>
      <c r="D227" s="314">
        <v>0</v>
      </c>
      <c r="E227" s="314"/>
      <c r="F227" s="314">
        <v>0</v>
      </c>
      <c r="G227" s="314"/>
      <c r="H227" s="312">
        <v>70.7</v>
      </c>
      <c r="I227" s="312">
        <v>70.7</v>
      </c>
      <c r="J227" s="327">
        <v>108.52</v>
      </c>
      <c r="K227" s="314">
        <v>142.45000000000002</v>
      </c>
      <c r="L227" s="326">
        <v>292.21999999999997</v>
      </c>
      <c r="M227" s="326">
        <v>334.35</v>
      </c>
    </row>
    <row r="228" spans="1:13" s="304" customFormat="1" x14ac:dyDescent="0.35">
      <c r="A228" s="313" t="s">
        <v>767</v>
      </c>
      <c r="B228" s="312">
        <v>228</v>
      </c>
      <c r="C228" s="312">
        <v>230.5</v>
      </c>
      <c r="D228" s="314">
        <v>0</v>
      </c>
      <c r="E228" s="314"/>
      <c r="F228" s="314">
        <v>0</v>
      </c>
      <c r="G228" s="314"/>
      <c r="H228" s="312">
        <v>76</v>
      </c>
      <c r="I228" s="312">
        <v>76</v>
      </c>
      <c r="J228" s="327">
        <v>128.86000000000001</v>
      </c>
      <c r="K228" s="314">
        <v>231.35000000000002</v>
      </c>
      <c r="L228" s="326">
        <v>432.86</v>
      </c>
      <c r="M228" s="326">
        <v>537.85</v>
      </c>
    </row>
    <row r="229" spans="1:13" s="304" customFormat="1" x14ac:dyDescent="0.35">
      <c r="A229" s="313" t="s">
        <v>772</v>
      </c>
      <c r="B229" s="315">
        <v>0</v>
      </c>
      <c r="C229" s="315">
        <v>0</v>
      </c>
      <c r="D229" s="314">
        <v>0</v>
      </c>
      <c r="E229" s="314"/>
      <c r="F229" s="314">
        <v>0</v>
      </c>
      <c r="G229" s="314"/>
      <c r="H229" s="312">
        <v>0.05</v>
      </c>
      <c r="I229" s="312">
        <v>0.05</v>
      </c>
      <c r="J229" s="327">
        <v>0.71</v>
      </c>
      <c r="K229" s="314">
        <v>0.90999999999999992</v>
      </c>
      <c r="L229" s="326">
        <v>0.76</v>
      </c>
      <c r="M229" s="326">
        <v>0.96</v>
      </c>
    </row>
    <row r="230" spans="1:13" s="304" customFormat="1" x14ac:dyDescent="0.35">
      <c r="A230" s="313" t="s">
        <v>774</v>
      </c>
      <c r="B230" s="312">
        <v>65.3</v>
      </c>
      <c r="C230" s="312">
        <v>77.3</v>
      </c>
      <c r="D230" s="314">
        <v>0</v>
      </c>
      <c r="E230" s="314"/>
      <c r="F230" s="312">
        <v>5340.62</v>
      </c>
      <c r="G230" s="312">
        <v>5852.67</v>
      </c>
      <c r="H230" s="312">
        <v>16.600000000000001</v>
      </c>
      <c r="I230" s="312">
        <v>28.6</v>
      </c>
      <c r="J230" s="325">
        <v>1249.3699999999999</v>
      </c>
      <c r="K230" s="316">
        <v>1647.55</v>
      </c>
      <c r="L230" s="326">
        <v>6671.89</v>
      </c>
      <c r="M230" s="326">
        <v>7606.1200000000008</v>
      </c>
    </row>
    <row r="231" spans="1:13" s="304" customFormat="1" x14ac:dyDescent="0.35">
      <c r="A231" s="313" t="s">
        <v>775</v>
      </c>
      <c r="B231" s="312">
        <v>96.4</v>
      </c>
      <c r="C231" s="312">
        <v>205.66000000000003</v>
      </c>
      <c r="D231" s="314">
        <v>0</v>
      </c>
      <c r="E231" s="314"/>
      <c r="F231" s="314">
        <v>0</v>
      </c>
      <c r="G231" s="314"/>
      <c r="H231" s="312">
        <v>73.5</v>
      </c>
      <c r="I231" s="312">
        <v>73.5</v>
      </c>
      <c r="J231" s="327">
        <v>81.400000000000006</v>
      </c>
      <c r="K231" s="314">
        <v>216.85000000000002</v>
      </c>
      <c r="L231" s="326">
        <v>251.3</v>
      </c>
      <c r="M231" s="326">
        <v>496.01000000000005</v>
      </c>
    </row>
    <row r="232" spans="1:13" s="304" customFormat="1" x14ac:dyDescent="0.35">
      <c r="A232" s="313" t="s">
        <v>778</v>
      </c>
      <c r="B232" s="315">
        <v>0</v>
      </c>
      <c r="C232" s="315">
        <v>7.2</v>
      </c>
      <c r="D232" s="314">
        <v>0</v>
      </c>
      <c r="E232" s="314"/>
      <c r="F232" s="314">
        <v>0</v>
      </c>
      <c r="G232" s="314"/>
      <c r="H232" s="312">
        <v>831.81</v>
      </c>
      <c r="I232" s="312">
        <v>858.61</v>
      </c>
      <c r="J232" s="327">
        <v>0.73</v>
      </c>
      <c r="K232" s="314">
        <v>3.36</v>
      </c>
      <c r="L232" s="326">
        <v>832.54</v>
      </c>
      <c r="M232" s="326">
        <v>869.17000000000007</v>
      </c>
    </row>
    <row r="233" spans="1:13" s="304" customFormat="1" x14ac:dyDescent="0.35">
      <c r="A233" s="313" t="s">
        <v>1047</v>
      </c>
      <c r="B233" s="315">
        <v>0</v>
      </c>
      <c r="C233" s="315">
        <v>0</v>
      </c>
      <c r="D233" s="314">
        <v>0</v>
      </c>
      <c r="E233" s="314"/>
      <c r="F233" s="314">
        <v>0</v>
      </c>
      <c r="G233" s="314"/>
      <c r="H233" s="312">
        <v>158.03</v>
      </c>
      <c r="I233" s="312">
        <v>179.03</v>
      </c>
      <c r="J233" s="327">
        <v>1.36</v>
      </c>
      <c r="K233" s="314">
        <v>9.85</v>
      </c>
      <c r="L233" s="326">
        <v>159.39000000000001</v>
      </c>
      <c r="M233" s="326">
        <v>188.88000000000002</v>
      </c>
    </row>
    <row r="234" spans="1:13" s="304" customFormat="1" x14ac:dyDescent="0.35">
      <c r="A234" s="313" t="s">
        <v>781</v>
      </c>
      <c r="B234" s="315">
        <v>0</v>
      </c>
      <c r="C234" s="315">
        <v>4.3</v>
      </c>
      <c r="D234" s="314">
        <v>0</v>
      </c>
      <c r="E234" s="314"/>
      <c r="F234" s="314">
        <v>0</v>
      </c>
      <c r="G234" s="314"/>
      <c r="H234" s="312">
        <v>4.05</v>
      </c>
      <c r="I234" s="312">
        <v>4.05</v>
      </c>
      <c r="J234" s="327">
        <v>23.27</v>
      </c>
      <c r="K234" s="314">
        <v>32.07</v>
      </c>
      <c r="L234" s="326">
        <v>27.32</v>
      </c>
      <c r="M234" s="326">
        <v>40.42</v>
      </c>
    </row>
    <row r="235" spans="1:13" s="304" customFormat="1" x14ac:dyDescent="0.35">
      <c r="A235" s="313" t="s">
        <v>783</v>
      </c>
      <c r="B235" s="312">
        <v>1452</v>
      </c>
      <c r="C235" s="312">
        <v>1798.8</v>
      </c>
      <c r="D235" s="316">
        <v>1</v>
      </c>
      <c r="E235" s="316">
        <v>1</v>
      </c>
      <c r="F235" s="312">
        <v>3751.4</v>
      </c>
      <c r="G235" s="312">
        <v>4672.3</v>
      </c>
      <c r="H235" s="312">
        <v>1225.73</v>
      </c>
      <c r="I235" s="312">
        <v>1230.73</v>
      </c>
      <c r="J235" s="325">
        <v>1027.8399999999999</v>
      </c>
      <c r="K235" s="316">
        <v>5230.3999999999996</v>
      </c>
      <c r="L235" s="326">
        <v>7457.97</v>
      </c>
      <c r="M235" s="326">
        <v>12933.23</v>
      </c>
    </row>
    <row r="236" spans="1:13" s="304" customFormat="1" x14ac:dyDescent="0.35">
      <c r="A236" s="313" t="s">
        <v>786</v>
      </c>
      <c r="B236" s="315">
        <v>0</v>
      </c>
      <c r="C236" s="315">
        <v>0.72</v>
      </c>
      <c r="D236" s="315">
        <v>0</v>
      </c>
      <c r="E236" s="315"/>
      <c r="F236" s="315">
        <v>51.5</v>
      </c>
      <c r="G236" s="315">
        <v>52.5</v>
      </c>
      <c r="H236" s="312">
        <v>213.02</v>
      </c>
      <c r="I236" s="312">
        <v>222.02</v>
      </c>
      <c r="J236" s="325">
        <v>74.2</v>
      </c>
      <c r="K236" s="316">
        <v>138.49</v>
      </c>
      <c r="L236" s="326">
        <v>338.71999999999997</v>
      </c>
      <c r="M236" s="326">
        <v>413.73</v>
      </c>
    </row>
    <row r="237" spans="1:13" s="304" customFormat="1" x14ac:dyDescent="0.35">
      <c r="A237" s="313" t="s">
        <v>789</v>
      </c>
      <c r="B237" s="312">
        <v>93</v>
      </c>
      <c r="C237" s="312">
        <v>105.35</v>
      </c>
      <c r="D237" s="316">
        <v>3.9</v>
      </c>
      <c r="E237" s="316">
        <v>15.4</v>
      </c>
      <c r="F237" s="315">
        <v>2497.79</v>
      </c>
      <c r="G237" s="315">
        <v>2519.89</v>
      </c>
      <c r="H237" s="312">
        <v>86.16</v>
      </c>
      <c r="I237" s="312">
        <v>95.91</v>
      </c>
      <c r="J237" s="325">
        <v>857.04</v>
      </c>
      <c r="K237" s="316">
        <v>1531.81</v>
      </c>
      <c r="L237" s="326">
        <v>3537.89</v>
      </c>
      <c r="M237" s="326">
        <v>4268.3599999999997</v>
      </c>
    </row>
    <row r="238" spans="1:13" s="304" customFormat="1" x14ac:dyDescent="0.35">
      <c r="A238" s="313" t="s">
        <v>790</v>
      </c>
      <c r="B238" s="312">
        <v>2065</v>
      </c>
      <c r="C238" s="312">
        <v>2186.4</v>
      </c>
      <c r="D238" s="316">
        <v>12.72</v>
      </c>
      <c r="E238" s="316">
        <v>12.59</v>
      </c>
      <c r="F238" s="315">
        <v>4771.33</v>
      </c>
      <c r="G238" s="315">
        <v>4788.13</v>
      </c>
      <c r="H238" s="312">
        <v>346.17500000000001</v>
      </c>
      <c r="I238" s="312">
        <v>373.57</v>
      </c>
      <c r="J238" s="325">
        <v>452.37</v>
      </c>
      <c r="K238" s="316">
        <v>1419.1799999999998</v>
      </c>
      <c r="L238" s="326">
        <v>7647.5950000000003</v>
      </c>
      <c r="M238" s="326">
        <v>8779.869999999999</v>
      </c>
    </row>
    <row r="239" spans="1:13" s="304" customFormat="1" x14ac:dyDescent="0.35">
      <c r="A239" s="313" t="s">
        <v>791</v>
      </c>
      <c r="B239" s="314">
        <v>0</v>
      </c>
      <c r="C239" s="315">
        <v>0</v>
      </c>
      <c r="D239" s="314">
        <v>0</v>
      </c>
      <c r="E239" s="314"/>
      <c r="F239" s="314">
        <v>0</v>
      </c>
      <c r="G239" s="314"/>
      <c r="H239" s="312">
        <v>5.45</v>
      </c>
      <c r="I239" s="312">
        <v>5.45</v>
      </c>
      <c r="J239" s="327">
        <v>0.03</v>
      </c>
      <c r="K239" s="314">
        <v>2.17</v>
      </c>
      <c r="L239" s="326">
        <v>5.48</v>
      </c>
      <c r="M239" s="326">
        <v>7.62</v>
      </c>
    </row>
    <row r="240" spans="1:13" s="304" customFormat="1" x14ac:dyDescent="0.35">
      <c r="A240" s="313" t="s">
        <v>792</v>
      </c>
      <c r="B240" s="314">
        <v>0</v>
      </c>
      <c r="C240" s="314">
        <v>13.8</v>
      </c>
      <c r="D240" s="314">
        <v>0</v>
      </c>
      <c r="E240" s="314"/>
      <c r="F240" s="314">
        <v>0</v>
      </c>
      <c r="G240" s="314"/>
      <c r="H240" s="312">
        <v>31.03</v>
      </c>
      <c r="I240" s="312">
        <v>31.03</v>
      </c>
      <c r="J240" s="327">
        <v>0.01</v>
      </c>
      <c r="K240" s="314">
        <v>0.06</v>
      </c>
      <c r="L240" s="326">
        <v>31.040000000000003</v>
      </c>
      <c r="M240" s="326">
        <v>44.89</v>
      </c>
    </row>
    <row r="241" spans="1:13" s="304" customFormat="1" x14ac:dyDescent="0.35">
      <c r="A241" s="313" t="s">
        <v>793</v>
      </c>
      <c r="B241" s="314">
        <v>0</v>
      </c>
      <c r="C241" s="315">
        <v>0</v>
      </c>
      <c r="D241" s="314">
        <v>0</v>
      </c>
      <c r="E241" s="314"/>
      <c r="F241" s="314">
        <v>0</v>
      </c>
      <c r="G241" s="314"/>
      <c r="H241" s="312">
        <v>41.47</v>
      </c>
      <c r="I241" s="312">
        <v>36.47</v>
      </c>
      <c r="J241" s="327">
        <v>0.1</v>
      </c>
      <c r="K241" s="314">
        <v>0.2</v>
      </c>
      <c r="L241" s="326">
        <v>41.57</v>
      </c>
      <c r="M241" s="326">
        <v>36.67</v>
      </c>
    </row>
    <row r="242" spans="1:13" s="304" customFormat="1" x14ac:dyDescent="0.35">
      <c r="A242" s="313" t="s">
        <v>794</v>
      </c>
      <c r="B242" s="314">
        <v>0</v>
      </c>
      <c r="C242" s="315">
        <v>0</v>
      </c>
      <c r="D242" s="314">
        <v>0</v>
      </c>
      <c r="E242" s="314"/>
      <c r="F242" s="314">
        <v>0</v>
      </c>
      <c r="G242" s="314"/>
      <c r="H242" s="312">
        <v>30.67</v>
      </c>
      <c r="I242" s="312">
        <v>30.67</v>
      </c>
      <c r="J242" s="327">
        <v>0.5</v>
      </c>
      <c r="K242" s="314">
        <v>1</v>
      </c>
      <c r="L242" s="326">
        <v>31.17</v>
      </c>
      <c r="M242" s="326">
        <v>31.67</v>
      </c>
    </row>
    <row r="243" spans="1:13" s="304" customFormat="1" x14ac:dyDescent="0.35">
      <c r="A243" s="313" t="s">
        <v>795</v>
      </c>
      <c r="B243" s="315">
        <v>50.4</v>
      </c>
      <c r="C243" s="315">
        <v>59.22</v>
      </c>
      <c r="D243" s="314"/>
      <c r="E243" s="314"/>
      <c r="F243" s="314"/>
      <c r="G243" s="314"/>
      <c r="H243" s="312">
        <v>64.625</v>
      </c>
      <c r="I243" s="312">
        <v>64.625</v>
      </c>
      <c r="J243" s="327">
        <v>79.42</v>
      </c>
      <c r="K243" s="314">
        <v>117.75</v>
      </c>
      <c r="L243" s="326">
        <v>194.44499999999999</v>
      </c>
      <c r="M243" s="326">
        <v>241.595</v>
      </c>
    </row>
    <row r="244" spans="1:13" s="304" customFormat="1" x14ac:dyDescent="0.35">
      <c r="A244" s="313" t="s">
        <v>798</v>
      </c>
      <c r="B244" s="312">
        <v>179</v>
      </c>
      <c r="C244" s="312">
        <v>317.10000000000002</v>
      </c>
      <c r="D244" s="316">
        <v>9.25</v>
      </c>
      <c r="E244" s="316">
        <v>9.25</v>
      </c>
      <c r="F244" s="314"/>
      <c r="G244" s="314"/>
      <c r="H244" s="312">
        <v>170.9</v>
      </c>
      <c r="I244" s="312">
        <v>173.55</v>
      </c>
      <c r="J244" s="325">
        <v>793.95</v>
      </c>
      <c r="K244" s="316">
        <v>905.62</v>
      </c>
      <c r="L244" s="326">
        <v>1153.0999999999999</v>
      </c>
      <c r="M244" s="326">
        <v>1405.52</v>
      </c>
    </row>
    <row r="245" spans="1:13" s="304" customFormat="1" x14ac:dyDescent="0.35">
      <c r="A245" s="313" t="s">
        <v>800</v>
      </c>
      <c r="B245" s="312">
        <v>119.3</v>
      </c>
      <c r="C245" s="312">
        <v>121.3</v>
      </c>
      <c r="D245" s="314"/>
      <c r="E245" s="314"/>
      <c r="F245" s="315">
        <v>4281.72</v>
      </c>
      <c r="G245" s="315">
        <v>4299.72</v>
      </c>
      <c r="H245" s="312">
        <v>23.85</v>
      </c>
      <c r="I245" s="312">
        <v>23.85</v>
      </c>
      <c r="J245" s="325">
        <v>1812.93</v>
      </c>
      <c r="K245" s="316">
        <v>3079.99</v>
      </c>
      <c r="L245" s="326">
        <v>6237.8000000000011</v>
      </c>
      <c r="M245" s="326">
        <v>7524.8600000000006</v>
      </c>
    </row>
    <row r="246" spans="1:13" s="304" customFormat="1" x14ac:dyDescent="0.35">
      <c r="A246" s="313" t="s">
        <v>801</v>
      </c>
      <c r="B246" s="315">
        <v>0</v>
      </c>
      <c r="C246" s="315">
        <v>0</v>
      </c>
      <c r="D246" s="314">
        <v>0</v>
      </c>
      <c r="E246" s="314"/>
      <c r="F246" s="314">
        <v>0</v>
      </c>
      <c r="G246" s="314"/>
      <c r="H246" s="312">
        <v>52.11</v>
      </c>
      <c r="I246" s="312">
        <v>52.11</v>
      </c>
      <c r="J246" s="327">
        <v>0</v>
      </c>
      <c r="K246" s="314">
        <v>0.01</v>
      </c>
      <c r="L246" s="326">
        <v>52.11</v>
      </c>
      <c r="M246" s="326">
        <v>52.12</v>
      </c>
    </row>
    <row r="247" spans="1:13" s="304" customFormat="1" x14ac:dyDescent="0.35">
      <c r="A247" s="313" t="s">
        <v>802</v>
      </c>
      <c r="B247" s="312">
        <v>878</v>
      </c>
      <c r="C247" s="312">
        <v>954.55</v>
      </c>
      <c r="D247" s="316">
        <v>8.0500000000000007</v>
      </c>
      <c r="E247" s="316">
        <v>6.4</v>
      </c>
      <c r="F247" s="315">
        <v>7861.46</v>
      </c>
      <c r="G247" s="315">
        <v>8594.39</v>
      </c>
      <c r="H247" s="312">
        <v>123.05</v>
      </c>
      <c r="I247" s="312">
        <v>123.05</v>
      </c>
      <c r="J247" s="327">
        <v>1691.83</v>
      </c>
      <c r="K247" s="314">
        <v>2220.9499999999998</v>
      </c>
      <c r="L247" s="326">
        <v>10562.39</v>
      </c>
      <c r="M247" s="326">
        <v>11899.34</v>
      </c>
    </row>
    <row r="248" spans="1:13" s="304" customFormat="1" x14ac:dyDescent="0.35">
      <c r="A248" s="313" t="s">
        <v>803</v>
      </c>
      <c r="B248" s="317">
        <v>158.1</v>
      </c>
      <c r="C248" s="317">
        <v>159.1</v>
      </c>
      <c r="D248" s="312"/>
      <c r="E248" s="317">
        <v>18.5</v>
      </c>
      <c r="F248" s="315">
        <v>100.8</v>
      </c>
      <c r="G248" s="315">
        <v>128.1</v>
      </c>
      <c r="H248" s="317"/>
      <c r="I248" s="317">
        <v>90.87</v>
      </c>
      <c r="J248" s="327">
        <v>1286.98</v>
      </c>
      <c r="K248" s="314">
        <v>3405.13</v>
      </c>
      <c r="L248" s="326">
        <v>1545.88</v>
      </c>
      <c r="M248" s="326">
        <v>3801.7000000000003</v>
      </c>
    </row>
    <row r="249" spans="1:13" s="304" customFormat="1" x14ac:dyDescent="0.35">
      <c r="A249" s="313" t="s">
        <v>804</v>
      </c>
      <c r="B249" s="315">
        <v>0</v>
      </c>
      <c r="C249" s="315">
        <v>0</v>
      </c>
      <c r="D249" s="315">
        <v>0</v>
      </c>
      <c r="E249" s="315"/>
      <c r="F249" s="314">
        <v>0</v>
      </c>
      <c r="G249" s="314"/>
      <c r="H249" s="312">
        <v>16.010000000000002</v>
      </c>
      <c r="I249" s="312">
        <v>16.010000000000002</v>
      </c>
      <c r="J249" s="327">
        <v>5.09</v>
      </c>
      <c r="K249" s="314">
        <v>5.09</v>
      </c>
      <c r="L249" s="326">
        <v>21.1</v>
      </c>
      <c r="M249" s="326">
        <v>21.1</v>
      </c>
    </row>
    <row r="250" spans="1:13" s="304" customFormat="1" x14ac:dyDescent="0.35">
      <c r="A250" s="313" t="s">
        <v>805</v>
      </c>
      <c r="B250" s="312">
        <v>1933</v>
      </c>
      <c r="C250" s="312">
        <v>2117.5100000000002</v>
      </c>
      <c r="D250" s="316">
        <v>5</v>
      </c>
      <c r="E250" s="316"/>
      <c r="F250" s="314"/>
      <c r="G250" s="314"/>
      <c r="H250" s="312">
        <v>25.1</v>
      </c>
      <c r="I250" s="312">
        <v>25.1</v>
      </c>
      <c r="J250" s="325">
        <v>336.73</v>
      </c>
      <c r="K250" s="316">
        <v>805.15</v>
      </c>
      <c r="L250" s="326">
        <v>2299.83</v>
      </c>
      <c r="M250" s="326">
        <v>2947.76</v>
      </c>
    </row>
    <row r="251" spans="1:13" s="304" customFormat="1" x14ac:dyDescent="0.35">
      <c r="A251" s="313" t="s">
        <v>806</v>
      </c>
      <c r="B251" s="312">
        <v>73</v>
      </c>
      <c r="C251" s="312">
        <v>130.5</v>
      </c>
      <c r="D251" s="314">
        <v>0</v>
      </c>
      <c r="E251" s="314"/>
      <c r="F251" s="314">
        <v>0</v>
      </c>
      <c r="G251" s="314"/>
      <c r="H251" s="312">
        <v>209.32</v>
      </c>
      <c r="I251" s="312">
        <v>214.32</v>
      </c>
      <c r="J251" s="325">
        <v>233.49</v>
      </c>
      <c r="K251" s="316">
        <v>302.99</v>
      </c>
      <c r="L251" s="326">
        <v>515.80999999999995</v>
      </c>
      <c r="M251" s="326">
        <v>647.81000000000006</v>
      </c>
    </row>
    <row r="252" spans="1:13" s="304" customFormat="1" x14ac:dyDescent="0.35">
      <c r="A252" s="313" t="s">
        <v>808</v>
      </c>
      <c r="B252" s="312">
        <v>300</v>
      </c>
      <c r="C252" s="312">
        <v>319.92</v>
      </c>
      <c r="D252" s="314">
        <v>0</v>
      </c>
      <c r="E252" s="314"/>
      <c r="F252" s="314">
        <v>0</v>
      </c>
      <c r="G252" s="314"/>
      <c r="H252" s="312">
        <v>98.5</v>
      </c>
      <c r="I252" s="312">
        <v>98.5</v>
      </c>
      <c r="J252" s="325">
        <v>26.14</v>
      </c>
      <c r="K252" s="316">
        <v>37.97</v>
      </c>
      <c r="L252" s="326">
        <v>424.64</v>
      </c>
      <c r="M252" s="326">
        <v>456.39</v>
      </c>
    </row>
    <row r="253" spans="1:13" s="304" customFormat="1" x14ac:dyDescent="0.35">
      <c r="A253" s="313" t="s">
        <v>1130</v>
      </c>
      <c r="B253" s="314">
        <v>0</v>
      </c>
      <c r="C253" s="315">
        <v>0</v>
      </c>
      <c r="D253" s="314">
        <v>0</v>
      </c>
      <c r="E253" s="314"/>
      <c r="F253" s="314">
        <v>0</v>
      </c>
      <c r="G253" s="314"/>
      <c r="H253" s="312">
        <v>5.25</v>
      </c>
      <c r="I253" s="312">
        <v>5.25</v>
      </c>
      <c r="J253" s="325">
        <v>6.56</v>
      </c>
      <c r="K253" s="316">
        <v>6.56</v>
      </c>
      <c r="L253" s="326">
        <v>11.809999999999999</v>
      </c>
      <c r="M253" s="326">
        <v>11.809999999999999</v>
      </c>
    </row>
    <row r="254" spans="1:13" s="304" customFormat="1" x14ac:dyDescent="0.35">
      <c r="A254" s="313" t="s">
        <v>1048</v>
      </c>
      <c r="B254" s="314">
        <v>0</v>
      </c>
      <c r="C254" s="315">
        <v>0</v>
      </c>
      <c r="D254" s="314">
        <v>0</v>
      </c>
      <c r="E254" s="314"/>
      <c r="F254" s="314">
        <v>0</v>
      </c>
      <c r="G254" s="314"/>
      <c r="H254" s="315"/>
      <c r="I254" s="314"/>
      <c r="J254" s="327">
        <v>17.32</v>
      </c>
      <c r="K254" s="314">
        <v>30.35</v>
      </c>
      <c r="L254" s="328">
        <v>17.32</v>
      </c>
      <c r="M254" s="328">
        <v>30.35</v>
      </c>
    </row>
    <row r="255" spans="1:13" s="304" customFormat="1" x14ac:dyDescent="0.35">
      <c r="A255" s="316" t="s">
        <v>1129</v>
      </c>
      <c r="B255" s="314">
        <v>0</v>
      </c>
      <c r="C255" s="315">
        <v>0</v>
      </c>
      <c r="D255" s="314">
        <v>0</v>
      </c>
      <c r="E255" s="314"/>
      <c r="F255" s="314">
        <v>0</v>
      </c>
      <c r="G255" s="314"/>
      <c r="H255" s="315"/>
      <c r="I255" s="314"/>
      <c r="J255" s="327">
        <v>2.97</v>
      </c>
      <c r="K255" s="314">
        <v>5.4600000000000009</v>
      </c>
      <c r="L255" s="328">
        <v>2.97</v>
      </c>
      <c r="M255" s="328">
        <v>5.4600000000000009</v>
      </c>
    </row>
    <row r="256" spans="1:13" s="304" customFormat="1" x14ac:dyDescent="0.35">
      <c r="A256" s="313" t="s">
        <v>1049</v>
      </c>
      <c r="B256" s="314">
        <v>0</v>
      </c>
      <c r="C256" s="315">
        <v>0</v>
      </c>
      <c r="D256" s="314">
        <v>0</v>
      </c>
      <c r="E256" s="314"/>
      <c r="F256" s="314">
        <v>0</v>
      </c>
      <c r="G256" s="314"/>
      <c r="H256" s="315"/>
      <c r="I256" s="314"/>
      <c r="J256" s="327">
        <v>10.46</v>
      </c>
      <c r="K256" s="314">
        <v>13.01</v>
      </c>
      <c r="L256" s="328">
        <v>10.46</v>
      </c>
      <c r="M256" s="328">
        <v>13.01</v>
      </c>
    </row>
    <row r="257" spans="1:13" s="304" customFormat="1" x14ac:dyDescent="0.35">
      <c r="A257" s="313" t="s">
        <v>770</v>
      </c>
      <c r="B257" s="314">
        <v>0</v>
      </c>
      <c r="C257" s="315">
        <v>0</v>
      </c>
      <c r="D257" s="314">
        <v>16</v>
      </c>
      <c r="E257" s="314">
        <v>52</v>
      </c>
      <c r="F257" s="314"/>
      <c r="G257" s="314"/>
      <c r="H257" s="315"/>
      <c r="I257" s="314"/>
      <c r="J257" s="325">
        <v>40.270000000000003</v>
      </c>
      <c r="K257" s="316">
        <v>106.56</v>
      </c>
      <c r="L257" s="326">
        <v>56.27</v>
      </c>
      <c r="M257" s="326">
        <v>158.56</v>
      </c>
    </row>
    <row r="258" spans="1:13" s="304" customFormat="1" x14ac:dyDescent="0.35">
      <c r="A258" s="313" t="s">
        <v>1154</v>
      </c>
      <c r="B258" s="314">
        <v>0</v>
      </c>
      <c r="C258" s="315">
        <v>0</v>
      </c>
      <c r="D258" s="314">
        <v>0</v>
      </c>
      <c r="E258" s="314"/>
      <c r="F258" s="314">
        <v>0</v>
      </c>
      <c r="G258" s="314"/>
      <c r="H258" s="315"/>
      <c r="I258" s="314"/>
      <c r="J258" s="325">
        <v>0.71</v>
      </c>
      <c r="K258" s="316">
        <v>0.75</v>
      </c>
      <c r="L258" s="326">
        <v>0.71</v>
      </c>
      <c r="M258" s="326">
        <v>0.75</v>
      </c>
    </row>
    <row r="259" spans="1:13" s="304" customFormat="1" x14ac:dyDescent="0.35">
      <c r="A259" s="313" t="s">
        <v>1052</v>
      </c>
      <c r="B259" s="314">
        <v>0</v>
      </c>
      <c r="C259" s="315">
        <v>0</v>
      </c>
      <c r="D259" s="314">
        <v>0</v>
      </c>
      <c r="E259" s="314"/>
      <c r="F259" s="314">
        <v>0</v>
      </c>
      <c r="G259" s="314"/>
      <c r="H259" s="315"/>
      <c r="I259" s="314"/>
      <c r="J259" s="325">
        <v>0.08</v>
      </c>
      <c r="K259" s="316">
        <v>1.71</v>
      </c>
      <c r="L259" s="326">
        <v>0.08</v>
      </c>
      <c r="M259" s="326">
        <v>1.71</v>
      </c>
    </row>
    <row r="260" spans="1:13" s="304" customFormat="1" x14ac:dyDescent="0.35">
      <c r="A260" s="313" t="s">
        <v>683</v>
      </c>
      <c r="B260" s="314">
        <v>0</v>
      </c>
      <c r="C260" s="315">
        <v>0</v>
      </c>
      <c r="D260" s="314">
        <v>0</v>
      </c>
      <c r="E260" s="314"/>
      <c r="F260" s="312">
        <v>4.3</v>
      </c>
      <c r="G260" s="312">
        <v>4.3</v>
      </c>
      <c r="H260" s="315"/>
      <c r="I260" s="314"/>
      <c r="J260" s="329">
        <v>58.31</v>
      </c>
      <c r="K260" s="330">
        <v>0</v>
      </c>
      <c r="L260" s="326">
        <v>62.61</v>
      </c>
      <c r="M260" s="326">
        <v>4.3</v>
      </c>
    </row>
    <row r="261" spans="1:13" s="304" customFormat="1" x14ac:dyDescent="0.35">
      <c r="A261" s="318" t="s">
        <v>1199</v>
      </c>
      <c r="B261" s="319">
        <v>8181.7</v>
      </c>
      <c r="C261" s="319">
        <v>9407.6099999999988</v>
      </c>
      <c r="D261" s="319">
        <v>114.08</v>
      </c>
      <c r="E261" s="319">
        <v>138.30000000000001</v>
      </c>
      <c r="F261" s="320">
        <v>32279.769999999997</v>
      </c>
      <c r="G261" s="320">
        <v>34986.35</v>
      </c>
      <c r="H261" s="331">
        <v>4379.8550000000005</v>
      </c>
      <c r="I261" s="331">
        <v>4506.9450000000006</v>
      </c>
      <c r="J261" s="331">
        <v>12288.83</v>
      </c>
      <c r="K261" s="331">
        <v>24312.6</v>
      </c>
      <c r="L261" s="331">
        <v>57244.229999999996</v>
      </c>
      <c r="M261" s="331">
        <v>73351.805000000008</v>
      </c>
    </row>
    <row r="262" spans="1:13" s="304" customFormat="1" x14ac:dyDescent="0.35">
      <c r="A262" s="321" t="s">
        <v>1200</v>
      </c>
      <c r="B262" s="322">
        <v>14.292619535628306</v>
      </c>
      <c r="C262" s="322">
        <v>12.825328565534274</v>
      </c>
      <c r="D262" s="322">
        <v>0.19928646083631485</v>
      </c>
      <c r="E262" s="322">
        <v>0.18854341757506854</v>
      </c>
      <c r="F262" s="322">
        <v>56.389561009030956</v>
      </c>
      <c r="G262" s="322">
        <v>47.696644956453348</v>
      </c>
      <c r="H262" s="332">
        <v>7.6511728780350454</v>
      </c>
      <c r="I262" s="322">
        <v>6.1442864289433645</v>
      </c>
      <c r="J262" s="332">
        <v>21.467368850974154</v>
      </c>
      <c r="K262" s="322">
        <v>33.145196631493931</v>
      </c>
      <c r="L262" s="333">
        <v>100.00000873450477</v>
      </c>
      <c r="M262" s="333">
        <v>99.999999999999986</v>
      </c>
    </row>
    <row r="263" spans="1:13" s="304" customFormat="1" x14ac:dyDescent="0.35">
      <c r="A263" s="334" t="s">
        <v>1201</v>
      </c>
      <c r="B263" s="335"/>
      <c r="C263" s="335"/>
    </row>
    <row r="264" spans="1:13" s="304" customFormat="1" x14ac:dyDescent="0.35">
      <c r="A264" s="334" t="s">
        <v>1202</v>
      </c>
      <c r="B264" s="336"/>
      <c r="C264" s="336"/>
    </row>
    <row r="265" spans="1:13" s="304" customFormat="1" x14ac:dyDescent="0.35">
      <c r="A265" s="334" t="s">
        <v>1203</v>
      </c>
      <c r="B265" s="336"/>
      <c r="C265" s="336"/>
    </row>
    <row r="266" spans="1:13" s="304" customFormat="1" x14ac:dyDescent="0.35">
      <c r="A266" s="334" t="s">
        <v>1204</v>
      </c>
      <c r="B266" s="337"/>
      <c r="C266" s="337"/>
    </row>
    <row r="267" spans="1:13" s="304" customFormat="1" x14ac:dyDescent="0.35">
      <c r="A267" s="338" t="s">
        <v>1205</v>
      </c>
      <c r="B267" s="337"/>
      <c r="C267" s="337"/>
    </row>
    <row r="268" spans="1:13" s="304" customFormat="1" x14ac:dyDescent="0.35"/>
    <row r="269" spans="1:13" s="304" customFormat="1" x14ac:dyDescent="0.35"/>
    <row r="270" spans="1:13" s="304" customFormat="1" x14ac:dyDescent="0.35">
      <c r="A270" s="2" t="s">
        <v>249</v>
      </c>
      <c r="B270" s="2" t="s">
        <v>1208</v>
      </c>
    </row>
    <row r="271" spans="1:13" s="304" customFormat="1" x14ac:dyDescent="0.35"/>
    <row r="272" spans="1:13" s="304" customFormat="1" ht="65" x14ac:dyDescent="0.35">
      <c r="A272" s="687" t="s">
        <v>1195</v>
      </c>
      <c r="B272" s="685" t="s">
        <v>1194</v>
      </c>
      <c r="C272" s="685" t="s">
        <v>1143</v>
      </c>
      <c r="D272" s="686" t="s">
        <v>1196</v>
      </c>
      <c r="E272" s="686" t="s">
        <v>1139</v>
      </c>
      <c r="F272" s="685" t="s">
        <v>1111</v>
      </c>
      <c r="G272" s="347" t="s">
        <v>41</v>
      </c>
    </row>
    <row r="273" spans="1:8" s="304" customFormat="1" x14ac:dyDescent="0.35">
      <c r="A273" s="688"/>
      <c r="B273" s="308" t="s">
        <v>1207</v>
      </c>
      <c r="C273" s="308" t="s">
        <v>1207</v>
      </c>
      <c r="D273" s="343" t="s">
        <v>1207</v>
      </c>
      <c r="E273" s="308" t="s">
        <v>1207</v>
      </c>
      <c r="F273" s="308" t="s">
        <v>1207</v>
      </c>
      <c r="G273" s="308" t="s">
        <v>1207</v>
      </c>
      <c r="H273" s="682"/>
    </row>
    <row r="274" spans="1:8" s="304" customFormat="1" x14ac:dyDescent="0.35">
      <c r="A274" s="341" t="s">
        <v>762</v>
      </c>
      <c r="B274" s="311">
        <f>(RE!F224+2*RE!G224)/3</f>
        <v>3922.5166666666664</v>
      </c>
      <c r="C274" s="311">
        <f>(RE!J224+2*RE!K224)/3</f>
        <v>2383.5833333333335</v>
      </c>
      <c r="D274" s="311">
        <f>(RE!B224+2*RE!C224)/3</f>
        <v>444.18666666666667</v>
      </c>
      <c r="E274" s="311">
        <f>(RE!D224+2*RE!E224)/3</f>
        <v>34.826666666666661</v>
      </c>
      <c r="F274" s="311">
        <f>(RE!H224+2*RE!I224)/3</f>
        <v>188.73333333333335</v>
      </c>
      <c r="G274" s="324">
        <f t="shared" ref="G274:G310" si="3">SUM(D274+E274+B274+F274+C274)</f>
        <v>6973.8466666666664</v>
      </c>
    </row>
    <row r="275" spans="1:8" s="304" customFormat="1" x14ac:dyDescent="0.35">
      <c r="A275" s="342" t="s">
        <v>763</v>
      </c>
      <c r="B275" s="316">
        <f>(RE!F225+2*RE!G225)/3</f>
        <v>0</v>
      </c>
      <c r="C275" s="316">
        <f>(RE!J225+2*RE!K225)/3</f>
        <v>3.6816666666666671</v>
      </c>
      <c r="D275" s="316">
        <f>(RE!B225+2*RE!C225)/3</f>
        <v>0</v>
      </c>
      <c r="E275" s="316">
        <f>(RE!D225+2*RE!E225)/3</f>
        <v>0</v>
      </c>
      <c r="F275" s="316">
        <f>(RE!H225+2*RE!I225)/3</f>
        <v>106.26833333333333</v>
      </c>
      <c r="G275" s="326">
        <f t="shared" si="3"/>
        <v>109.95</v>
      </c>
    </row>
    <row r="276" spans="1:8" s="304" customFormat="1" x14ac:dyDescent="0.35">
      <c r="A276" s="342" t="s">
        <v>765</v>
      </c>
      <c r="B276" s="316">
        <f>(RE!F226+2*RE!G226)/3</f>
        <v>0</v>
      </c>
      <c r="C276" s="316">
        <f>(RE!J226+2*RE!K226)/3</f>
        <v>12.393333333333333</v>
      </c>
      <c r="D276" s="316">
        <f>(RE!B226+2*RE!C226)/3</f>
        <v>0</v>
      </c>
      <c r="E276" s="316">
        <f>(RE!D226+2*RE!E226)/3</f>
        <v>0</v>
      </c>
      <c r="F276" s="316">
        <f>(RE!H226+2*RE!I226)/3</f>
        <v>34.11</v>
      </c>
      <c r="G276" s="326">
        <f t="shared" si="3"/>
        <v>46.50333333333333</v>
      </c>
    </row>
    <row r="277" spans="1:8" s="304" customFormat="1" x14ac:dyDescent="0.35">
      <c r="A277" s="342" t="s">
        <v>766</v>
      </c>
      <c r="B277" s="316">
        <f>(RE!F227+2*RE!G227)/3</f>
        <v>0</v>
      </c>
      <c r="C277" s="316">
        <f>(RE!J227+2*RE!K227)/3</f>
        <v>131.14000000000001</v>
      </c>
      <c r="D277" s="316">
        <f>(RE!B227+2*RE!C227)/3</f>
        <v>118.46666666666665</v>
      </c>
      <c r="E277" s="316">
        <f>(RE!D227+2*RE!E227)/3</f>
        <v>0</v>
      </c>
      <c r="F277" s="316">
        <f>(RE!H227+2*RE!I227)/3</f>
        <v>70.7</v>
      </c>
      <c r="G277" s="326">
        <f t="shared" si="3"/>
        <v>320.30666666666667</v>
      </c>
    </row>
    <row r="278" spans="1:8" s="304" customFormat="1" x14ac:dyDescent="0.35">
      <c r="A278" s="342" t="s">
        <v>767</v>
      </c>
      <c r="B278" s="316">
        <f>(RE!F228+2*RE!G228)/3</f>
        <v>0</v>
      </c>
      <c r="C278" s="316">
        <f>(RE!J228+2*RE!K228)/3</f>
        <v>197.1866666666667</v>
      </c>
      <c r="D278" s="316">
        <f>(RE!B228+2*RE!C228)/3</f>
        <v>229.66666666666666</v>
      </c>
      <c r="E278" s="316">
        <f>(RE!D228+2*RE!E228)/3</f>
        <v>0</v>
      </c>
      <c r="F278" s="316">
        <f>(RE!H228+2*RE!I228)/3</f>
        <v>76</v>
      </c>
      <c r="G278" s="326">
        <f t="shared" si="3"/>
        <v>502.85333333333335</v>
      </c>
    </row>
    <row r="279" spans="1:8" s="304" customFormat="1" x14ac:dyDescent="0.35">
      <c r="A279" s="342" t="s">
        <v>772</v>
      </c>
      <c r="B279" s="316">
        <f>(RE!F229+2*RE!G229)/3</f>
        <v>0</v>
      </c>
      <c r="C279" s="316">
        <f>(RE!J229+2*RE!K229)/3</f>
        <v>0.84333333333333327</v>
      </c>
      <c r="D279" s="316">
        <f>(RE!B229+2*RE!C229)/3</f>
        <v>0</v>
      </c>
      <c r="E279" s="316">
        <f>(RE!D229+2*RE!E229)/3</f>
        <v>0</v>
      </c>
      <c r="F279" s="316">
        <f>(RE!H229+2*RE!I229)/3</f>
        <v>5.000000000000001E-2</v>
      </c>
      <c r="G279" s="326">
        <f t="shared" si="3"/>
        <v>0.89333333333333331</v>
      </c>
    </row>
    <row r="280" spans="1:8" s="304" customFormat="1" x14ac:dyDescent="0.35">
      <c r="A280" s="342" t="s">
        <v>774</v>
      </c>
      <c r="B280" s="316">
        <f>(RE!F230+2*RE!G230)/3</f>
        <v>5681.9866666666667</v>
      </c>
      <c r="C280" s="316">
        <f>(RE!J230+2*RE!K230)/3</f>
        <v>1514.823333333333</v>
      </c>
      <c r="D280" s="316">
        <f>(RE!B230+2*RE!C230)/3</f>
        <v>73.3</v>
      </c>
      <c r="E280" s="316">
        <f>(RE!D230+2*RE!E230)/3</f>
        <v>0</v>
      </c>
      <c r="F280" s="316">
        <f>(RE!H230+2*RE!I230)/3</f>
        <v>24.600000000000005</v>
      </c>
      <c r="G280" s="326">
        <f t="shared" si="3"/>
        <v>7294.71</v>
      </c>
    </row>
    <row r="281" spans="1:8" s="304" customFormat="1" x14ac:dyDescent="0.35">
      <c r="A281" s="342" t="s">
        <v>775</v>
      </c>
      <c r="B281" s="316">
        <f>(RE!F231+2*RE!G231)/3</f>
        <v>0</v>
      </c>
      <c r="C281" s="316">
        <f>(RE!J231+2*RE!K231)/3</f>
        <v>171.70000000000002</v>
      </c>
      <c r="D281" s="316">
        <f>(RE!B231+2*RE!C231)/3</f>
        <v>169.24</v>
      </c>
      <c r="E281" s="316">
        <f>(RE!D231+2*RE!E231)/3</f>
        <v>0</v>
      </c>
      <c r="F281" s="316">
        <f>(RE!H231+2*RE!I231)/3</f>
        <v>73.5</v>
      </c>
      <c r="G281" s="326">
        <f t="shared" si="3"/>
        <v>414.44000000000005</v>
      </c>
    </row>
    <row r="282" spans="1:8" s="304" customFormat="1" x14ac:dyDescent="0.35">
      <c r="A282" s="342" t="s">
        <v>778</v>
      </c>
      <c r="B282" s="316">
        <f>(RE!F232+2*RE!G232)/3</f>
        <v>0</v>
      </c>
      <c r="C282" s="316">
        <f>(RE!J232+2*RE!K232)/3</f>
        <v>2.4833333333333329</v>
      </c>
      <c r="D282" s="316">
        <f>(RE!B232+2*RE!C232)/3</f>
        <v>4.8</v>
      </c>
      <c r="E282" s="316">
        <f>(RE!D232+2*RE!E232)/3</f>
        <v>0</v>
      </c>
      <c r="F282" s="316">
        <f>(RE!H232+2*RE!I232)/3</f>
        <v>849.67666666666662</v>
      </c>
      <c r="G282" s="326">
        <f t="shared" si="3"/>
        <v>856.95999999999992</v>
      </c>
    </row>
    <row r="283" spans="1:8" s="304" customFormat="1" x14ac:dyDescent="0.35">
      <c r="A283" s="342" t="s">
        <v>1047</v>
      </c>
      <c r="B283" s="316">
        <f>(RE!F233+2*RE!G233)/3</f>
        <v>0</v>
      </c>
      <c r="C283" s="316">
        <f>(RE!J233+2*RE!K233)/3</f>
        <v>7.02</v>
      </c>
      <c r="D283" s="316">
        <f>(RE!B233+2*RE!C233)/3</f>
        <v>0</v>
      </c>
      <c r="E283" s="316">
        <f>(RE!D233+2*RE!E233)/3</f>
        <v>0</v>
      </c>
      <c r="F283" s="316">
        <f>(RE!H233+2*RE!I233)/3</f>
        <v>172.03</v>
      </c>
      <c r="G283" s="326">
        <f t="shared" si="3"/>
        <v>179.05</v>
      </c>
    </row>
    <row r="284" spans="1:8" s="304" customFormat="1" x14ac:dyDescent="0.35">
      <c r="A284" s="342" t="s">
        <v>781</v>
      </c>
      <c r="B284" s="316">
        <f>(RE!F234+2*RE!G234)/3</f>
        <v>0</v>
      </c>
      <c r="C284" s="316">
        <f>(RE!J234+2*RE!K234)/3</f>
        <v>29.136666666666667</v>
      </c>
      <c r="D284" s="316">
        <f>(RE!B234+2*RE!C234)/3</f>
        <v>2.8666666666666667</v>
      </c>
      <c r="E284" s="316">
        <f>(RE!D234+2*RE!E234)/3</f>
        <v>0</v>
      </c>
      <c r="F284" s="316">
        <f>(RE!H234+2*RE!I234)/3</f>
        <v>4.05</v>
      </c>
      <c r="G284" s="326">
        <f t="shared" si="3"/>
        <v>36.053333333333335</v>
      </c>
    </row>
    <row r="285" spans="1:8" s="304" customFormat="1" x14ac:dyDescent="0.35">
      <c r="A285" s="342" t="s">
        <v>783</v>
      </c>
      <c r="B285" s="316">
        <f>(RE!F235+2*RE!G235)/3</f>
        <v>4365.333333333333</v>
      </c>
      <c r="C285" s="316">
        <f>(RE!J235+2*RE!K235)/3</f>
        <v>3829.5466666666666</v>
      </c>
      <c r="D285" s="316">
        <f>(RE!B235+2*RE!C235)/3</f>
        <v>1683.2</v>
      </c>
      <c r="E285" s="316">
        <f>(RE!D235+2*RE!E235)/3</f>
        <v>1</v>
      </c>
      <c r="F285" s="316">
        <f>(RE!H235+2*RE!I235)/3</f>
        <v>1229.0633333333333</v>
      </c>
      <c r="G285" s="326">
        <f t="shared" si="3"/>
        <v>11108.143333333333</v>
      </c>
    </row>
    <row r="286" spans="1:8" s="304" customFormat="1" x14ac:dyDescent="0.35">
      <c r="A286" s="342" t="s">
        <v>786</v>
      </c>
      <c r="B286" s="316">
        <f>(RE!F236+2*RE!G236)/3</f>
        <v>52.166666666666664</v>
      </c>
      <c r="C286" s="316">
        <f>(RE!J236+2*RE!K236)/3</f>
        <v>117.06</v>
      </c>
      <c r="D286" s="316">
        <f>(RE!B236+2*RE!C236)/3</f>
        <v>0.48</v>
      </c>
      <c r="E286" s="316">
        <f>(RE!D236+2*RE!E236)/3</f>
        <v>0</v>
      </c>
      <c r="F286" s="316">
        <f>(RE!H236+2*RE!I236)/3</f>
        <v>219.02</v>
      </c>
      <c r="G286" s="326">
        <f t="shared" si="3"/>
        <v>388.72666666666669</v>
      </c>
    </row>
    <row r="287" spans="1:8" s="304" customFormat="1" x14ac:dyDescent="0.35">
      <c r="A287" s="342" t="s">
        <v>789</v>
      </c>
      <c r="B287" s="316">
        <f>(RE!F237+2*RE!G237)/3</f>
        <v>2512.5233333333331</v>
      </c>
      <c r="C287" s="316">
        <f>(RE!J237+2*RE!K237)/3</f>
        <v>1306.8866666666665</v>
      </c>
      <c r="D287" s="316">
        <f>(RE!B237+2*RE!C237)/3</f>
        <v>101.23333333333333</v>
      </c>
      <c r="E287" s="316">
        <f>(RE!D237+2*RE!E237)/3</f>
        <v>11.566666666666668</v>
      </c>
      <c r="F287" s="316">
        <f>(RE!H237+2*RE!I237)/3</f>
        <v>92.660000000000011</v>
      </c>
      <c r="G287" s="326">
        <f t="shared" si="3"/>
        <v>4024.87</v>
      </c>
    </row>
    <row r="288" spans="1:8" s="304" customFormat="1" x14ac:dyDescent="0.35">
      <c r="A288" s="342" t="s">
        <v>790</v>
      </c>
      <c r="B288" s="316">
        <f>(RE!F238+2*RE!G238)/3</f>
        <v>4782.53</v>
      </c>
      <c r="C288" s="316">
        <f>(RE!J238+2*RE!K238)/3</f>
        <v>1096.9099999999999</v>
      </c>
      <c r="D288" s="316">
        <f>(RE!B238+2*RE!C238)/3</f>
        <v>2145.9333333333334</v>
      </c>
      <c r="E288" s="316">
        <f>(RE!D238+2*RE!E238)/3</f>
        <v>12.633333333333333</v>
      </c>
      <c r="F288" s="316">
        <f>(RE!H238+2*RE!I238)/3</f>
        <v>364.43833333333333</v>
      </c>
      <c r="G288" s="326">
        <f t="shared" si="3"/>
        <v>8402.4449999999997</v>
      </c>
    </row>
    <row r="289" spans="1:7" s="304" customFormat="1" x14ac:dyDescent="0.35">
      <c r="A289" s="342" t="s">
        <v>791</v>
      </c>
      <c r="B289" s="316">
        <f>(RE!F239+2*RE!G239)/3</f>
        <v>0</v>
      </c>
      <c r="C289" s="316">
        <f>(RE!J239+2*RE!K239)/3</f>
        <v>1.4566666666666668</v>
      </c>
      <c r="D289" s="316">
        <f>(RE!B239+2*RE!C239)/3</f>
        <v>0</v>
      </c>
      <c r="E289" s="316">
        <f>(RE!D239+2*RE!E239)/3</f>
        <v>0</v>
      </c>
      <c r="F289" s="316">
        <f>(RE!H239+2*RE!I239)/3</f>
        <v>5.45</v>
      </c>
      <c r="G289" s="326">
        <f t="shared" si="3"/>
        <v>6.9066666666666672</v>
      </c>
    </row>
    <row r="290" spans="1:7" s="304" customFormat="1" x14ac:dyDescent="0.35">
      <c r="A290" s="342" t="s">
        <v>792</v>
      </c>
      <c r="B290" s="316">
        <f>(RE!F240+2*RE!G240)/3</f>
        <v>0</v>
      </c>
      <c r="C290" s="316">
        <f>(RE!J240+2*RE!K240)/3</f>
        <v>4.3333333333333335E-2</v>
      </c>
      <c r="D290" s="316">
        <f>(RE!B240+2*RE!C240)/3</f>
        <v>9.2000000000000011</v>
      </c>
      <c r="E290" s="316">
        <f>(RE!D240+2*RE!E240)/3</f>
        <v>0</v>
      </c>
      <c r="F290" s="316">
        <f>(RE!H240+2*RE!I240)/3</f>
        <v>31.03</v>
      </c>
      <c r="G290" s="326">
        <f t="shared" si="3"/>
        <v>40.273333333333341</v>
      </c>
    </row>
    <row r="291" spans="1:7" s="304" customFormat="1" x14ac:dyDescent="0.35">
      <c r="A291" s="342" t="s">
        <v>793</v>
      </c>
      <c r="B291" s="316">
        <f>(RE!F241+2*RE!G241)/3</f>
        <v>0</v>
      </c>
      <c r="C291" s="316">
        <f>(RE!J241+2*RE!K241)/3</f>
        <v>0.16666666666666666</v>
      </c>
      <c r="D291" s="316">
        <f>(RE!B241+2*RE!C241)/3</f>
        <v>0</v>
      </c>
      <c r="E291" s="316">
        <f>(RE!D241+2*RE!E241)/3</f>
        <v>0</v>
      </c>
      <c r="F291" s="316">
        <f>(RE!H241+2*RE!I241)/3</f>
        <v>38.136666666666663</v>
      </c>
      <c r="G291" s="326">
        <f t="shared" si="3"/>
        <v>38.303333333333327</v>
      </c>
    </row>
    <row r="292" spans="1:7" s="304" customFormat="1" x14ac:dyDescent="0.35">
      <c r="A292" s="342" t="s">
        <v>794</v>
      </c>
      <c r="B292" s="316">
        <f>(RE!F242+2*RE!G242)/3</f>
        <v>0</v>
      </c>
      <c r="C292" s="316">
        <f>(RE!J242+2*RE!K242)/3</f>
        <v>0.83333333333333337</v>
      </c>
      <c r="D292" s="316">
        <f>(RE!B242+2*RE!C242)/3</f>
        <v>0</v>
      </c>
      <c r="E292" s="316">
        <f>(RE!D242+2*RE!E242)/3</f>
        <v>0</v>
      </c>
      <c r="F292" s="316">
        <f>(RE!H242+2*RE!I242)/3</f>
        <v>30.67</v>
      </c>
      <c r="G292" s="326">
        <f t="shared" si="3"/>
        <v>31.503333333333334</v>
      </c>
    </row>
    <row r="293" spans="1:7" s="304" customFormat="1" x14ac:dyDescent="0.35">
      <c r="A293" s="342" t="s">
        <v>795</v>
      </c>
      <c r="B293" s="316">
        <f>(RE!F243+2*RE!G243)/3</f>
        <v>0</v>
      </c>
      <c r="C293" s="316">
        <f>(RE!J243+2*RE!K243)/3</f>
        <v>104.97333333333334</v>
      </c>
      <c r="D293" s="316">
        <f>(RE!B243+2*RE!C243)/3</f>
        <v>56.28</v>
      </c>
      <c r="E293" s="316">
        <f>(RE!D243+2*RE!E243)/3</f>
        <v>0</v>
      </c>
      <c r="F293" s="316">
        <f>(RE!H243+2*RE!I243)/3</f>
        <v>64.625</v>
      </c>
      <c r="G293" s="326">
        <f t="shared" si="3"/>
        <v>225.87833333333333</v>
      </c>
    </row>
    <row r="294" spans="1:7" s="304" customFormat="1" x14ac:dyDescent="0.35">
      <c r="A294" s="342" t="s">
        <v>798</v>
      </c>
      <c r="B294" s="316">
        <f>(RE!F244+2*RE!G244)/3</f>
        <v>0</v>
      </c>
      <c r="C294" s="316">
        <f>(RE!J244+2*RE!K244)/3</f>
        <v>868.39666666666665</v>
      </c>
      <c r="D294" s="316">
        <f>(RE!B244+2*RE!C244)/3</f>
        <v>271.06666666666666</v>
      </c>
      <c r="E294" s="316">
        <f>(RE!D244+2*RE!E244)/3</f>
        <v>9.25</v>
      </c>
      <c r="F294" s="316">
        <f>(RE!H244+2*RE!I244)/3</f>
        <v>172.66666666666666</v>
      </c>
      <c r="G294" s="326">
        <f t="shared" si="3"/>
        <v>1321.38</v>
      </c>
    </row>
    <row r="295" spans="1:7" s="304" customFormat="1" x14ac:dyDescent="0.35">
      <c r="A295" s="342" t="s">
        <v>800</v>
      </c>
      <c r="B295" s="316">
        <f>(RE!F245+2*RE!G245)/3</f>
        <v>4293.72</v>
      </c>
      <c r="C295" s="316">
        <f>(RE!J245+2*RE!K245)/3</f>
        <v>2657.6366666666668</v>
      </c>
      <c r="D295" s="316">
        <f>(RE!B245+2*RE!C245)/3</f>
        <v>120.63333333333333</v>
      </c>
      <c r="E295" s="316">
        <f>(RE!D245+2*RE!E245)/3</f>
        <v>0</v>
      </c>
      <c r="F295" s="316">
        <f>(RE!H245+2*RE!I245)/3</f>
        <v>23.850000000000005</v>
      </c>
      <c r="G295" s="326">
        <f t="shared" si="3"/>
        <v>7095.84</v>
      </c>
    </row>
    <row r="296" spans="1:7" s="304" customFormat="1" x14ac:dyDescent="0.35">
      <c r="A296" s="342" t="s">
        <v>801</v>
      </c>
      <c r="B296" s="316">
        <f>(RE!F246+2*RE!G246)/3</f>
        <v>0</v>
      </c>
      <c r="C296" s="316">
        <f>(RE!J246+2*RE!K246)/3</f>
        <v>6.6666666666666671E-3</v>
      </c>
      <c r="D296" s="316">
        <f>(RE!B246+2*RE!C246)/3</f>
        <v>0</v>
      </c>
      <c r="E296" s="316">
        <f>(RE!D246+2*RE!E246)/3</f>
        <v>0</v>
      </c>
      <c r="F296" s="316">
        <f>(RE!H246+2*RE!I246)/3</f>
        <v>52.109999999999992</v>
      </c>
      <c r="G296" s="326">
        <f t="shared" si="3"/>
        <v>52.11666666666666</v>
      </c>
    </row>
    <row r="297" spans="1:7" s="304" customFormat="1" x14ac:dyDescent="0.35">
      <c r="A297" s="342" t="s">
        <v>802</v>
      </c>
      <c r="B297" s="316">
        <f>(RE!F247+2*RE!G247)/3</f>
        <v>8350.08</v>
      </c>
      <c r="C297" s="316">
        <f>(RE!J247+2*RE!K247)/3</f>
        <v>2044.5766666666666</v>
      </c>
      <c r="D297" s="316">
        <f>(RE!B247+2*RE!C247)/3</f>
        <v>929.0333333333333</v>
      </c>
      <c r="E297" s="316">
        <f>(RE!D247+2*RE!E247)/3</f>
        <v>6.95</v>
      </c>
      <c r="F297" s="316">
        <f>(RE!H247+2*RE!I247)/3</f>
        <v>123.05</v>
      </c>
      <c r="G297" s="326">
        <f t="shared" si="3"/>
        <v>11453.689999999999</v>
      </c>
    </row>
    <row r="298" spans="1:7" s="304" customFormat="1" x14ac:dyDescent="0.35">
      <c r="A298" s="342" t="s">
        <v>803</v>
      </c>
      <c r="B298" s="316">
        <f>(RE!F248+2*RE!G248)/3</f>
        <v>119</v>
      </c>
      <c r="C298" s="316">
        <f>(RE!J248+2*RE!K248)/3</f>
        <v>2699.08</v>
      </c>
      <c r="D298" s="316">
        <f>(RE!B248+2*RE!C248)/3</f>
        <v>158.76666666666665</v>
      </c>
      <c r="E298" s="316">
        <f>(RE!D248+2*RE!E248)/3</f>
        <v>12.333333333333334</v>
      </c>
      <c r="F298" s="316">
        <f>(RE!H248+2*RE!I248)/3</f>
        <v>60.580000000000005</v>
      </c>
      <c r="G298" s="326">
        <f t="shared" si="3"/>
        <v>3049.7599999999998</v>
      </c>
    </row>
    <row r="299" spans="1:7" s="304" customFormat="1" x14ac:dyDescent="0.35">
      <c r="A299" s="342" t="s">
        <v>804</v>
      </c>
      <c r="B299" s="316">
        <f>(RE!F249+2*RE!G249)/3</f>
        <v>0</v>
      </c>
      <c r="C299" s="316">
        <f>(RE!J249+2*RE!K249)/3</f>
        <v>5.09</v>
      </c>
      <c r="D299" s="316">
        <f>(RE!B249+2*RE!C249)/3</f>
        <v>0</v>
      </c>
      <c r="E299" s="316">
        <f>(RE!D249+2*RE!E249)/3</f>
        <v>0</v>
      </c>
      <c r="F299" s="316">
        <f>(RE!H249+2*RE!I249)/3</f>
        <v>16.010000000000002</v>
      </c>
      <c r="G299" s="326">
        <f t="shared" si="3"/>
        <v>21.1</v>
      </c>
    </row>
    <row r="300" spans="1:7" s="304" customFormat="1" x14ac:dyDescent="0.35">
      <c r="A300" s="342" t="s">
        <v>805</v>
      </c>
      <c r="B300" s="316">
        <f>(RE!F250+2*RE!G250)/3</f>
        <v>0</v>
      </c>
      <c r="C300" s="316">
        <f>(RE!J250+2*RE!K250)/3</f>
        <v>649.01</v>
      </c>
      <c r="D300" s="316">
        <f>(RE!B250+2*RE!C250)/3</f>
        <v>2056.0066666666667</v>
      </c>
      <c r="E300" s="316">
        <f>(RE!D250+2*RE!E250)/3</f>
        <v>1.6666666666666667</v>
      </c>
      <c r="F300" s="316">
        <f>(RE!H250+2*RE!I250)/3</f>
        <v>25.100000000000005</v>
      </c>
      <c r="G300" s="326">
        <f t="shared" si="3"/>
        <v>2731.7833333333328</v>
      </c>
    </row>
    <row r="301" spans="1:7" s="304" customFormat="1" x14ac:dyDescent="0.35">
      <c r="A301" s="342" t="s">
        <v>806</v>
      </c>
      <c r="B301" s="316">
        <f>(RE!F251+2*RE!G251)/3</f>
        <v>0</v>
      </c>
      <c r="C301" s="316">
        <f>(RE!J251+2*RE!K251)/3</f>
        <v>279.82333333333332</v>
      </c>
      <c r="D301" s="316">
        <f>(RE!B251+2*RE!C251)/3</f>
        <v>111.33333333333333</v>
      </c>
      <c r="E301" s="316">
        <f>(RE!D251+2*RE!E251)/3</f>
        <v>0</v>
      </c>
      <c r="F301" s="316">
        <f>(RE!H251+2*RE!I251)/3</f>
        <v>212.65333333333334</v>
      </c>
      <c r="G301" s="326">
        <f t="shared" si="3"/>
        <v>603.80999999999995</v>
      </c>
    </row>
    <row r="302" spans="1:7" s="304" customFormat="1" x14ac:dyDescent="0.35">
      <c r="A302" s="342" t="s">
        <v>808</v>
      </c>
      <c r="B302" s="316">
        <f>(RE!F252+2*RE!G252)/3</f>
        <v>0</v>
      </c>
      <c r="C302" s="316">
        <f>(RE!J252+2*RE!K252)/3</f>
        <v>34.026666666666664</v>
      </c>
      <c r="D302" s="316">
        <f>(RE!B252+2*RE!C252)/3</f>
        <v>313.28000000000003</v>
      </c>
      <c r="E302" s="316">
        <f>(RE!D252+2*RE!E252)/3</f>
        <v>0</v>
      </c>
      <c r="F302" s="316">
        <f>(RE!H252+2*RE!I252)/3</f>
        <v>98.5</v>
      </c>
      <c r="G302" s="326">
        <f t="shared" si="3"/>
        <v>445.80666666666667</v>
      </c>
    </row>
    <row r="303" spans="1:7" s="304" customFormat="1" x14ac:dyDescent="0.35">
      <c r="A303" s="342" t="s">
        <v>1130</v>
      </c>
      <c r="B303" s="316">
        <f>(RE!F253+2*RE!G253)/3</f>
        <v>0</v>
      </c>
      <c r="C303" s="316">
        <f>(RE!J253+2*RE!K253)/3</f>
        <v>6.56</v>
      </c>
      <c r="D303" s="316">
        <f>(RE!B253+2*RE!C253)/3</f>
        <v>0</v>
      </c>
      <c r="E303" s="316">
        <f>(RE!D253+2*RE!E253)/3</f>
        <v>0</v>
      </c>
      <c r="F303" s="316">
        <f>(RE!H253+2*RE!I253)/3</f>
        <v>5.25</v>
      </c>
      <c r="G303" s="326">
        <f t="shared" si="3"/>
        <v>11.809999999999999</v>
      </c>
    </row>
    <row r="304" spans="1:7" s="304" customFormat="1" x14ac:dyDescent="0.35">
      <c r="A304" s="342" t="s">
        <v>1048</v>
      </c>
      <c r="B304" s="316">
        <f>(RE!F254+2*RE!G254)/3</f>
        <v>0</v>
      </c>
      <c r="C304" s="316">
        <f>(RE!J254+2*RE!K254)/3</f>
        <v>26.006666666666671</v>
      </c>
      <c r="D304" s="316">
        <f>(RE!B254+2*RE!C254)/3</f>
        <v>0</v>
      </c>
      <c r="E304" s="316">
        <f>(RE!D254+2*RE!E254)/3</f>
        <v>0</v>
      </c>
      <c r="F304" s="316">
        <f>(RE!H254+2*RE!I254)/3</f>
        <v>0</v>
      </c>
      <c r="G304" s="328">
        <f t="shared" si="3"/>
        <v>26.006666666666671</v>
      </c>
    </row>
    <row r="305" spans="1:7" s="304" customFormat="1" x14ac:dyDescent="0.35">
      <c r="A305" s="325" t="s">
        <v>1129</v>
      </c>
      <c r="B305" s="316">
        <f>(RE!F255+2*RE!G255)/3</f>
        <v>0</v>
      </c>
      <c r="C305" s="316">
        <f>(RE!J255+2*RE!K255)/3</f>
        <v>4.6300000000000008</v>
      </c>
      <c r="D305" s="316">
        <f>(RE!B255+2*RE!C255)/3</f>
        <v>0</v>
      </c>
      <c r="E305" s="316">
        <f>(RE!D255+2*RE!E255)/3</f>
        <v>0</v>
      </c>
      <c r="F305" s="316">
        <f>(RE!H255+2*RE!I255)/3</f>
        <v>0</v>
      </c>
      <c r="G305" s="328">
        <f t="shared" si="3"/>
        <v>4.6300000000000008</v>
      </c>
    </row>
    <row r="306" spans="1:7" s="304" customFormat="1" x14ac:dyDescent="0.35">
      <c r="A306" s="342" t="s">
        <v>1049</v>
      </c>
      <c r="B306" s="316">
        <f>(RE!F256+2*RE!G256)/3</f>
        <v>0</v>
      </c>
      <c r="C306" s="316">
        <f>(RE!J256+2*RE!K256)/3</f>
        <v>12.160000000000002</v>
      </c>
      <c r="D306" s="316">
        <f>(RE!B256+2*RE!C256)/3</f>
        <v>0</v>
      </c>
      <c r="E306" s="316">
        <f>(RE!D256+2*RE!E256)/3</f>
        <v>0</v>
      </c>
      <c r="F306" s="316">
        <f>(RE!H256+2*RE!I256)/3</f>
        <v>0</v>
      </c>
      <c r="G306" s="328">
        <f t="shared" si="3"/>
        <v>12.160000000000002</v>
      </c>
    </row>
    <row r="307" spans="1:7" s="304" customFormat="1" x14ac:dyDescent="0.35">
      <c r="A307" s="342" t="s">
        <v>770</v>
      </c>
      <c r="B307" s="316">
        <f>(RE!F257+2*RE!G257)/3</f>
        <v>0</v>
      </c>
      <c r="C307" s="316">
        <f>(RE!J257+2*RE!K257)/3</f>
        <v>84.463333333333338</v>
      </c>
      <c r="D307" s="316">
        <f>(RE!B257+2*RE!C257)/3</f>
        <v>0</v>
      </c>
      <c r="E307" s="316">
        <f>(RE!D257+2*RE!E257)/3</f>
        <v>40</v>
      </c>
      <c r="F307" s="316">
        <f>(RE!H257+2*RE!I257)/3</f>
        <v>0</v>
      </c>
      <c r="G307" s="326">
        <f t="shared" si="3"/>
        <v>124.46333333333334</v>
      </c>
    </row>
    <row r="308" spans="1:7" s="304" customFormat="1" x14ac:dyDescent="0.35">
      <c r="A308" s="342" t="s">
        <v>1154</v>
      </c>
      <c r="B308" s="316">
        <f>(RE!F258+2*RE!G258)/3</f>
        <v>0</v>
      </c>
      <c r="C308" s="316">
        <f>(RE!J258+2*RE!K258)/3</f>
        <v>0.73666666666666669</v>
      </c>
      <c r="D308" s="316">
        <f>(RE!B258+2*RE!C258)/3</f>
        <v>0</v>
      </c>
      <c r="E308" s="316">
        <f>(RE!D258+2*RE!E258)/3</f>
        <v>0</v>
      </c>
      <c r="F308" s="316">
        <f>(RE!H258+2*RE!I258)/3</f>
        <v>0</v>
      </c>
      <c r="G308" s="326">
        <f t="shared" si="3"/>
        <v>0.73666666666666669</v>
      </c>
    </row>
    <row r="309" spans="1:7" s="304" customFormat="1" x14ac:dyDescent="0.35">
      <c r="A309" s="342" t="s">
        <v>1052</v>
      </c>
      <c r="B309" s="316">
        <f>(RE!F259+2*RE!G259)/3</f>
        <v>0</v>
      </c>
      <c r="C309" s="316">
        <f>(RE!J259+2*RE!K259)/3</f>
        <v>1.1666666666666667</v>
      </c>
      <c r="D309" s="316">
        <f>(RE!B259+2*RE!C259)/3</f>
        <v>0</v>
      </c>
      <c r="E309" s="316">
        <f>(RE!D259+2*RE!E259)/3</f>
        <v>0</v>
      </c>
      <c r="F309" s="316">
        <f>(RE!H259+2*RE!I259)/3</f>
        <v>0</v>
      </c>
      <c r="G309" s="326">
        <f t="shared" si="3"/>
        <v>1.1666666666666667</v>
      </c>
    </row>
    <row r="310" spans="1:7" s="304" customFormat="1" x14ac:dyDescent="0.35">
      <c r="A310" s="342" t="s">
        <v>683</v>
      </c>
      <c r="B310" s="330">
        <f>(RE!F260+2*RE!G260)/3</f>
        <v>4.3</v>
      </c>
      <c r="C310" s="330">
        <f>(RE!J260+2*RE!K260)/3</f>
        <v>19.436666666666667</v>
      </c>
      <c r="D310" s="330">
        <f>(RE!B260+2*RE!C260)/3</f>
        <v>0</v>
      </c>
      <c r="E310" s="330">
        <f>(RE!D260+2*RE!E260)/3</f>
        <v>0</v>
      </c>
      <c r="F310" s="330">
        <f>(RE!H260+2*RE!I260)/3</f>
        <v>0</v>
      </c>
      <c r="G310" s="326">
        <f t="shared" si="3"/>
        <v>23.736666666666668</v>
      </c>
    </row>
    <row r="311" spans="1:7" s="304" customFormat="1" x14ac:dyDescent="0.35">
      <c r="A311" s="318" t="s">
        <v>1199</v>
      </c>
      <c r="B311" s="344">
        <f t="shared" ref="B311:G311" si="4">SUM(B274:B310)</f>
        <v>34084.156666666669</v>
      </c>
      <c r="C311" s="344">
        <f t="shared" si="4"/>
        <v>20304.67500000001</v>
      </c>
      <c r="D311" s="344">
        <f t="shared" si="4"/>
        <v>8998.9733333333334</v>
      </c>
      <c r="E311" s="344">
        <f t="shared" si="4"/>
        <v>130.22666666666669</v>
      </c>
      <c r="F311" s="344">
        <f t="shared" si="4"/>
        <v>4464.5816666666678</v>
      </c>
      <c r="G311" s="344">
        <f t="shared" si="4"/>
        <v>67982.613333333356</v>
      </c>
    </row>
    <row r="312" spans="1:7" s="304" customFormat="1" x14ac:dyDescent="0.35">
      <c r="A312" s="321" t="s">
        <v>1200</v>
      </c>
      <c r="B312" s="346">
        <f t="shared" ref="B312:G312" si="5">B311/$G$311</f>
        <v>0.50136579039032714</v>
      </c>
      <c r="C312" s="346">
        <f t="shared" si="5"/>
        <v>0.29867452874225103</v>
      </c>
      <c r="D312" s="346">
        <f t="shared" si="5"/>
        <v>0.13237168876120478</v>
      </c>
      <c r="E312" s="346">
        <f t="shared" si="5"/>
        <v>1.9155878287311105E-3</v>
      </c>
      <c r="F312" s="346">
        <f t="shared" si="5"/>
        <v>6.5672404277485844E-2</v>
      </c>
      <c r="G312" s="345">
        <f t="shared" si="5"/>
        <v>1</v>
      </c>
    </row>
  </sheetData>
  <mergeCells count="15">
    <mergeCell ref="L173:L174"/>
    <mergeCell ref="E173:H173"/>
    <mergeCell ref="I173:K173"/>
    <mergeCell ref="L221:M222"/>
    <mergeCell ref="K220:L220"/>
    <mergeCell ref="B221:E221"/>
    <mergeCell ref="F221:G222"/>
    <mergeCell ref="A214:L214"/>
    <mergeCell ref="A222:A223"/>
    <mergeCell ref="B222:C222"/>
    <mergeCell ref="D222:E222"/>
    <mergeCell ref="H221:I222"/>
    <mergeCell ref="J221:K222"/>
    <mergeCell ref="C173:C174"/>
    <mergeCell ref="D173:D174"/>
  </mergeCells>
  <hyperlinks>
    <hyperlink ref="B6" r:id="rId1" display="State wise installed capacity of grid Interactive Renewable power as on(Posted on 31.03.2019) "/>
    <hyperlink ref="B170" r:id="rId2" display="https://mnre.gov.in/sites/default/files/uploads/State wise installed Capacity as on 31.05.2019.xlsx"/>
  </hyperlinks>
  <pageMargins left="0.7" right="0.7" top="0.75" bottom="0.75" header="0.3" footer="0.3"/>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S75"/>
  <sheetViews>
    <sheetView workbookViewId="0"/>
  </sheetViews>
  <sheetFormatPr defaultRowHeight="14.5" x14ac:dyDescent="0.35"/>
  <cols>
    <col min="1" max="1" width="30.26953125" bestFit="1" customWidth="1"/>
    <col min="2" max="2" width="10.7265625" bestFit="1" customWidth="1"/>
    <col min="3" max="3" width="13.26953125" customWidth="1"/>
    <col min="4" max="5" width="12" bestFit="1" customWidth="1"/>
    <col min="6" max="6" width="8.54296875" customWidth="1"/>
    <col min="7" max="7" width="12" bestFit="1" customWidth="1"/>
    <col min="8" max="11" width="12" customWidth="1"/>
    <col min="15" max="15" width="11.7265625" bestFit="1" customWidth="1"/>
  </cols>
  <sheetData>
    <row r="2" spans="1:8" ht="29" x14ac:dyDescent="0.35">
      <c r="A2" s="18" t="s">
        <v>157</v>
      </c>
      <c r="B2" s="18" t="s">
        <v>180</v>
      </c>
      <c r="C2" s="18" t="s">
        <v>146</v>
      </c>
      <c r="D2" s="18" t="s">
        <v>703</v>
      </c>
      <c r="E2" s="18" t="s">
        <v>738</v>
      </c>
      <c r="F2" s="18" t="s">
        <v>737</v>
      </c>
      <c r="G2" s="18" t="s">
        <v>182</v>
      </c>
      <c r="H2" s="18" t="s">
        <v>142</v>
      </c>
    </row>
    <row r="3" spans="1:8" x14ac:dyDescent="0.35">
      <c r="A3" s="3" t="s">
        <v>143</v>
      </c>
      <c r="B3" s="3" t="s">
        <v>739</v>
      </c>
      <c r="C3" s="143">
        <f>SUMIF($K$24:$K$74,$A3,I$24:I$74)</f>
        <v>7013.7154583914771</v>
      </c>
      <c r="D3" s="143">
        <f>SUMIF($K$24:$K$74,$A3,B$24:B$74)/10^6</f>
        <v>37806.544970000003</v>
      </c>
      <c r="E3" s="143">
        <f>SUMIF($K$24:$K$74,$A3,C$24:C$74)/10^7</f>
        <v>6220.3779506999999</v>
      </c>
      <c r="F3" s="143">
        <f>SUMIF($K$24:$K$74,$A3,D$24:D$74)/10^7</f>
        <v>8708.0454788000006</v>
      </c>
      <c r="G3" s="143">
        <f>E3/C3*10^7/10^3</f>
        <v>8868.8769705615905</v>
      </c>
      <c r="H3" s="11">
        <f>F3/D3*10</f>
        <v>2.303316921900679</v>
      </c>
    </row>
    <row r="4" spans="1:8" x14ac:dyDescent="0.35">
      <c r="A4" s="3" t="s">
        <v>144</v>
      </c>
      <c r="B4" s="3" t="s">
        <v>739</v>
      </c>
      <c r="C4" s="143">
        <f>SUMIF($K$24:$K$74,$A4,I$24:I$74)</f>
        <v>1881.3300000000002</v>
      </c>
      <c r="D4" s="143">
        <f>SUMIF($K$24:$K$74,$A4,B$24:B$74)/10^6</f>
        <v>10372.682043000001</v>
      </c>
      <c r="E4" s="143">
        <f>SUMIF($K$24:$K$74,$A4,C$24:C$74)/10^7</f>
        <v>2208.7431111000001</v>
      </c>
      <c r="F4" s="143">
        <f>SUMIF($K$24:$K$74,$A4,D$24:D$74)/10^7</f>
        <v>2426.2604725000001</v>
      </c>
      <c r="G4" s="143">
        <f t="shared" ref="G4:G9" si="0">E4/C4*10^7/10^3</f>
        <v>11740.327912168517</v>
      </c>
      <c r="H4" s="11">
        <f t="shared" ref="H4:H14" si="1">F4/D4*10</f>
        <v>2.3390869038903594</v>
      </c>
    </row>
    <row r="5" spans="1:8" x14ac:dyDescent="0.35">
      <c r="A5" s="3" t="s">
        <v>1612</v>
      </c>
      <c r="B5" s="3" t="s">
        <v>739</v>
      </c>
      <c r="C5" s="143">
        <f>SUM(C3:C4)</f>
        <v>8895.045458391478</v>
      </c>
      <c r="D5" s="143">
        <f>SUM(D3:D4)</f>
        <v>48179.227013000003</v>
      </c>
      <c r="E5" s="143">
        <f>SUM(E3:E4)</f>
        <v>8429.1210618000005</v>
      </c>
      <c r="F5" s="143">
        <f>SUM(F3:F4)</f>
        <v>11134.305951300001</v>
      </c>
      <c r="G5" s="143">
        <f t="shared" si="0"/>
        <v>9476.1978465754437</v>
      </c>
      <c r="H5" s="11">
        <f t="shared" si="1"/>
        <v>2.311017972184501</v>
      </c>
    </row>
    <row r="6" spans="1:8" x14ac:dyDescent="0.35">
      <c r="A6" s="3" t="s">
        <v>1613</v>
      </c>
      <c r="B6" s="3" t="s">
        <v>739</v>
      </c>
      <c r="C6" s="143">
        <f t="shared" ref="C6:C14" si="2">SUMIF($K$24:$K$74,$A6,I$24:I$74)</f>
        <v>24.48</v>
      </c>
      <c r="D6" s="143">
        <f t="shared" ref="D6:D14" si="3">SUMIF($K$24:$K$74,$A6,B$24:B$74)/10^6</f>
        <v>58.17</v>
      </c>
      <c r="E6" s="143">
        <f t="shared" ref="E6:E14" si="4">SUMIF($K$24:$K$74,$A6,C$24:C$74)/10^7</f>
        <v>3.57</v>
      </c>
      <c r="F6" s="143">
        <f t="shared" ref="F6:F14" si="5">SUMIF($K$24:$K$74,$A6,D$24:D$74)/10^7</f>
        <v>12.48</v>
      </c>
      <c r="G6" s="143">
        <f t="shared" si="0"/>
        <v>1458.3333333333333</v>
      </c>
      <c r="H6" s="11">
        <f t="shared" si="1"/>
        <v>2.1454357916451778</v>
      </c>
    </row>
    <row r="7" spans="1:8" x14ac:dyDescent="0.35">
      <c r="A7" s="3" t="s">
        <v>1614</v>
      </c>
      <c r="B7" s="3" t="s">
        <v>739</v>
      </c>
      <c r="C7" s="143">
        <f t="shared" si="2"/>
        <v>0</v>
      </c>
      <c r="D7" s="143">
        <f t="shared" si="3"/>
        <v>0</v>
      </c>
      <c r="E7" s="143">
        <f t="shared" si="4"/>
        <v>0</v>
      </c>
      <c r="F7" s="143">
        <f t="shared" si="5"/>
        <v>0</v>
      </c>
      <c r="G7" s="143">
        <v>0</v>
      </c>
      <c r="H7" s="11">
        <v>0</v>
      </c>
    </row>
    <row r="8" spans="1:8" x14ac:dyDescent="0.35">
      <c r="A8" s="3" t="s">
        <v>1615</v>
      </c>
      <c r="B8" s="3" t="s">
        <v>739</v>
      </c>
      <c r="C8" s="143">
        <f t="shared" si="2"/>
        <v>217.77199999999999</v>
      </c>
      <c r="D8" s="143">
        <f t="shared" si="3"/>
        <v>1450.84863</v>
      </c>
      <c r="E8" s="143">
        <f t="shared" si="4"/>
        <v>0</v>
      </c>
      <c r="F8" s="143">
        <f t="shared" si="5"/>
        <v>523.39887880000003</v>
      </c>
      <c r="G8" s="143">
        <f t="shared" si="0"/>
        <v>0</v>
      </c>
      <c r="H8" s="11">
        <f t="shared" si="1"/>
        <v>3.6075360859664594</v>
      </c>
    </row>
    <row r="9" spans="1:8" x14ac:dyDescent="0.35">
      <c r="A9" s="3" t="s">
        <v>1604</v>
      </c>
      <c r="B9" s="3" t="s">
        <v>739</v>
      </c>
      <c r="C9" s="143">
        <f t="shared" si="2"/>
        <v>2401.0699999999997</v>
      </c>
      <c r="D9" s="143">
        <f t="shared" si="3"/>
        <v>2482.6747199999995</v>
      </c>
      <c r="E9" s="143">
        <f t="shared" si="4"/>
        <v>1045.2166913999999</v>
      </c>
      <c r="F9" s="143">
        <f t="shared" si="5"/>
        <v>0</v>
      </c>
      <c r="G9" s="143">
        <f t="shared" si="0"/>
        <v>4353.1287775866595</v>
      </c>
      <c r="H9" s="11">
        <f t="shared" si="1"/>
        <v>0</v>
      </c>
    </row>
    <row r="10" spans="1:8" x14ac:dyDescent="0.35">
      <c r="A10" s="3" t="s">
        <v>1603</v>
      </c>
      <c r="B10" s="3" t="s">
        <v>739</v>
      </c>
      <c r="C10" s="143">
        <f t="shared" si="2"/>
        <v>90.87</v>
      </c>
      <c r="D10" s="143">
        <f t="shared" si="3"/>
        <v>5.98</v>
      </c>
      <c r="E10" s="143">
        <f t="shared" si="4"/>
        <v>1.66</v>
      </c>
      <c r="F10" s="143">
        <f t="shared" si="5"/>
        <v>0</v>
      </c>
      <c r="G10" s="143">
        <f>E10/C10*10^7/10^3</f>
        <v>182.6785517772642</v>
      </c>
      <c r="H10" s="11">
        <f>F10/D10*10</f>
        <v>0</v>
      </c>
    </row>
    <row r="11" spans="1:8" x14ac:dyDescent="0.35">
      <c r="A11" s="3" t="s">
        <v>1605</v>
      </c>
      <c r="B11" s="3" t="s">
        <v>739</v>
      </c>
      <c r="C11" s="143">
        <f t="shared" si="2"/>
        <v>177.6</v>
      </c>
      <c r="D11" s="143">
        <f t="shared" si="3"/>
        <v>393.42</v>
      </c>
      <c r="E11" s="143">
        <f t="shared" si="4"/>
        <v>36.03</v>
      </c>
      <c r="F11" s="143">
        <f t="shared" si="5"/>
        <v>202</v>
      </c>
      <c r="G11" s="143">
        <f>E11/C11*10^7/10^3</f>
        <v>2028.7162162162165</v>
      </c>
      <c r="H11" s="11">
        <f>F11/D11*10</f>
        <v>5.1344618982258137</v>
      </c>
    </row>
    <row r="12" spans="1:8" x14ac:dyDescent="0.35">
      <c r="A12" s="3" t="s">
        <v>1636</v>
      </c>
      <c r="B12" s="3" t="s">
        <v>739</v>
      </c>
      <c r="C12" s="143">
        <f t="shared" si="2"/>
        <v>3592.09</v>
      </c>
      <c r="D12" s="143">
        <f t="shared" si="3"/>
        <v>5469.03</v>
      </c>
      <c r="E12" s="143">
        <f t="shared" si="4"/>
        <v>0</v>
      </c>
      <c r="F12" s="143">
        <f t="shared" si="5"/>
        <v>2576.36</v>
      </c>
      <c r="G12" s="143"/>
      <c r="H12" s="11">
        <f t="shared" si="1"/>
        <v>4.7108170918791821</v>
      </c>
    </row>
    <row r="13" spans="1:8" x14ac:dyDescent="0.35">
      <c r="A13" s="3" t="s">
        <v>145</v>
      </c>
      <c r="B13" s="3" t="s">
        <v>739</v>
      </c>
      <c r="C13" s="143">
        <f t="shared" si="2"/>
        <v>0</v>
      </c>
      <c r="D13" s="143">
        <f t="shared" si="3"/>
        <v>0</v>
      </c>
      <c r="E13" s="143">
        <f t="shared" si="4"/>
        <v>0</v>
      </c>
      <c r="F13" s="143">
        <f t="shared" si="5"/>
        <v>0</v>
      </c>
      <c r="G13" s="143">
        <v>0</v>
      </c>
      <c r="H13" s="11">
        <v>0</v>
      </c>
    </row>
    <row r="14" spans="1:8" x14ac:dyDescent="0.35">
      <c r="A14" s="3" t="s">
        <v>1606</v>
      </c>
      <c r="B14" s="3" t="s">
        <v>739</v>
      </c>
      <c r="C14" s="143">
        <f t="shared" si="2"/>
        <v>128.1</v>
      </c>
      <c r="D14" s="143">
        <f t="shared" si="3"/>
        <v>184.35</v>
      </c>
      <c r="E14" s="143">
        <f t="shared" si="4"/>
        <v>0</v>
      </c>
      <c r="F14" s="143">
        <f t="shared" si="5"/>
        <v>86.65</v>
      </c>
      <c r="G14" s="143">
        <f>E14/C14*10^7/10^3</f>
        <v>0</v>
      </c>
      <c r="H14" s="11">
        <f t="shared" si="1"/>
        <v>4.7002983455383784</v>
      </c>
    </row>
    <row r="16" spans="1:8" x14ac:dyDescent="0.35">
      <c r="A16" s="1" t="s">
        <v>49</v>
      </c>
    </row>
    <row r="17" spans="1:19" x14ac:dyDescent="0.35">
      <c r="A17" s="2" t="s">
        <v>50</v>
      </c>
      <c r="B17" s="2" t="s">
        <v>183</v>
      </c>
    </row>
    <row r="18" spans="1:19" x14ac:dyDescent="0.35">
      <c r="A18" s="2" t="s">
        <v>47</v>
      </c>
      <c r="B18" s="2" t="s">
        <v>184</v>
      </c>
    </row>
    <row r="19" spans="1:19" s="263" customFormat="1" x14ac:dyDescent="0.35">
      <c r="A19" s="2" t="s">
        <v>1167</v>
      </c>
      <c r="B19" s="2" t="s">
        <v>1168</v>
      </c>
    </row>
    <row r="20" spans="1:19" s="263" customFormat="1" x14ac:dyDescent="0.35">
      <c r="A20" s="2" t="s">
        <v>1172</v>
      </c>
      <c r="B20" s="2" t="s">
        <v>1173</v>
      </c>
    </row>
    <row r="21" spans="1:19" x14ac:dyDescent="0.35">
      <c r="A21" s="2" t="s">
        <v>140</v>
      </c>
      <c r="B21" s="2" t="s">
        <v>48</v>
      </c>
    </row>
    <row r="23" spans="1:19" ht="29" x14ac:dyDescent="0.35">
      <c r="A23" s="10" t="s">
        <v>33</v>
      </c>
      <c r="B23" s="10" t="s">
        <v>0</v>
      </c>
      <c r="C23" s="10" t="s">
        <v>150</v>
      </c>
      <c r="D23" s="10" t="s">
        <v>148</v>
      </c>
      <c r="E23" s="10" t="s">
        <v>149</v>
      </c>
      <c r="F23" s="9"/>
      <c r="G23" s="13" t="s">
        <v>146</v>
      </c>
      <c r="H23" s="13" t="s">
        <v>172</v>
      </c>
      <c r="I23" s="13" t="s">
        <v>173</v>
      </c>
      <c r="J23" s="13" t="s">
        <v>174</v>
      </c>
      <c r="K23" s="13" t="s">
        <v>140</v>
      </c>
      <c r="L23" s="13" t="s">
        <v>182</v>
      </c>
      <c r="M23" s="13" t="s">
        <v>141</v>
      </c>
      <c r="N23" s="13" t="s">
        <v>142</v>
      </c>
      <c r="O23" s="13" t="s">
        <v>147</v>
      </c>
      <c r="P23" s="30"/>
      <c r="Q23" s="19"/>
      <c r="R23" s="19"/>
      <c r="S23" s="19"/>
    </row>
    <row r="24" spans="1:19" x14ac:dyDescent="0.35">
      <c r="A24" s="3" t="s">
        <v>1</v>
      </c>
      <c r="B24" s="3">
        <v>1125956970</v>
      </c>
      <c r="C24" s="3">
        <v>0</v>
      </c>
      <c r="D24" s="3">
        <v>4071887700</v>
      </c>
      <c r="E24" s="3">
        <v>4071887700</v>
      </c>
      <c r="F24" s="8"/>
      <c r="G24" s="3">
        <f>440+440</f>
        <v>880</v>
      </c>
      <c r="H24" s="22">
        <f>(15.99%+16.97%)/2</f>
        <v>0.1648</v>
      </c>
      <c r="I24" s="3">
        <f>H24*G24</f>
        <v>145.024</v>
      </c>
      <c r="J24" s="23">
        <f>B24/(I24*8760)/1000</f>
        <v>0.88629399744133053</v>
      </c>
      <c r="K24" s="3" t="s">
        <v>1615</v>
      </c>
      <c r="L24" s="3">
        <f>C24/$I24/1000</f>
        <v>0</v>
      </c>
      <c r="M24" s="11">
        <f t="shared" ref="M24:M69" si="6">C24/$B24</f>
        <v>0</v>
      </c>
      <c r="N24" s="11">
        <f t="shared" ref="N24:N69" si="7">D24/$B24</f>
        <v>3.6163794962786189</v>
      </c>
      <c r="O24" s="11">
        <f t="shared" ref="O24:O69" si="8">E24/$B24</f>
        <v>3.6163794962786189</v>
      </c>
    </row>
    <row r="25" spans="1:19" x14ac:dyDescent="0.35">
      <c r="A25" s="3" t="s">
        <v>2</v>
      </c>
      <c r="B25" s="3">
        <v>129284493</v>
      </c>
      <c r="C25" s="3">
        <v>0</v>
      </c>
      <c r="D25" s="3">
        <v>361065033</v>
      </c>
      <c r="E25" s="3">
        <v>361065033</v>
      </c>
      <c r="F25" s="8"/>
      <c r="G25" s="3">
        <v>440</v>
      </c>
      <c r="H25" s="22">
        <v>5.1700000000000003E-2</v>
      </c>
      <c r="I25" s="3">
        <f>H25*G25</f>
        <v>22.748000000000001</v>
      </c>
      <c r="J25" s="23">
        <f>B25/(I25*8760)/1000</f>
        <v>0.64878247613518936</v>
      </c>
      <c r="K25" s="3" t="s">
        <v>1615</v>
      </c>
      <c r="L25" s="3">
        <f t="shared" ref="L25:L69" si="9">C25/$I25/1000</f>
        <v>0</v>
      </c>
      <c r="M25" s="11">
        <f t="shared" si="6"/>
        <v>0</v>
      </c>
      <c r="N25" s="11">
        <f t="shared" si="7"/>
        <v>2.7927945929292539</v>
      </c>
      <c r="O25" s="11">
        <f t="shared" si="8"/>
        <v>2.7927945929292539</v>
      </c>
      <c r="P25" s="148"/>
    </row>
    <row r="26" spans="1:19" x14ac:dyDescent="0.35">
      <c r="A26" s="3" t="s">
        <v>185</v>
      </c>
      <c r="B26" s="3">
        <v>195607167</v>
      </c>
      <c r="C26" s="3">
        <v>0</v>
      </c>
      <c r="D26" s="3">
        <v>801036055</v>
      </c>
      <c r="E26" s="3">
        <v>801036055</v>
      </c>
      <c r="F26" s="8"/>
      <c r="G26" s="3">
        <v>1000</v>
      </c>
      <c r="H26" s="24">
        <v>0.05</v>
      </c>
      <c r="I26" s="3">
        <f>H26*G26</f>
        <v>50</v>
      </c>
      <c r="J26" s="23">
        <f>B26/(I26*8760)/1000</f>
        <v>0.44659170547945204</v>
      </c>
      <c r="K26" s="3" t="s">
        <v>1615</v>
      </c>
      <c r="L26" s="3">
        <f t="shared" si="9"/>
        <v>0</v>
      </c>
      <c r="M26" s="11">
        <f t="shared" si="6"/>
        <v>0</v>
      </c>
      <c r="N26" s="11">
        <f t="shared" si="7"/>
        <v>4.0951263048556905</v>
      </c>
      <c r="O26" s="11">
        <f t="shared" si="8"/>
        <v>4.0951263048556905</v>
      </c>
      <c r="P26" s="148"/>
    </row>
    <row r="27" spans="1:19" x14ac:dyDescent="0.35">
      <c r="A27" s="3" t="s">
        <v>3</v>
      </c>
      <c r="B27" s="3">
        <v>197655545</v>
      </c>
      <c r="C27" s="3">
        <v>224072577</v>
      </c>
      <c r="D27" s="3">
        <v>579557586</v>
      </c>
      <c r="E27" s="3">
        <v>803630163</v>
      </c>
      <c r="F27" s="8"/>
      <c r="G27" s="3">
        <f>3*210</f>
        <v>630</v>
      </c>
      <c r="H27" s="22">
        <v>9.5000000000000001E-2</v>
      </c>
      <c r="I27" s="3">
        <f>H27*G27</f>
        <v>59.85</v>
      </c>
      <c r="J27" s="23">
        <f>B27/(I27*8760)/1000</f>
        <v>0.37699947166241327</v>
      </c>
      <c r="K27" s="3" t="s">
        <v>143</v>
      </c>
      <c r="L27" s="3">
        <f t="shared" si="9"/>
        <v>3743.9027067669172</v>
      </c>
      <c r="M27" s="11">
        <f t="shared" si="6"/>
        <v>1.1336518639029327</v>
      </c>
      <c r="N27" s="11">
        <f t="shared" si="7"/>
        <v>2.9321595101215094</v>
      </c>
      <c r="O27" s="11">
        <f t="shared" si="8"/>
        <v>4.0658113740244426</v>
      </c>
      <c r="P27" s="148"/>
    </row>
    <row r="28" spans="1:19" x14ac:dyDescent="0.35">
      <c r="A28" s="3" t="s">
        <v>4</v>
      </c>
      <c r="B28" s="3">
        <v>393434840</v>
      </c>
      <c r="C28" s="3">
        <v>401173314</v>
      </c>
      <c r="D28" s="3">
        <v>1173378847</v>
      </c>
      <c r="E28" s="3">
        <v>1574552161</v>
      </c>
      <c r="F28" s="8"/>
      <c r="G28" s="3">
        <f>4*210</f>
        <v>840</v>
      </c>
      <c r="H28" s="22">
        <v>0.1275</v>
      </c>
      <c r="I28" s="3">
        <f>H28*G28</f>
        <v>107.10000000000001</v>
      </c>
      <c r="J28" s="23">
        <f>B28/(I28*8760)/1000</f>
        <v>0.41935250203582186</v>
      </c>
      <c r="K28" s="3" t="s">
        <v>143</v>
      </c>
      <c r="L28" s="3">
        <f t="shared" si="9"/>
        <v>3745.7825770308118</v>
      </c>
      <c r="M28" s="11">
        <f t="shared" si="6"/>
        <v>1.0196690105024762</v>
      </c>
      <c r="N28" s="11">
        <f t="shared" si="7"/>
        <v>2.9823968995730019</v>
      </c>
      <c r="O28" s="11">
        <f t="shared" si="8"/>
        <v>4.0020659100754781</v>
      </c>
      <c r="P28" s="148"/>
    </row>
    <row r="29" spans="1:19" x14ac:dyDescent="0.35">
      <c r="A29" s="3" t="s">
        <v>46</v>
      </c>
      <c r="B29" s="3">
        <v>0</v>
      </c>
      <c r="C29" s="3">
        <v>-2434047</v>
      </c>
      <c r="D29" s="3">
        <v>-105743776</v>
      </c>
      <c r="E29" s="3">
        <v>-108177823</v>
      </c>
      <c r="F29" s="8"/>
      <c r="G29" s="3"/>
      <c r="H29" s="3"/>
      <c r="I29" s="3"/>
      <c r="J29" s="3"/>
      <c r="K29" s="3"/>
      <c r="L29" s="3" t="e">
        <f t="shared" si="9"/>
        <v>#DIV/0!</v>
      </c>
      <c r="M29" s="11" t="e">
        <f t="shared" si="6"/>
        <v>#DIV/0!</v>
      </c>
      <c r="N29" s="11" t="e">
        <f t="shared" si="7"/>
        <v>#DIV/0!</v>
      </c>
      <c r="O29" s="11" t="e">
        <f t="shared" si="8"/>
        <v>#DIV/0!</v>
      </c>
      <c r="P29" s="148"/>
    </row>
    <row r="30" spans="1:19" x14ac:dyDescent="0.35">
      <c r="A30" s="3" t="s">
        <v>5</v>
      </c>
      <c r="B30" s="3">
        <v>0</v>
      </c>
      <c r="C30" s="3">
        <v>4679</v>
      </c>
      <c r="D30" s="3">
        <v>0</v>
      </c>
      <c r="E30" s="3">
        <v>4679</v>
      </c>
      <c r="F30" s="8"/>
      <c r="G30" s="3"/>
      <c r="H30" s="3"/>
      <c r="I30" s="3"/>
      <c r="J30" s="3"/>
      <c r="K30" s="3"/>
      <c r="L30" s="3" t="e">
        <f t="shared" si="9"/>
        <v>#DIV/0!</v>
      </c>
      <c r="M30" s="11" t="e">
        <f t="shared" si="6"/>
        <v>#DIV/0!</v>
      </c>
      <c r="N30" s="11" t="e">
        <f t="shared" si="7"/>
        <v>#DIV/0!</v>
      </c>
      <c r="O30" s="11" t="e">
        <f t="shared" si="8"/>
        <v>#DIV/0!</v>
      </c>
      <c r="P30" s="148"/>
    </row>
    <row r="31" spans="1:19" x14ac:dyDescent="0.35">
      <c r="A31" s="3" t="s">
        <v>6</v>
      </c>
      <c r="B31" s="3">
        <v>0</v>
      </c>
      <c r="C31" s="3">
        <v>1765</v>
      </c>
      <c r="D31" s="3">
        <v>0</v>
      </c>
      <c r="E31" s="3">
        <v>1765</v>
      </c>
      <c r="F31" s="8"/>
      <c r="G31" s="3"/>
      <c r="H31" s="3"/>
      <c r="I31" s="3"/>
      <c r="J31" s="3"/>
      <c r="K31" s="3"/>
      <c r="L31" s="3" t="e">
        <f t="shared" si="9"/>
        <v>#DIV/0!</v>
      </c>
      <c r="M31" s="11" t="e">
        <f t="shared" si="6"/>
        <v>#DIV/0!</v>
      </c>
      <c r="N31" s="11" t="e">
        <f t="shared" si="7"/>
        <v>#DIV/0!</v>
      </c>
      <c r="O31" s="11" t="e">
        <f t="shared" si="8"/>
        <v>#DIV/0!</v>
      </c>
      <c r="P31" s="148"/>
    </row>
    <row r="32" spans="1:19" x14ac:dyDescent="0.35">
      <c r="A32" s="3" t="s">
        <v>7</v>
      </c>
      <c r="B32" s="3">
        <v>2026534950</v>
      </c>
      <c r="C32" s="3">
        <v>1549960193</v>
      </c>
      <c r="D32" s="3">
        <v>4991470963</v>
      </c>
      <c r="E32" s="3">
        <v>6541431156</v>
      </c>
      <c r="F32" s="8"/>
      <c r="G32" s="3">
        <v>2100</v>
      </c>
      <c r="H32" s="22">
        <v>0.16450000000000001</v>
      </c>
      <c r="I32" s="3">
        <f t="shared" ref="I32:I39" si="10">H32*G32</f>
        <v>345.45</v>
      </c>
      <c r="J32" s="23">
        <f t="shared" ref="J32:J40" si="11">B32/(I32*8760)/1000</f>
        <v>0.66967609252969629</v>
      </c>
      <c r="K32" s="3" t="s">
        <v>143</v>
      </c>
      <c r="L32" s="3">
        <f t="shared" si="9"/>
        <v>4486.7859111304097</v>
      </c>
      <c r="M32" s="11">
        <f t="shared" si="6"/>
        <v>0.7648326978027199</v>
      </c>
      <c r="N32" s="11">
        <f t="shared" si="7"/>
        <v>2.4630569351888059</v>
      </c>
      <c r="O32" s="11">
        <f t="shared" si="8"/>
        <v>3.2278896329915256</v>
      </c>
      <c r="P32" s="148"/>
    </row>
    <row r="33" spans="1:16" x14ac:dyDescent="0.35">
      <c r="A33" s="3" t="s">
        <v>8</v>
      </c>
      <c r="B33" s="3">
        <v>569211258</v>
      </c>
      <c r="C33" s="3">
        <v>535570240</v>
      </c>
      <c r="D33" s="3">
        <v>1269644710</v>
      </c>
      <c r="E33" s="3">
        <v>1805214950</v>
      </c>
      <c r="F33" s="8"/>
      <c r="G33" s="3">
        <v>500</v>
      </c>
      <c r="H33" s="22">
        <v>0.1734</v>
      </c>
      <c r="I33" s="3">
        <f t="shared" si="10"/>
        <v>86.7</v>
      </c>
      <c r="J33" s="23">
        <f t="shared" si="11"/>
        <v>0.74946313851890478</v>
      </c>
      <c r="K33" s="3" t="s">
        <v>143</v>
      </c>
      <c r="L33" s="3">
        <f t="shared" si="9"/>
        <v>6177.2807381776238</v>
      </c>
      <c r="M33" s="11">
        <f t="shared" si="6"/>
        <v>0.94089888854587622</v>
      </c>
      <c r="N33" s="11">
        <f t="shared" si="7"/>
        <v>2.2305333778201555</v>
      </c>
      <c r="O33" s="11">
        <f t="shared" si="8"/>
        <v>3.1714322663660317</v>
      </c>
      <c r="P33" s="148"/>
    </row>
    <row r="34" spans="1:16" x14ac:dyDescent="0.35">
      <c r="A34" s="3" t="s">
        <v>9</v>
      </c>
      <c r="B34" s="3">
        <v>2752071498</v>
      </c>
      <c r="C34" s="3">
        <v>3678545847</v>
      </c>
      <c r="D34" s="3">
        <v>7771816667</v>
      </c>
      <c r="E34" s="3">
        <v>11450362514</v>
      </c>
      <c r="F34" s="8"/>
      <c r="G34" s="3">
        <v>1000</v>
      </c>
      <c r="H34" s="22">
        <v>0.53890000000000005</v>
      </c>
      <c r="I34" s="3">
        <f t="shared" si="10"/>
        <v>538.90000000000009</v>
      </c>
      <c r="J34" s="23">
        <f t="shared" si="11"/>
        <v>0.58297163298144106</v>
      </c>
      <c r="K34" s="3" t="s">
        <v>144</v>
      </c>
      <c r="L34" s="3">
        <f t="shared" si="9"/>
        <v>6826.0268083132287</v>
      </c>
      <c r="M34" s="11">
        <f t="shared" si="6"/>
        <v>1.3366461771335856</v>
      </c>
      <c r="N34" s="11">
        <f t="shared" si="7"/>
        <v>2.8239879206074319</v>
      </c>
      <c r="O34" s="11">
        <f t="shared" si="8"/>
        <v>4.160634097741017</v>
      </c>
      <c r="P34" s="148"/>
    </row>
    <row r="35" spans="1:16" x14ac:dyDescent="0.35">
      <c r="A35" s="3" t="s">
        <v>10</v>
      </c>
      <c r="B35" s="3">
        <v>811241308</v>
      </c>
      <c r="C35" s="3">
        <v>2137936395</v>
      </c>
      <c r="D35" s="3">
        <v>2273928212</v>
      </c>
      <c r="E35" s="3">
        <v>4411864607</v>
      </c>
      <c r="F35" s="8"/>
      <c r="G35" s="3">
        <v>1000</v>
      </c>
      <c r="H35" s="22">
        <v>0.23130000000000001</v>
      </c>
      <c r="I35" s="3">
        <f t="shared" si="10"/>
        <v>231.3</v>
      </c>
      <c r="J35" s="23">
        <f t="shared" si="11"/>
        <v>0.40037810311777583</v>
      </c>
      <c r="K35" s="3" t="s">
        <v>144</v>
      </c>
      <c r="L35" s="3">
        <f t="shared" si="9"/>
        <v>9243.1318417639413</v>
      </c>
      <c r="M35" s="11">
        <f t="shared" si="6"/>
        <v>2.6353889698624666</v>
      </c>
      <c r="N35" s="11">
        <f t="shared" si="7"/>
        <v>2.8030232060125813</v>
      </c>
      <c r="O35" s="11">
        <f t="shared" si="8"/>
        <v>5.4384121758750483</v>
      </c>
      <c r="P35" s="148"/>
    </row>
    <row r="36" spans="1:16" x14ac:dyDescent="0.35">
      <c r="A36" s="3" t="s">
        <v>11</v>
      </c>
      <c r="B36" s="3">
        <v>1495842393</v>
      </c>
      <c r="C36" s="3">
        <v>1067733617</v>
      </c>
      <c r="D36" s="3">
        <v>2375979364</v>
      </c>
      <c r="E36" s="3">
        <v>3443712981</v>
      </c>
      <c r="F36" s="8"/>
      <c r="G36" s="3">
        <v>2000</v>
      </c>
      <c r="H36" s="22">
        <v>0.1072</v>
      </c>
      <c r="I36" s="3">
        <f t="shared" si="10"/>
        <v>214.4</v>
      </c>
      <c r="J36" s="23">
        <f t="shared" si="11"/>
        <v>0.79644712705735021</v>
      </c>
      <c r="K36" s="3" t="s">
        <v>143</v>
      </c>
      <c r="L36" s="3">
        <f t="shared" si="9"/>
        <v>4980.1008255597017</v>
      </c>
      <c r="M36" s="11">
        <f t="shared" si="6"/>
        <v>0.71380088035785461</v>
      </c>
      <c r="N36" s="11">
        <f t="shared" si="7"/>
        <v>1.5883888403743081</v>
      </c>
      <c r="O36" s="11">
        <f t="shared" si="8"/>
        <v>2.3021897207321627</v>
      </c>
      <c r="P36" s="148"/>
    </row>
    <row r="37" spans="1:16" x14ac:dyDescent="0.35">
      <c r="A37" s="3" t="s">
        <v>12</v>
      </c>
      <c r="B37" s="3">
        <v>255478670</v>
      </c>
      <c r="C37" s="3">
        <v>889393392</v>
      </c>
      <c r="D37" s="3">
        <v>921548966</v>
      </c>
      <c r="E37" s="3">
        <v>1810942358</v>
      </c>
      <c r="F37" s="8"/>
      <c r="G37" s="3">
        <v>2400</v>
      </c>
      <c r="H37" s="22">
        <v>0.1132</v>
      </c>
      <c r="I37" s="3">
        <f t="shared" si="10"/>
        <v>271.68</v>
      </c>
      <c r="J37" s="23">
        <f t="shared" si="11"/>
        <v>0.10734773165179554</v>
      </c>
      <c r="K37" s="3" t="s">
        <v>144</v>
      </c>
      <c r="L37" s="3">
        <f t="shared" si="9"/>
        <v>3273.6800353356889</v>
      </c>
      <c r="M37" s="11">
        <f t="shared" si="6"/>
        <v>3.4812823786815548</v>
      </c>
      <c r="N37" s="11">
        <f t="shared" si="7"/>
        <v>3.6071464048251074</v>
      </c>
      <c r="O37" s="11">
        <f t="shared" si="8"/>
        <v>7.0884287835066626</v>
      </c>
      <c r="P37" s="148"/>
    </row>
    <row r="38" spans="1:16" x14ac:dyDescent="0.35">
      <c r="A38" s="3" t="s">
        <v>13</v>
      </c>
      <c r="B38" s="3">
        <v>274018298</v>
      </c>
      <c r="C38" s="3">
        <v>680674503</v>
      </c>
      <c r="D38" s="3">
        <v>904286001</v>
      </c>
      <c r="E38" s="3">
        <v>1584960504</v>
      </c>
      <c r="F38" s="8"/>
      <c r="G38" s="3">
        <v>1500</v>
      </c>
      <c r="H38" s="22">
        <v>7.3700000000000002E-2</v>
      </c>
      <c r="I38" s="3">
        <f t="shared" si="10"/>
        <v>110.55</v>
      </c>
      <c r="J38" s="23">
        <f t="shared" si="11"/>
        <v>0.28295456920462031</v>
      </c>
      <c r="K38" s="3" t="s">
        <v>143</v>
      </c>
      <c r="L38" s="3">
        <f t="shared" si="9"/>
        <v>6157.1642062415203</v>
      </c>
      <c r="M38" s="11">
        <f t="shared" si="6"/>
        <v>2.4840476273595424</v>
      </c>
      <c r="N38" s="11">
        <f t="shared" si="7"/>
        <v>3.3000934886472435</v>
      </c>
      <c r="O38" s="11">
        <f t="shared" si="8"/>
        <v>5.7841411160067855</v>
      </c>
      <c r="P38" s="148"/>
    </row>
    <row r="39" spans="1:16" x14ac:dyDescent="0.35">
      <c r="A39" s="3" t="s">
        <v>14</v>
      </c>
      <c r="B39" s="3">
        <v>575542024</v>
      </c>
      <c r="C39" s="3">
        <v>1610598866</v>
      </c>
      <c r="D39" s="3">
        <v>1585503718</v>
      </c>
      <c r="E39" s="3">
        <v>3196102585</v>
      </c>
      <c r="F39" s="8"/>
      <c r="G39" s="3">
        <v>1000</v>
      </c>
      <c r="H39" s="22">
        <v>0.15229999999999999</v>
      </c>
      <c r="I39" s="3">
        <f t="shared" si="10"/>
        <v>152.29999999999998</v>
      </c>
      <c r="J39" s="23">
        <f t="shared" si="11"/>
        <v>0.4313929369155447</v>
      </c>
      <c r="K39" s="3" t="s">
        <v>143</v>
      </c>
      <c r="L39" s="3">
        <f t="shared" si="9"/>
        <v>10575.173118844388</v>
      </c>
      <c r="M39" s="11">
        <f t="shared" si="6"/>
        <v>2.7984035897264037</v>
      </c>
      <c r="N39" s="11">
        <f t="shared" si="7"/>
        <v>2.7548009561157607</v>
      </c>
      <c r="O39" s="11">
        <f t="shared" si="8"/>
        <v>5.5532045475796572</v>
      </c>
      <c r="P39" s="148"/>
    </row>
    <row r="40" spans="1:16" x14ac:dyDescent="0.35">
      <c r="A40" s="10" t="s">
        <v>42</v>
      </c>
      <c r="B40" s="10">
        <v>10801879414</v>
      </c>
      <c r="C40" s="10">
        <v>12773231341</v>
      </c>
      <c r="D40" s="10">
        <v>28975360047</v>
      </c>
      <c r="E40" s="10">
        <v>41748591388</v>
      </c>
      <c r="F40" s="9"/>
      <c r="G40" s="10">
        <f>SUM(G24:G39)</f>
        <v>15290</v>
      </c>
      <c r="H40" s="26">
        <f>I40/G40</f>
        <v>0.15277972531066059</v>
      </c>
      <c r="I40" s="10">
        <f>SUM(I24:I39)</f>
        <v>2336.0020000000004</v>
      </c>
      <c r="J40" s="25">
        <f t="shared" si="11"/>
        <v>0.52786395615497583</v>
      </c>
      <c r="K40" s="10"/>
      <c r="L40" s="3">
        <f t="shared" si="9"/>
        <v>5467.9881870820309</v>
      </c>
      <c r="M40" s="12">
        <f t="shared" si="6"/>
        <v>1.1825008270732025</v>
      </c>
      <c r="N40" s="12">
        <f t="shared" si="7"/>
        <v>2.6824369108810715</v>
      </c>
      <c r="O40" s="12">
        <f t="shared" si="8"/>
        <v>3.864937737954274</v>
      </c>
      <c r="P40" s="148"/>
    </row>
    <row r="41" spans="1:16" x14ac:dyDescent="0.35">
      <c r="A41" s="3" t="s">
        <v>15</v>
      </c>
      <c r="B41" s="3">
        <v>13890000</v>
      </c>
      <c r="C41" s="3">
        <v>11700000</v>
      </c>
      <c r="D41" s="3">
        <v>20700000</v>
      </c>
      <c r="E41" s="3">
        <v>32400000</v>
      </c>
      <c r="F41" s="8"/>
      <c r="G41" s="3">
        <v>100</v>
      </c>
      <c r="H41" s="22">
        <v>6.6699999999999995E-2</v>
      </c>
      <c r="I41" s="3">
        <v>6.64</v>
      </c>
      <c r="J41" s="3"/>
      <c r="K41" s="3" t="s">
        <v>1613</v>
      </c>
      <c r="L41" s="3">
        <f t="shared" si="9"/>
        <v>1762.0481927710844</v>
      </c>
      <c r="M41" s="11">
        <f t="shared" si="6"/>
        <v>0.84233261339092869</v>
      </c>
      <c r="N41" s="11">
        <f t="shared" si="7"/>
        <v>1.4902807775377971</v>
      </c>
      <c r="O41" s="11">
        <f t="shared" si="8"/>
        <v>2.3326133909287257</v>
      </c>
      <c r="P41" s="148"/>
    </row>
    <row r="42" spans="1:16" x14ac:dyDescent="0.35">
      <c r="A42" s="3" t="s">
        <v>16</v>
      </c>
      <c r="B42" s="3">
        <v>44280000</v>
      </c>
      <c r="C42" s="3">
        <v>24000000</v>
      </c>
      <c r="D42" s="3">
        <v>104100000</v>
      </c>
      <c r="E42" s="3">
        <v>128100000</v>
      </c>
      <c r="F42" s="8"/>
      <c r="G42" s="3">
        <v>172</v>
      </c>
      <c r="H42" s="22">
        <v>0.1037</v>
      </c>
      <c r="I42" s="3">
        <v>17.84</v>
      </c>
      <c r="J42" s="3"/>
      <c r="K42" s="3" t="s">
        <v>1613</v>
      </c>
      <c r="L42" s="3">
        <f t="shared" si="9"/>
        <v>1345.2914798206277</v>
      </c>
      <c r="M42" s="11">
        <f t="shared" si="6"/>
        <v>0.54200542005420049</v>
      </c>
      <c r="N42" s="11">
        <f t="shared" si="7"/>
        <v>2.3509485094850948</v>
      </c>
      <c r="O42" s="11">
        <f t="shared" si="8"/>
        <v>2.8929539295392952</v>
      </c>
      <c r="P42" s="148"/>
    </row>
    <row r="43" spans="1:16" x14ac:dyDescent="0.35">
      <c r="A43" s="10" t="s">
        <v>43</v>
      </c>
      <c r="B43" s="10">
        <v>105065265</v>
      </c>
      <c r="C43" s="10">
        <v>79078437</v>
      </c>
      <c r="D43" s="10">
        <v>249666217</v>
      </c>
      <c r="E43" s="10">
        <v>328744653</v>
      </c>
      <c r="F43" s="9"/>
      <c r="G43" s="10"/>
      <c r="H43" s="10"/>
      <c r="I43" s="10"/>
      <c r="J43" s="10"/>
      <c r="K43" s="10"/>
      <c r="L43" s="3" t="e">
        <f t="shared" si="9"/>
        <v>#DIV/0!</v>
      </c>
      <c r="M43" s="12">
        <f t="shared" si="6"/>
        <v>0.75266013939050169</v>
      </c>
      <c r="N43" s="12">
        <f t="shared" si="7"/>
        <v>2.3762964572544503</v>
      </c>
      <c r="O43" s="12">
        <f t="shared" si="8"/>
        <v>3.1289565871270586</v>
      </c>
      <c r="P43" s="148"/>
    </row>
    <row r="44" spans="1:16" x14ac:dyDescent="0.35">
      <c r="A44" s="3" t="s">
        <v>44</v>
      </c>
      <c r="B44" s="3">
        <v>4343505099</v>
      </c>
      <c r="C44" s="3">
        <v>11544485348</v>
      </c>
      <c r="D44" s="3">
        <v>9238094667</v>
      </c>
      <c r="E44" s="3">
        <v>20782580015</v>
      </c>
      <c r="F44" s="8"/>
      <c r="G44" s="3">
        <v>570</v>
      </c>
      <c r="H44" s="27"/>
      <c r="I44" s="3">
        <v>570</v>
      </c>
      <c r="J44" s="23">
        <f>B44/(I44*8760)/1000</f>
        <v>0.86988406212448932</v>
      </c>
      <c r="K44" s="3" t="s">
        <v>144</v>
      </c>
      <c r="L44" s="3">
        <f t="shared" si="9"/>
        <v>20253.483066666668</v>
      </c>
      <c r="M44" s="11">
        <f t="shared" si="6"/>
        <v>2.6578730966973825</v>
      </c>
      <c r="N44" s="11">
        <f t="shared" si="7"/>
        <v>2.1268755202168119</v>
      </c>
      <c r="O44" s="11">
        <f t="shared" si="8"/>
        <v>4.784748616914194</v>
      </c>
      <c r="P44" s="148"/>
    </row>
    <row r="45" spans="1:16" x14ac:dyDescent="0.35">
      <c r="A45" s="10" t="s">
        <v>34</v>
      </c>
      <c r="B45" s="10">
        <v>4343505099</v>
      </c>
      <c r="C45" s="10">
        <v>11544485348</v>
      </c>
      <c r="D45" s="10">
        <v>9238094667</v>
      </c>
      <c r="E45" s="10">
        <v>20782580015</v>
      </c>
      <c r="F45" s="9"/>
      <c r="G45" s="10"/>
      <c r="H45" s="10"/>
      <c r="I45" s="10"/>
      <c r="J45" s="10"/>
      <c r="K45" s="10"/>
      <c r="L45" s="3" t="e">
        <f t="shared" si="9"/>
        <v>#DIV/0!</v>
      </c>
      <c r="M45" s="12">
        <f t="shared" si="6"/>
        <v>2.6578730966973825</v>
      </c>
      <c r="N45" s="12">
        <f t="shared" si="7"/>
        <v>2.1268755202168119</v>
      </c>
      <c r="O45" s="12">
        <f t="shared" si="8"/>
        <v>4.784748616914194</v>
      </c>
      <c r="P45" s="148"/>
    </row>
    <row r="46" spans="1:16" x14ac:dyDescent="0.35">
      <c r="A46" s="3" t="s">
        <v>45</v>
      </c>
      <c r="B46" s="3">
        <v>2210385468</v>
      </c>
      <c r="C46" s="3">
        <v>3837070129</v>
      </c>
      <c r="D46" s="3">
        <v>4057216213</v>
      </c>
      <c r="E46" s="3">
        <v>7894286342</v>
      </c>
      <c r="F46" s="8"/>
      <c r="G46" s="3">
        <v>269.45</v>
      </c>
      <c r="H46" s="3"/>
      <c r="I46" s="3">
        <v>269.45</v>
      </c>
      <c r="J46" s="23">
        <f>B46/(I46*8760)/1000</f>
        <v>0.93645243354677332</v>
      </c>
      <c r="K46" s="3" t="s">
        <v>144</v>
      </c>
      <c r="L46" s="3">
        <f t="shared" si="9"/>
        <v>14240.379027648914</v>
      </c>
      <c r="M46" s="11">
        <f t="shared" si="6"/>
        <v>1.7359280471889169</v>
      </c>
      <c r="N46" s="11">
        <f t="shared" si="7"/>
        <v>1.8355242882912401</v>
      </c>
      <c r="O46" s="11">
        <f t="shared" si="8"/>
        <v>3.5714523354801573</v>
      </c>
      <c r="P46" s="148"/>
    </row>
    <row r="47" spans="1:16" x14ac:dyDescent="0.35">
      <c r="A47" s="10" t="s">
        <v>35</v>
      </c>
      <c r="B47" s="10">
        <v>6553890567</v>
      </c>
      <c r="C47" s="10">
        <v>15381555477</v>
      </c>
      <c r="D47" s="10">
        <v>13295310880</v>
      </c>
      <c r="E47" s="10">
        <v>28676866357</v>
      </c>
      <c r="F47" s="9"/>
      <c r="G47" s="10"/>
      <c r="H47" s="10"/>
      <c r="I47" s="10"/>
      <c r="J47" s="10"/>
      <c r="K47" s="10"/>
      <c r="L47" s="3" t="e">
        <f t="shared" si="9"/>
        <v>#DIV/0!</v>
      </c>
      <c r="M47" s="12">
        <f t="shared" si="6"/>
        <v>2.3469350486944132</v>
      </c>
      <c r="N47" s="12">
        <f t="shared" si="7"/>
        <v>2.0286134997346834</v>
      </c>
      <c r="O47" s="12">
        <f t="shared" si="8"/>
        <v>4.375548548429097</v>
      </c>
      <c r="P47" s="148"/>
    </row>
    <row r="48" spans="1:16" x14ac:dyDescent="0.35">
      <c r="A48" s="3" t="s">
        <v>17</v>
      </c>
      <c r="B48" s="3">
        <v>296404044</v>
      </c>
      <c r="C48" s="3">
        <v>0</v>
      </c>
      <c r="D48" s="3">
        <v>1070884170</v>
      </c>
      <c r="E48" s="3">
        <v>1070884170</v>
      </c>
      <c r="F48" s="8"/>
      <c r="G48" s="3"/>
      <c r="H48" s="3"/>
      <c r="I48" s="3"/>
      <c r="J48" s="3"/>
      <c r="K48" s="3"/>
      <c r="L48" s="3" t="e">
        <f t="shared" si="9"/>
        <v>#DIV/0!</v>
      </c>
      <c r="M48" s="11">
        <f t="shared" si="6"/>
        <v>0</v>
      </c>
      <c r="N48" s="11">
        <f t="shared" si="7"/>
        <v>3.6129202407238412</v>
      </c>
      <c r="O48" s="11">
        <f t="shared" si="8"/>
        <v>3.6129202407238412</v>
      </c>
      <c r="P48" s="148"/>
    </row>
    <row r="49" spans="1:16" x14ac:dyDescent="0.35">
      <c r="A49" s="3" t="s">
        <v>18</v>
      </c>
      <c r="B49" s="3">
        <v>287901731</v>
      </c>
      <c r="C49" s="3">
        <v>0</v>
      </c>
      <c r="D49" s="3">
        <v>905677510</v>
      </c>
      <c r="E49" s="3">
        <v>905677510</v>
      </c>
      <c r="F49" s="8"/>
      <c r="G49" s="3"/>
      <c r="H49" s="3"/>
      <c r="I49" s="3"/>
      <c r="J49" s="3"/>
      <c r="K49" s="3"/>
      <c r="L49" s="3" t="e">
        <f t="shared" si="9"/>
        <v>#DIV/0!</v>
      </c>
      <c r="M49" s="11">
        <f t="shared" si="6"/>
        <v>0</v>
      </c>
      <c r="N49" s="11">
        <f t="shared" si="7"/>
        <v>3.145786956036051</v>
      </c>
      <c r="O49" s="11">
        <f t="shared" si="8"/>
        <v>3.145786956036051</v>
      </c>
      <c r="P49" s="148"/>
    </row>
    <row r="50" spans="1:16" x14ac:dyDescent="0.35">
      <c r="A50" s="3" t="s">
        <v>19</v>
      </c>
      <c r="B50" s="3">
        <v>3038247547</v>
      </c>
      <c r="C50" s="3">
        <v>4287658443</v>
      </c>
      <c r="D50" s="3">
        <v>8854347695</v>
      </c>
      <c r="E50" s="3">
        <v>13142006138</v>
      </c>
      <c r="F50" s="8"/>
      <c r="G50" s="3">
        <f>3*240</f>
        <v>720</v>
      </c>
      <c r="H50" s="22">
        <v>0.53890000000000005</v>
      </c>
      <c r="I50" s="3">
        <f t="shared" ref="I50:I57" si="12">H50*G50</f>
        <v>388.00800000000004</v>
      </c>
      <c r="J50" s="23">
        <f t="shared" ref="J50:J57" si="13">B50/(I50*8760)/1000</f>
        <v>0.89387824930926885</v>
      </c>
      <c r="K50" s="3" t="s">
        <v>143</v>
      </c>
      <c r="L50" s="3">
        <f t="shared" si="9"/>
        <v>11050.438246118634</v>
      </c>
      <c r="M50" s="11">
        <f t="shared" si="6"/>
        <v>1.4112274844864707</v>
      </c>
      <c r="N50" s="11">
        <f t="shared" si="7"/>
        <v>2.9142943614791634</v>
      </c>
      <c r="O50" s="11">
        <f t="shared" si="8"/>
        <v>4.3255218459656346</v>
      </c>
      <c r="P50" s="148"/>
    </row>
    <row r="51" spans="1:16" x14ac:dyDescent="0.35">
      <c r="A51" s="3" t="s">
        <v>20</v>
      </c>
      <c r="B51" s="3">
        <v>2885350664</v>
      </c>
      <c r="C51" s="3">
        <v>2528473982</v>
      </c>
      <c r="D51" s="3">
        <v>7347981248</v>
      </c>
      <c r="E51" s="3">
        <v>9876455230</v>
      </c>
      <c r="F51" s="8"/>
      <c r="G51" s="3">
        <v>500</v>
      </c>
      <c r="H51" s="22">
        <v>1</v>
      </c>
      <c r="I51" s="3">
        <f t="shared" si="12"/>
        <v>500</v>
      </c>
      <c r="J51" s="23">
        <f t="shared" si="13"/>
        <v>0.65875585936073056</v>
      </c>
      <c r="K51" s="16" t="s">
        <v>143</v>
      </c>
      <c r="L51" s="3">
        <f t="shared" si="9"/>
        <v>5056.947964</v>
      </c>
      <c r="M51" s="11">
        <f t="shared" si="6"/>
        <v>0.87631427734150791</v>
      </c>
      <c r="N51" s="11">
        <f t="shared" si="7"/>
        <v>2.5466510326385756</v>
      </c>
      <c r="O51" s="11">
        <f t="shared" si="8"/>
        <v>3.4229653099800834</v>
      </c>
      <c r="P51" s="148"/>
    </row>
    <row r="52" spans="1:16" x14ac:dyDescent="0.35">
      <c r="A52" s="3" t="s">
        <v>21</v>
      </c>
      <c r="B52" s="3">
        <v>2999502772</v>
      </c>
      <c r="C52" s="3">
        <v>4832730803</v>
      </c>
      <c r="D52" s="3">
        <v>8247181061</v>
      </c>
      <c r="E52" s="3">
        <v>13079911864</v>
      </c>
      <c r="F52" s="8"/>
      <c r="G52" s="3">
        <v>500</v>
      </c>
      <c r="H52" s="22">
        <v>1</v>
      </c>
      <c r="I52" s="3">
        <f t="shared" si="12"/>
        <v>500</v>
      </c>
      <c r="J52" s="23">
        <f t="shared" si="13"/>
        <v>0.68481798447488584</v>
      </c>
      <c r="K52" s="16" t="s">
        <v>143</v>
      </c>
      <c r="L52" s="3">
        <f t="shared" si="9"/>
        <v>9665.4616060000008</v>
      </c>
      <c r="M52" s="11">
        <f t="shared" si="6"/>
        <v>1.6111773084902488</v>
      </c>
      <c r="N52" s="11">
        <f t="shared" si="7"/>
        <v>2.7495160657914539</v>
      </c>
      <c r="O52" s="11">
        <f t="shared" si="8"/>
        <v>4.360693374281702</v>
      </c>
      <c r="P52" s="148"/>
    </row>
    <row r="53" spans="1:16" x14ac:dyDescent="0.35">
      <c r="A53" s="3" t="s">
        <v>22</v>
      </c>
      <c r="B53" s="3">
        <v>379465845</v>
      </c>
      <c r="C53" s="3">
        <v>476290760</v>
      </c>
      <c r="D53" s="3">
        <v>1103841161</v>
      </c>
      <c r="E53" s="3">
        <v>1580131921</v>
      </c>
      <c r="F53" s="8"/>
      <c r="G53" s="3">
        <v>63</v>
      </c>
      <c r="H53" s="22">
        <v>1</v>
      </c>
      <c r="I53" s="3">
        <f t="shared" si="12"/>
        <v>63</v>
      </c>
      <c r="J53" s="23">
        <f t="shared" si="13"/>
        <v>0.6875876005653403</v>
      </c>
      <c r="K53" s="3" t="s">
        <v>143</v>
      </c>
      <c r="L53" s="3">
        <f t="shared" si="9"/>
        <v>7560.1707936507937</v>
      </c>
      <c r="M53" s="11">
        <f t="shared" si="6"/>
        <v>1.2551610804392686</v>
      </c>
      <c r="N53" s="11">
        <f t="shared" si="7"/>
        <v>2.9089341650761744</v>
      </c>
      <c r="O53" s="11">
        <f t="shared" si="8"/>
        <v>4.1640952455154432</v>
      </c>
      <c r="P53" s="148"/>
    </row>
    <row r="54" spans="1:16" x14ac:dyDescent="0.35">
      <c r="A54" s="3" t="s">
        <v>23</v>
      </c>
      <c r="B54" s="3">
        <v>2940417487</v>
      </c>
      <c r="C54" s="3">
        <v>4994045218</v>
      </c>
      <c r="D54" s="3">
        <v>7380590133</v>
      </c>
      <c r="E54" s="3">
        <v>12374635351</v>
      </c>
      <c r="F54" s="8"/>
      <c r="G54" s="3">
        <v>500</v>
      </c>
      <c r="H54" s="22">
        <v>1</v>
      </c>
      <c r="I54" s="3">
        <f t="shared" si="12"/>
        <v>500</v>
      </c>
      <c r="J54" s="23">
        <f t="shared" si="13"/>
        <v>0.67132819337899552</v>
      </c>
      <c r="K54" s="14" t="s">
        <v>143</v>
      </c>
      <c r="L54" s="3">
        <f t="shared" si="9"/>
        <v>9988.0904360000004</v>
      </c>
      <c r="M54" s="11">
        <f t="shared" si="6"/>
        <v>1.6984136572712472</v>
      </c>
      <c r="N54" s="11">
        <f t="shared" si="7"/>
        <v>2.5100483742974014</v>
      </c>
      <c r="O54" s="11">
        <f t="shared" si="8"/>
        <v>4.2084620315686481</v>
      </c>
      <c r="P54" s="148"/>
    </row>
    <row r="55" spans="1:16" x14ac:dyDescent="0.35">
      <c r="A55" s="3" t="s">
        <v>24</v>
      </c>
      <c r="B55" s="3">
        <v>3707799765</v>
      </c>
      <c r="C55" s="3">
        <v>7187069503</v>
      </c>
      <c r="D55" s="3">
        <v>9081535302</v>
      </c>
      <c r="E55" s="3">
        <v>16268604805</v>
      </c>
      <c r="F55" s="8"/>
      <c r="G55" s="3">
        <v>500</v>
      </c>
      <c r="H55" s="22">
        <v>1</v>
      </c>
      <c r="I55" s="3">
        <f t="shared" si="12"/>
        <v>500</v>
      </c>
      <c r="J55" s="23">
        <f t="shared" si="13"/>
        <v>0.84652962671232879</v>
      </c>
      <c r="K55" s="14" t="s">
        <v>143</v>
      </c>
      <c r="L55" s="3">
        <f t="shared" si="9"/>
        <v>14374.139005999999</v>
      </c>
      <c r="M55" s="11">
        <f t="shared" si="6"/>
        <v>1.9383650570461699</v>
      </c>
      <c r="N55" s="11">
        <f t="shared" si="7"/>
        <v>2.4493057547836594</v>
      </c>
      <c r="O55" s="11">
        <f t="shared" si="8"/>
        <v>4.3876708118298291</v>
      </c>
      <c r="P55" s="148"/>
    </row>
    <row r="56" spans="1:16" x14ac:dyDescent="0.35">
      <c r="A56" s="3" t="s">
        <v>25</v>
      </c>
      <c r="B56" s="3">
        <f>(803.91+50.02+1357.04+112.77+61.06+23.46+26.14+20.39)*10^6</f>
        <v>2454789999.9999995</v>
      </c>
      <c r="C56" s="3">
        <v>10341615669</v>
      </c>
      <c r="D56" s="3">
        <v>0</v>
      </c>
      <c r="E56" s="3">
        <v>10341615669</v>
      </c>
      <c r="F56" s="8"/>
      <c r="G56" s="3">
        <f>815.6+60+900+240+36+10+15+2+9.16</f>
        <v>2087.7599999999998</v>
      </c>
      <c r="H56" s="31">
        <v>1</v>
      </c>
      <c r="I56" s="3">
        <f t="shared" si="12"/>
        <v>2087.7599999999998</v>
      </c>
      <c r="J56" s="23">
        <f t="shared" si="13"/>
        <v>0.13422384227582274</v>
      </c>
      <c r="K56" s="3" t="s">
        <v>1604</v>
      </c>
      <c r="L56" s="3">
        <f t="shared" si="9"/>
        <v>4953.4504296470859</v>
      </c>
      <c r="M56" s="11">
        <f t="shared" si="6"/>
        <v>4.212831105308398</v>
      </c>
      <c r="N56" s="11">
        <f t="shared" si="7"/>
        <v>0</v>
      </c>
      <c r="O56" s="11">
        <f t="shared" si="8"/>
        <v>4.212831105308398</v>
      </c>
      <c r="P56" s="148"/>
    </row>
    <row r="57" spans="1:16" x14ac:dyDescent="0.35">
      <c r="A57" s="3" t="s">
        <v>26</v>
      </c>
      <c r="B57" s="3">
        <v>9710000</v>
      </c>
      <c r="C57" s="3">
        <v>20964621</v>
      </c>
      <c r="D57" s="3">
        <v>0</v>
      </c>
      <c r="E57" s="3">
        <v>20964621</v>
      </c>
      <c r="F57" s="8"/>
      <c r="G57" s="3">
        <v>120</v>
      </c>
      <c r="H57" s="31">
        <v>1</v>
      </c>
      <c r="I57" s="3">
        <f t="shared" si="12"/>
        <v>120</v>
      </c>
      <c r="J57" s="23">
        <f t="shared" si="13"/>
        <v>9.2370624048706239E-3</v>
      </c>
      <c r="K57" s="3" t="s">
        <v>1604</v>
      </c>
      <c r="L57" s="3">
        <f t="shared" si="9"/>
        <v>174.705175</v>
      </c>
      <c r="M57" s="11">
        <f t="shared" si="6"/>
        <v>2.1590752832131823</v>
      </c>
      <c r="N57" s="11">
        <f t="shared" si="7"/>
        <v>0</v>
      </c>
      <c r="O57" s="11">
        <f t="shared" si="8"/>
        <v>2.1590752832131823</v>
      </c>
      <c r="P57" s="148"/>
    </row>
    <row r="58" spans="1:16" x14ac:dyDescent="0.35">
      <c r="A58" s="3" t="s">
        <v>27</v>
      </c>
      <c r="B58" s="3">
        <v>0</v>
      </c>
      <c r="C58" s="3">
        <v>-1845085702</v>
      </c>
      <c r="D58" s="3">
        <v>291160960</v>
      </c>
      <c r="E58" s="3">
        <v>-1553924742</v>
      </c>
      <c r="F58" s="8"/>
      <c r="G58" s="3"/>
      <c r="H58" s="3"/>
      <c r="I58" s="3"/>
      <c r="J58" s="3"/>
      <c r="K58" s="3"/>
      <c r="L58" s="3" t="e">
        <f t="shared" si="9"/>
        <v>#DIV/0!</v>
      </c>
      <c r="M58" s="11" t="e">
        <f t="shared" si="6"/>
        <v>#DIV/0!</v>
      </c>
      <c r="N58" s="11" t="e">
        <f t="shared" si="7"/>
        <v>#DIV/0!</v>
      </c>
      <c r="O58" s="11" t="e">
        <f t="shared" si="8"/>
        <v>#DIV/0!</v>
      </c>
      <c r="P58" s="148"/>
    </row>
    <row r="59" spans="1:16" x14ac:dyDescent="0.35">
      <c r="A59" s="10" t="s">
        <v>36</v>
      </c>
      <c r="B59" s="10">
        <v>17351464495</v>
      </c>
      <c r="C59" s="10">
        <v>32823763297</v>
      </c>
      <c r="D59" s="10">
        <v>42306637560</v>
      </c>
      <c r="E59" s="10">
        <v>75130400858</v>
      </c>
      <c r="F59" s="9"/>
      <c r="G59" s="10"/>
      <c r="H59" s="10"/>
      <c r="I59" s="10"/>
      <c r="J59" s="10"/>
      <c r="K59" s="10"/>
      <c r="L59" s="3" t="e">
        <f t="shared" si="9"/>
        <v>#DIV/0!</v>
      </c>
      <c r="M59" s="12">
        <f t="shared" si="6"/>
        <v>1.8916998796532996</v>
      </c>
      <c r="N59" s="12">
        <f t="shared" si="7"/>
        <v>2.4382171068148795</v>
      </c>
      <c r="O59" s="12">
        <f t="shared" si="8"/>
        <v>4.3299169865258111</v>
      </c>
      <c r="P59" s="148"/>
    </row>
    <row r="60" spans="1:16" x14ac:dyDescent="0.35">
      <c r="A60" s="3" t="s">
        <v>40</v>
      </c>
      <c r="B60" s="3">
        <v>794271360</v>
      </c>
      <c r="C60" s="3">
        <v>687438803</v>
      </c>
      <c r="D60" s="3">
        <v>2407101687</v>
      </c>
      <c r="E60" s="3">
        <v>3094540490</v>
      </c>
      <c r="F60" s="8"/>
      <c r="G60" s="3">
        <f>3*420</f>
        <v>1260</v>
      </c>
      <c r="H60" s="22">
        <v>0.53890000000000005</v>
      </c>
      <c r="I60" s="3">
        <f>H60*G60</f>
        <v>679.01400000000001</v>
      </c>
      <c r="J60" s="23">
        <f t="shared" ref="J60:J65" si="14">B60/(I60*8760)/1000</f>
        <v>0.13353221962336928</v>
      </c>
      <c r="K60" s="3" t="s">
        <v>143</v>
      </c>
      <c r="L60" s="3">
        <f t="shared" si="9"/>
        <v>1012.4074069164994</v>
      </c>
      <c r="M60" s="11">
        <f t="shared" si="6"/>
        <v>0.86549614857068491</v>
      </c>
      <c r="N60" s="11">
        <f t="shared" si="7"/>
        <v>3.0305784750944564</v>
      </c>
      <c r="O60" s="11">
        <f t="shared" si="8"/>
        <v>3.8960746236651413</v>
      </c>
      <c r="P60" s="148"/>
    </row>
    <row r="61" spans="1:16" x14ac:dyDescent="0.35">
      <c r="A61" s="3" t="s">
        <v>28</v>
      </c>
      <c r="B61" s="3">
        <v>382214989</v>
      </c>
      <c r="C61" s="3">
        <v>493458754</v>
      </c>
      <c r="D61" s="3">
        <v>1072768320</v>
      </c>
      <c r="E61" s="3">
        <v>1566227073</v>
      </c>
      <c r="F61" s="8"/>
      <c r="G61" s="3">
        <v>500</v>
      </c>
      <c r="H61" s="22">
        <v>0.53890000000000005</v>
      </c>
      <c r="I61" s="3">
        <f>H61*G61</f>
        <v>269.45000000000005</v>
      </c>
      <c r="J61" s="23">
        <f t="shared" si="14"/>
        <v>0.16192929322457125</v>
      </c>
      <c r="K61" s="3" t="s">
        <v>143</v>
      </c>
      <c r="L61" s="3">
        <f t="shared" si="9"/>
        <v>1831.3555539061047</v>
      </c>
      <c r="M61" s="11">
        <f t="shared" si="6"/>
        <v>1.2910502418836327</v>
      </c>
      <c r="N61" s="11">
        <f t="shared" si="7"/>
        <v>2.8067144169482061</v>
      </c>
      <c r="O61" s="11">
        <f t="shared" si="8"/>
        <v>4.0977646562155101</v>
      </c>
      <c r="P61" s="148"/>
    </row>
    <row r="62" spans="1:16" x14ac:dyDescent="0.35">
      <c r="A62" s="3" t="s">
        <v>29</v>
      </c>
      <c r="B62" s="3">
        <v>289957716</v>
      </c>
      <c r="C62" s="3">
        <v>280501942</v>
      </c>
      <c r="D62" s="3">
        <v>1133720310</v>
      </c>
      <c r="E62" s="3">
        <v>1414222252</v>
      </c>
      <c r="F62" s="8"/>
      <c r="G62" s="3">
        <v>420</v>
      </c>
      <c r="H62" s="22">
        <v>0.53890000000000005</v>
      </c>
      <c r="I62" s="3">
        <f>H62*G62</f>
        <v>226.33800000000002</v>
      </c>
      <c r="J62" s="23">
        <f t="shared" si="14"/>
        <v>0.14624232736178175</v>
      </c>
      <c r="K62" s="3" t="s">
        <v>143</v>
      </c>
      <c r="L62" s="3">
        <f t="shared" si="9"/>
        <v>1239.3055607100885</v>
      </c>
      <c r="M62" s="11">
        <f t="shared" si="6"/>
        <v>0.96738912786856135</v>
      </c>
      <c r="N62" s="11">
        <f t="shared" si="7"/>
        <v>3.9099504770550753</v>
      </c>
      <c r="O62" s="11">
        <f t="shared" si="8"/>
        <v>4.8773396049236366</v>
      </c>
      <c r="P62" s="148"/>
    </row>
    <row r="63" spans="1:16" x14ac:dyDescent="0.35">
      <c r="A63" s="3" t="s">
        <v>30</v>
      </c>
      <c r="B63" s="3">
        <v>300483486</v>
      </c>
      <c r="C63" s="3">
        <v>445340973</v>
      </c>
      <c r="D63" s="3">
        <v>1179296214</v>
      </c>
      <c r="E63" s="3">
        <v>1624637187</v>
      </c>
      <c r="F63" s="8"/>
      <c r="G63" s="3">
        <v>420</v>
      </c>
      <c r="H63" s="22">
        <v>0.53890000000000005</v>
      </c>
      <c r="I63" s="3">
        <f>H63*G63</f>
        <v>226.33800000000002</v>
      </c>
      <c r="J63" s="23">
        <f t="shared" si="14"/>
        <v>0.15155107762823378</v>
      </c>
      <c r="K63" s="3" t="s">
        <v>143</v>
      </c>
      <c r="L63" s="3">
        <f t="shared" si="9"/>
        <v>1967.5925960289478</v>
      </c>
      <c r="M63" s="11">
        <f t="shared" si="6"/>
        <v>1.4820813580417527</v>
      </c>
      <c r="N63" s="11">
        <f t="shared" si="7"/>
        <v>3.9246623157187415</v>
      </c>
      <c r="O63" s="11">
        <f t="shared" si="8"/>
        <v>5.4067436737604941</v>
      </c>
      <c r="P63" s="148"/>
    </row>
    <row r="64" spans="1:16" x14ac:dyDescent="0.35">
      <c r="A64" s="3" t="s">
        <v>31</v>
      </c>
      <c r="B64" s="3">
        <v>131730281</v>
      </c>
      <c r="C64" s="3">
        <v>298493715</v>
      </c>
      <c r="D64" s="3">
        <v>512834922</v>
      </c>
      <c r="E64" s="3">
        <v>811328637</v>
      </c>
      <c r="F64" s="8"/>
      <c r="G64" s="3">
        <v>210</v>
      </c>
      <c r="H64" s="22">
        <v>0.53890000000000005</v>
      </c>
      <c r="I64" s="3">
        <f>H64*G64</f>
        <v>113.16900000000001</v>
      </c>
      <c r="J64" s="23">
        <f t="shared" si="14"/>
        <v>0.13287829096751128</v>
      </c>
      <c r="K64" s="3" t="s">
        <v>143</v>
      </c>
      <c r="L64" s="3">
        <f t="shared" si="9"/>
        <v>2637.592582774434</v>
      </c>
      <c r="M64" s="11">
        <f t="shared" si="6"/>
        <v>2.2659460887356642</v>
      </c>
      <c r="N64" s="11">
        <f t="shared" si="7"/>
        <v>3.8930678512710375</v>
      </c>
      <c r="O64" s="11">
        <f t="shared" si="8"/>
        <v>6.1590139400067017</v>
      </c>
      <c r="P64" s="148"/>
    </row>
    <row r="65" spans="1:16" x14ac:dyDescent="0.35">
      <c r="A65" s="3" t="s">
        <v>32</v>
      </c>
      <c r="B65" s="3">
        <v>18174720</v>
      </c>
      <c r="C65" s="3">
        <v>89586624</v>
      </c>
      <c r="D65" s="3">
        <v>0</v>
      </c>
      <c r="E65" s="3">
        <v>89586624</v>
      </c>
      <c r="F65" s="8"/>
      <c r="G65" s="3">
        <f>120+72+234</f>
        <v>426</v>
      </c>
      <c r="H65" s="3"/>
      <c r="I65" s="3">
        <f>45.27+31.04+117</f>
        <v>193.31</v>
      </c>
      <c r="J65" s="23">
        <f t="shared" si="14"/>
        <v>1.0732707702795495E-2</v>
      </c>
      <c r="K65" s="3" t="s">
        <v>1604</v>
      </c>
      <c r="L65" s="3">
        <f t="shared" si="9"/>
        <v>463.43502146810823</v>
      </c>
      <c r="M65" s="11">
        <f t="shared" si="6"/>
        <v>4.9291886752588212</v>
      </c>
      <c r="N65" s="11">
        <f t="shared" si="7"/>
        <v>0</v>
      </c>
      <c r="O65" s="11">
        <f t="shared" si="8"/>
        <v>4.9291886752588212</v>
      </c>
      <c r="P65" s="148"/>
    </row>
    <row r="66" spans="1:16" x14ac:dyDescent="0.35">
      <c r="A66" s="10" t="s">
        <v>37</v>
      </c>
      <c r="B66" s="10">
        <v>1916832550</v>
      </c>
      <c r="C66" s="10">
        <v>2294820812</v>
      </c>
      <c r="D66" s="10">
        <v>6305721452</v>
      </c>
      <c r="E66" s="10">
        <v>8600542264</v>
      </c>
      <c r="F66" s="9"/>
      <c r="G66" s="10"/>
      <c r="H66" s="10"/>
      <c r="I66" s="10"/>
      <c r="J66" s="10"/>
      <c r="K66" s="10"/>
      <c r="L66" s="3" t="e">
        <f t="shared" si="9"/>
        <v>#DIV/0!</v>
      </c>
      <c r="M66" s="12">
        <f t="shared" si="6"/>
        <v>1.1971942004010732</v>
      </c>
      <c r="N66" s="12">
        <f t="shared" si="7"/>
        <v>3.2896569144759149</v>
      </c>
      <c r="O66" s="12">
        <f t="shared" si="8"/>
        <v>4.4868511148769885</v>
      </c>
      <c r="P66" s="148"/>
    </row>
    <row r="67" spans="1:16" x14ac:dyDescent="0.35">
      <c r="A67" s="3" t="s">
        <v>38</v>
      </c>
      <c r="B67" s="3">
        <v>9003700000</v>
      </c>
      <c r="C67" s="3">
        <v>14985351176</v>
      </c>
      <c r="D67" s="3">
        <v>19374039046</v>
      </c>
      <c r="E67" s="3">
        <v>34359390222</v>
      </c>
      <c r="F67" s="8"/>
      <c r="G67" s="3"/>
      <c r="H67" s="3"/>
      <c r="I67" s="154">
        <f>C67/L67/1000</f>
        <v>1189.3135853968254</v>
      </c>
      <c r="J67" s="3"/>
      <c r="K67" s="14" t="s">
        <v>143</v>
      </c>
      <c r="L67" s="3">
        <v>12600</v>
      </c>
      <c r="M67" s="11">
        <f t="shared" si="6"/>
        <v>1.664354784810689</v>
      </c>
      <c r="N67" s="11">
        <f t="shared" si="7"/>
        <v>2.1517863818208069</v>
      </c>
      <c r="O67" s="11">
        <f t="shared" si="8"/>
        <v>3.8161411666314962</v>
      </c>
      <c r="P67" s="148"/>
    </row>
    <row r="68" spans="1:16" x14ac:dyDescent="0.35">
      <c r="A68" s="3" t="s">
        <v>39</v>
      </c>
      <c r="B68" s="3">
        <v>5421163750</v>
      </c>
      <c r="C68" s="3">
        <v>14637142125</v>
      </c>
      <c r="D68" s="3">
        <v>6505396500</v>
      </c>
      <c r="E68" s="3">
        <v>21142538625</v>
      </c>
      <c r="F68" s="8"/>
      <c r="G68" s="3"/>
      <c r="H68" s="3"/>
      <c r="I68" s="154">
        <f>C68/L68/1000</f>
        <v>782.73487299465239</v>
      </c>
      <c r="J68" s="3"/>
      <c r="K68" s="14" t="s">
        <v>143</v>
      </c>
      <c r="L68" s="3">
        <v>18700</v>
      </c>
      <c r="M68" s="11">
        <f t="shared" si="6"/>
        <v>2.7</v>
      </c>
      <c r="N68" s="11">
        <f t="shared" si="7"/>
        <v>1.2</v>
      </c>
      <c r="O68" s="11">
        <f t="shared" si="8"/>
        <v>3.9</v>
      </c>
      <c r="P68" s="148"/>
    </row>
    <row r="69" spans="1:16" x14ac:dyDescent="0.35">
      <c r="A69" s="10" t="s">
        <v>1176</v>
      </c>
      <c r="B69" s="10">
        <v>51738301815</v>
      </c>
      <c r="C69" s="10">
        <v>92974942665</v>
      </c>
      <c r="D69" s="10">
        <v>118988693382</v>
      </c>
      <c r="E69" s="10">
        <v>211963636047</v>
      </c>
      <c r="F69" s="9"/>
      <c r="G69" s="10"/>
      <c r="H69" s="10"/>
      <c r="I69" s="10"/>
      <c r="J69" s="10"/>
      <c r="K69" s="10"/>
      <c r="L69" s="3" t="e">
        <f t="shared" si="9"/>
        <v>#DIV/0!</v>
      </c>
      <c r="M69" s="12">
        <f t="shared" si="6"/>
        <v>1.7970234701063312</v>
      </c>
      <c r="N69" s="12">
        <f t="shared" si="7"/>
        <v>2.2998183011005344</v>
      </c>
      <c r="O69" s="12">
        <f t="shared" si="8"/>
        <v>4.0968417712068659</v>
      </c>
      <c r="P69" s="148"/>
    </row>
    <row r="70" spans="1:16" x14ac:dyDescent="0.35">
      <c r="A70" s="302" t="s">
        <v>1175</v>
      </c>
      <c r="B70" s="302"/>
      <c r="C70" s="302"/>
      <c r="D70" s="302"/>
      <c r="E70" s="302">
        <v>4.0970000000000004</v>
      </c>
      <c r="F70" s="8"/>
      <c r="G70" s="302"/>
      <c r="H70" s="302"/>
      <c r="I70" s="302"/>
      <c r="J70" s="302"/>
      <c r="K70" s="302"/>
      <c r="L70" s="302"/>
      <c r="M70" s="302"/>
      <c r="N70" s="302"/>
      <c r="O70" s="302"/>
      <c r="P70" s="148"/>
    </row>
    <row r="71" spans="1:16" x14ac:dyDescent="0.35">
      <c r="A71" s="202" t="s">
        <v>348</v>
      </c>
      <c r="B71" s="3">
        <f>184.35*10^6</f>
        <v>184350000</v>
      </c>
      <c r="C71" s="3">
        <f>0</f>
        <v>0</v>
      </c>
      <c r="D71" s="3">
        <f>86.65*10^7</f>
        <v>866500000</v>
      </c>
      <c r="E71" s="3">
        <f>C71+D71</f>
        <v>866500000</v>
      </c>
      <c r="F71" s="8"/>
      <c r="G71" s="3">
        <f>Capacity!K287</f>
        <v>128.1</v>
      </c>
      <c r="H71" s="31">
        <v>1</v>
      </c>
      <c r="I71" s="3">
        <f>G71*H71</f>
        <v>128.1</v>
      </c>
      <c r="J71" s="3"/>
      <c r="K71" s="3" t="s">
        <v>1606</v>
      </c>
      <c r="L71" s="3">
        <v>0</v>
      </c>
      <c r="M71" s="11">
        <f t="shared" ref="M71:O74" si="15">C71/$B71</f>
        <v>0</v>
      </c>
      <c r="N71" s="11">
        <f t="shared" si="15"/>
        <v>4.7002983455383784</v>
      </c>
      <c r="O71" s="11">
        <f t="shared" si="15"/>
        <v>4.7002983455383784</v>
      </c>
    </row>
    <row r="72" spans="1:16" s="263" customFormat="1" x14ac:dyDescent="0.35">
      <c r="A72" s="202" t="s">
        <v>1174</v>
      </c>
      <c r="B72" s="3">
        <f>5469.03*10^6</f>
        <v>5469030000</v>
      </c>
      <c r="C72" s="3">
        <f>0</f>
        <v>0</v>
      </c>
      <c r="D72" s="3">
        <f>(1831.74+744.62)*10^7</f>
        <v>25763600000</v>
      </c>
      <c r="E72" s="3">
        <f>C72+D72</f>
        <v>25763600000</v>
      </c>
      <c r="F72" s="8"/>
      <c r="G72" s="3">
        <f>Capacity!L287</f>
        <v>3592.09</v>
      </c>
      <c r="H72" s="31">
        <v>1</v>
      </c>
      <c r="I72" s="3">
        <f>G72*H72</f>
        <v>3592.09</v>
      </c>
      <c r="J72" s="3"/>
      <c r="K72" s="3" t="s">
        <v>1636</v>
      </c>
      <c r="L72" s="3"/>
      <c r="M72" s="11">
        <f t="shared" si="15"/>
        <v>0</v>
      </c>
      <c r="N72" s="11">
        <f t="shared" si="15"/>
        <v>4.7108170918791812</v>
      </c>
      <c r="O72" s="11">
        <f t="shared" si="15"/>
        <v>4.7108170918791812</v>
      </c>
    </row>
    <row r="73" spans="1:16" s="263" customFormat="1" x14ac:dyDescent="0.35">
      <c r="A73" s="202" t="s">
        <v>761</v>
      </c>
      <c r="B73" s="3">
        <f>5.98*10^6</f>
        <v>5980000</v>
      </c>
      <c r="C73" s="3">
        <f>(0.49+1.17)*10^7</f>
        <v>16600000</v>
      </c>
      <c r="D73" s="3">
        <f>0</f>
        <v>0</v>
      </c>
      <c r="E73" s="3">
        <f>C73+D73</f>
        <v>16600000</v>
      </c>
      <c r="F73" s="8"/>
      <c r="G73" s="3">
        <f>Capacity!N287</f>
        <v>90.87</v>
      </c>
      <c r="H73" s="31">
        <v>1</v>
      </c>
      <c r="I73" s="3">
        <f>G73*H73</f>
        <v>90.87</v>
      </c>
      <c r="J73" s="3"/>
      <c r="K73" s="202" t="s">
        <v>1603</v>
      </c>
      <c r="L73" s="3"/>
      <c r="M73" s="11">
        <f t="shared" si="15"/>
        <v>2.7759197324414715</v>
      </c>
      <c r="N73" s="11">
        <f t="shared" si="15"/>
        <v>0</v>
      </c>
      <c r="O73" s="11">
        <f t="shared" si="15"/>
        <v>2.7759197324414715</v>
      </c>
    </row>
    <row r="74" spans="1:16" x14ac:dyDescent="0.35">
      <c r="A74" s="202" t="s">
        <v>1098</v>
      </c>
      <c r="B74" s="3">
        <f>(151.94+28.5+154.29+58.69)*10^6</f>
        <v>393420000</v>
      </c>
      <c r="C74" s="3">
        <f>((7.08+16.02)+(0.96+2.34)+(4.14+5.49))*10^7</f>
        <v>360300000</v>
      </c>
      <c r="D74" s="3">
        <f>((20.53+46.48)+(2.33+5.68)+(56.49+44.61)+(11.12+14.76))*10^7</f>
        <v>2020000000</v>
      </c>
      <c r="E74" s="3">
        <f>C74+D74</f>
        <v>2380300000</v>
      </c>
      <c r="F74" s="8"/>
      <c r="G74" s="3">
        <f>Capacity!M287</f>
        <v>177.6</v>
      </c>
      <c r="H74" s="31">
        <v>1</v>
      </c>
      <c r="I74" s="3">
        <f>G74*H74</f>
        <v>177.6</v>
      </c>
      <c r="J74" s="3"/>
      <c r="K74" s="3" t="s">
        <v>1605</v>
      </c>
      <c r="L74" s="3">
        <f>M74*55%*(1-9%)*8760</f>
        <v>4015.2816684459362</v>
      </c>
      <c r="M74" s="11">
        <f t="shared" si="15"/>
        <v>0.91581515937166391</v>
      </c>
      <c r="N74" s="11">
        <f t="shared" si="15"/>
        <v>5.1344618982258146</v>
      </c>
      <c r="O74" s="11">
        <f t="shared" si="15"/>
        <v>6.0502770575974782</v>
      </c>
    </row>
    <row r="75" spans="1:16" x14ac:dyDescent="0.35">
      <c r="B75" s="263"/>
    </row>
  </sheetData>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A369"/>
  <sheetViews>
    <sheetView workbookViewId="0"/>
  </sheetViews>
  <sheetFormatPr defaultRowHeight="14.5" x14ac:dyDescent="0.35"/>
  <cols>
    <col min="1" max="1" width="47.26953125" bestFit="1" customWidth="1"/>
    <col min="9" max="9" width="12" bestFit="1" customWidth="1"/>
    <col min="17" max="17" width="12.54296875" bestFit="1" customWidth="1"/>
  </cols>
  <sheetData>
    <row r="2" spans="1:8" ht="29" x14ac:dyDescent="0.35">
      <c r="A2" s="18" t="s">
        <v>157</v>
      </c>
      <c r="B2" s="18" t="s">
        <v>180</v>
      </c>
      <c r="C2" s="18" t="s">
        <v>146</v>
      </c>
      <c r="D2" s="18" t="s">
        <v>747</v>
      </c>
      <c r="E2" s="18" t="s">
        <v>738</v>
      </c>
      <c r="F2" s="18" t="s">
        <v>737</v>
      </c>
      <c r="G2" s="18" t="s">
        <v>182</v>
      </c>
      <c r="H2" s="18" t="s">
        <v>142</v>
      </c>
    </row>
    <row r="3" spans="1:8" x14ac:dyDescent="0.35">
      <c r="A3" s="3" t="s">
        <v>143</v>
      </c>
      <c r="B3" s="3" t="s">
        <v>739</v>
      </c>
      <c r="C3" s="11">
        <f>SUMIF($J$23:$J$75,$A3,B$23:B$75)</f>
        <v>4769.7179999999998</v>
      </c>
      <c r="D3" s="11">
        <f t="shared" ref="D3:F4" si="0">SUMIF($J$23:$J$141,$A3,C$23:C$141)</f>
        <v>24884.310000000005</v>
      </c>
      <c r="E3" s="11">
        <f t="shared" si="0"/>
        <v>3471.2600000000007</v>
      </c>
      <c r="F3" s="11">
        <f t="shared" si="0"/>
        <v>6384.56</v>
      </c>
      <c r="G3" s="11">
        <f>E3/C3*10^7/10^3</f>
        <v>7277.7048873748945</v>
      </c>
      <c r="H3" s="11">
        <f>F3/D3*10</f>
        <v>2.5656970195275655</v>
      </c>
    </row>
    <row r="4" spans="1:8" x14ac:dyDescent="0.35">
      <c r="A4" s="3" t="s">
        <v>144</v>
      </c>
      <c r="B4" s="3" t="s">
        <v>739</v>
      </c>
      <c r="C4" s="11">
        <f>SUMIF($J$23:$J$75,$A4,B$23:B$75)</f>
        <v>2641.75</v>
      </c>
      <c r="D4" s="11">
        <f t="shared" si="0"/>
        <v>11741.34</v>
      </c>
      <c r="E4" s="11">
        <f t="shared" si="0"/>
        <v>1493.5600000000004</v>
      </c>
      <c r="F4" s="11">
        <f t="shared" si="0"/>
        <v>3015.1200000000003</v>
      </c>
      <c r="G4" s="11">
        <f>E4/C4*10^7/10^3</f>
        <v>5653.676540172235</v>
      </c>
      <c r="H4" s="11">
        <f t="shared" ref="H4:H14" si="1">F4/D4*10</f>
        <v>2.5679522098840506</v>
      </c>
    </row>
    <row r="5" spans="1:8" x14ac:dyDescent="0.35">
      <c r="A5" s="3" t="s">
        <v>1612</v>
      </c>
      <c r="B5" s="3" t="s">
        <v>739</v>
      </c>
      <c r="C5" s="11">
        <f>SUM(C3:C4)</f>
        <v>7411.4679999999998</v>
      </c>
      <c r="D5" s="11">
        <f>SUM(D3:D4)</f>
        <v>36625.650000000009</v>
      </c>
      <c r="E5" s="11">
        <f>SUM(E3:E4)</f>
        <v>4964.8200000000015</v>
      </c>
      <c r="F5" s="11">
        <f>SUM(F3:F4)</f>
        <v>9399.68</v>
      </c>
      <c r="G5" s="11">
        <f>E5/C5*10^7/10^3</f>
        <v>6698.8348327214007</v>
      </c>
      <c r="H5" s="11">
        <f>F5/D5*10</f>
        <v>2.5664199816248989</v>
      </c>
    </row>
    <row r="6" spans="1:8" x14ac:dyDescent="0.35">
      <c r="A6" s="3" t="s">
        <v>1613</v>
      </c>
      <c r="B6" s="3" t="s">
        <v>739</v>
      </c>
      <c r="C6" s="11">
        <f t="shared" ref="C6:C14" si="2">SUMIF($J$23:$J$75,$A6,B$23:B$75)</f>
        <v>818.21720000000016</v>
      </c>
      <c r="D6" s="11">
        <f t="shared" ref="D6:F14" si="3">SUMIF($J$23:$J$141,$A6,C$23:C$141)</f>
        <v>2792.54</v>
      </c>
      <c r="E6" s="11">
        <f t="shared" si="3"/>
        <v>247.77</v>
      </c>
      <c r="F6" s="11">
        <f t="shared" si="3"/>
        <v>643.69999999999993</v>
      </c>
      <c r="G6" s="11">
        <f>E6/C6*10^7/10^3</f>
        <v>3028.1690485118129</v>
      </c>
      <c r="H6" s="11">
        <f t="shared" si="1"/>
        <v>2.3050699363303657</v>
      </c>
    </row>
    <row r="7" spans="1:8" x14ac:dyDescent="0.35">
      <c r="A7" s="3" t="s">
        <v>1614</v>
      </c>
      <c r="B7" s="3" t="s">
        <v>739</v>
      </c>
      <c r="C7" s="11">
        <f t="shared" si="2"/>
        <v>0</v>
      </c>
      <c r="D7" s="11">
        <f t="shared" si="3"/>
        <v>0</v>
      </c>
      <c r="E7" s="11">
        <f t="shared" si="3"/>
        <v>0</v>
      </c>
      <c r="F7" s="11">
        <f t="shared" si="3"/>
        <v>0</v>
      </c>
      <c r="G7" s="11">
        <v>0</v>
      </c>
      <c r="H7" s="11">
        <v>0</v>
      </c>
    </row>
    <row r="8" spans="1:8" x14ac:dyDescent="0.35">
      <c r="A8" s="3" t="s">
        <v>1615</v>
      </c>
      <c r="B8" s="3" t="s">
        <v>739</v>
      </c>
      <c r="C8" s="11">
        <f t="shared" si="2"/>
        <v>133.84399999999999</v>
      </c>
      <c r="D8" s="11">
        <f t="shared" si="3"/>
        <v>820.74</v>
      </c>
      <c r="E8" s="11">
        <f t="shared" si="3"/>
        <v>0</v>
      </c>
      <c r="F8" s="11">
        <f t="shared" si="3"/>
        <v>254.36999999999998</v>
      </c>
      <c r="G8" s="11">
        <f>E8/C8*10^7/10^3</f>
        <v>0</v>
      </c>
      <c r="H8" s="11">
        <f t="shared" si="1"/>
        <v>3.0992762628847137</v>
      </c>
    </row>
    <row r="9" spans="1:8" x14ac:dyDescent="0.35">
      <c r="A9" s="3" t="s">
        <v>1604</v>
      </c>
      <c r="B9" s="3" t="s">
        <v>739</v>
      </c>
      <c r="C9" s="11">
        <f t="shared" si="2"/>
        <v>1796.6</v>
      </c>
      <c r="D9" s="11">
        <f t="shared" si="3"/>
        <v>3255</v>
      </c>
      <c r="E9" s="11">
        <f t="shared" si="3"/>
        <v>474.48000000000008</v>
      </c>
      <c r="F9" s="11">
        <f t="shared" si="3"/>
        <v>0</v>
      </c>
      <c r="G9" s="11">
        <f>E9/C9*10^7/10^3</f>
        <v>2640.9885338973622</v>
      </c>
      <c r="H9" s="11">
        <f t="shared" si="1"/>
        <v>0</v>
      </c>
    </row>
    <row r="10" spans="1:8" x14ac:dyDescent="0.35">
      <c r="A10" s="3" t="s">
        <v>1603</v>
      </c>
      <c r="B10" s="3" t="s">
        <v>739</v>
      </c>
      <c r="C10" s="11">
        <f t="shared" si="2"/>
        <v>55.35</v>
      </c>
      <c r="D10" s="11">
        <f t="shared" si="3"/>
        <v>121.65</v>
      </c>
      <c r="E10" s="11">
        <f t="shared" si="3"/>
        <v>0.78</v>
      </c>
      <c r="F10" s="11">
        <f t="shared" si="3"/>
        <v>31.03</v>
      </c>
      <c r="G10" s="11">
        <f>E10/C10*10^7/10^3</f>
        <v>140.92140921409214</v>
      </c>
      <c r="H10" s="11">
        <f t="shared" si="1"/>
        <v>2.5507603781339911</v>
      </c>
    </row>
    <row r="11" spans="1:8" x14ac:dyDescent="0.35">
      <c r="A11" s="3" t="s">
        <v>1605</v>
      </c>
      <c r="B11" s="3" t="s">
        <v>739</v>
      </c>
      <c r="C11" s="11">
        <f t="shared" si="2"/>
        <v>271.36</v>
      </c>
      <c r="D11" s="11">
        <f t="shared" si="3"/>
        <v>455.52</v>
      </c>
      <c r="E11" s="11">
        <f t="shared" si="3"/>
        <v>0</v>
      </c>
      <c r="F11" s="11">
        <f t="shared" si="3"/>
        <v>301.98</v>
      </c>
      <c r="G11" s="11">
        <f>E11/C11*10^7/10^3</f>
        <v>0</v>
      </c>
      <c r="H11" s="11">
        <f t="shared" si="1"/>
        <v>6.6293466807165444</v>
      </c>
    </row>
    <row r="12" spans="1:8" x14ac:dyDescent="0.35">
      <c r="A12" s="3" t="s">
        <v>1636</v>
      </c>
      <c r="B12" s="3" t="s">
        <v>739</v>
      </c>
      <c r="C12" s="11">
        <f t="shared" si="2"/>
        <v>3240.19</v>
      </c>
      <c r="D12" s="11">
        <f t="shared" si="3"/>
        <v>8963.119999999999</v>
      </c>
      <c r="E12" s="11">
        <f t="shared" si="3"/>
        <v>486.07000000000005</v>
      </c>
      <c r="F12" s="11">
        <f t="shared" si="3"/>
        <v>3322.5199999999995</v>
      </c>
      <c r="G12" s="11">
        <f>E12/C12*10^7/10^3</f>
        <v>1500.1280789089528</v>
      </c>
      <c r="H12" s="11">
        <f t="shared" si="1"/>
        <v>3.7068788546845295</v>
      </c>
    </row>
    <row r="13" spans="1:8" x14ac:dyDescent="0.35">
      <c r="A13" s="3" t="s">
        <v>145</v>
      </c>
      <c r="B13" s="3" t="s">
        <v>739</v>
      </c>
      <c r="C13" s="11">
        <f t="shared" si="2"/>
        <v>0</v>
      </c>
      <c r="D13" s="11">
        <f t="shared" si="3"/>
        <v>0</v>
      </c>
      <c r="E13" s="11">
        <f t="shared" si="3"/>
        <v>0</v>
      </c>
      <c r="F13" s="11">
        <f t="shared" si="3"/>
        <v>0</v>
      </c>
      <c r="G13" s="11">
        <v>0</v>
      </c>
      <c r="H13" s="11">
        <v>0</v>
      </c>
    </row>
    <row r="14" spans="1:8" x14ac:dyDescent="0.35">
      <c r="A14" s="3" t="s">
        <v>1606</v>
      </c>
      <c r="B14" s="3" t="s">
        <v>739</v>
      </c>
      <c r="C14" s="11">
        <f t="shared" si="2"/>
        <v>4810.55</v>
      </c>
      <c r="D14" s="11">
        <f t="shared" si="3"/>
        <v>7808.58</v>
      </c>
      <c r="E14" s="11">
        <f t="shared" si="3"/>
        <v>0</v>
      </c>
      <c r="F14" s="11">
        <f t="shared" si="3"/>
        <v>3623.18</v>
      </c>
      <c r="G14" s="11">
        <f>E14/C14*10^7/10^3</f>
        <v>0</v>
      </c>
      <c r="H14" s="11">
        <f t="shared" si="1"/>
        <v>4.6399985656803153</v>
      </c>
    </row>
    <row r="16" spans="1:8" x14ac:dyDescent="0.35">
      <c r="A16" s="2" t="s">
        <v>49</v>
      </c>
    </row>
    <row r="17" spans="1:11" x14ac:dyDescent="0.35">
      <c r="A17" s="2" t="s">
        <v>256</v>
      </c>
      <c r="B17" s="2" t="s">
        <v>255</v>
      </c>
    </row>
    <row r="18" spans="1:11" x14ac:dyDescent="0.35">
      <c r="A18" s="2" t="s">
        <v>140</v>
      </c>
      <c r="B18" s="2" t="s">
        <v>48</v>
      </c>
    </row>
    <row r="20" spans="1:11" x14ac:dyDescent="0.35">
      <c r="A20" s="2" t="s">
        <v>249</v>
      </c>
      <c r="B20" s="2" t="s">
        <v>250</v>
      </c>
    </row>
    <row r="21" spans="1:11" x14ac:dyDescent="0.35">
      <c r="A21" s="2" t="s">
        <v>112</v>
      </c>
      <c r="B21" s="2" t="s">
        <v>248</v>
      </c>
      <c r="C21" s="2" t="s">
        <v>251</v>
      </c>
    </row>
    <row r="22" spans="1:11" ht="43.5" x14ac:dyDescent="0.35">
      <c r="A22" s="3" t="s">
        <v>108</v>
      </c>
      <c r="B22" s="4" t="s">
        <v>146</v>
      </c>
      <c r="C22" s="4" t="s">
        <v>186</v>
      </c>
      <c r="D22" s="4" t="s">
        <v>117</v>
      </c>
      <c r="E22" s="4" t="s">
        <v>116</v>
      </c>
      <c r="F22" s="4" t="s">
        <v>187</v>
      </c>
      <c r="G22" s="4" t="s">
        <v>188</v>
      </c>
      <c r="H22" s="4" t="s">
        <v>119</v>
      </c>
      <c r="I22" s="4" t="s">
        <v>189</v>
      </c>
      <c r="J22" s="7" t="s">
        <v>157</v>
      </c>
      <c r="K22" s="7" t="s">
        <v>254</v>
      </c>
    </row>
    <row r="23" spans="1:11" x14ac:dyDescent="0.35">
      <c r="A23" s="3" t="s">
        <v>190</v>
      </c>
      <c r="B23" s="3">
        <v>8.25</v>
      </c>
      <c r="C23" s="3">
        <v>8.7899999999999991</v>
      </c>
      <c r="D23" s="3">
        <v>0</v>
      </c>
      <c r="E23" s="3">
        <v>1.59</v>
      </c>
      <c r="F23" s="3">
        <v>1.81</v>
      </c>
      <c r="G23" s="3">
        <v>0</v>
      </c>
      <c r="H23" s="3">
        <v>1.59</v>
      </c>
      <c r="I23" s="3">
        <v>1.81</v>
      </c>
      <c r="J23" s="3" t="s">
        <v>1603</v>
      </c>
      <c r="K23" s="3">
        <f t="shared" ref="K23:K54" si="4">(D23+D84)/B23*10^7/10^3</f>
        <v>0</v>
      </c>
    </row>
    <row r="24" spans="1:11" x14ac:dyDescent="0.35">
      <c r="A24" s="3" t="s">
        <v>191</v>
      </c>
      <c r="B24" s="3">
        <v>46.1</v>
      </c>
      <c r="C24" s="3">
        <v>67.89</v>
      </c>
      <c r="D24" s="3">
        <v>0</v>
      </c>
      <c r="E24" s="3">
        <v>18.46</v>
      </c>
      <c r="F24" s="3">
        <v>2.72</v>
      </c>
      <c r="G24" s="3">
        <v>0</v>
      </c>
      <c r="H24" s="3">
        <v>18.46</v>
      </c>
      <c r="I24" s="3">
        <v>2.72</v>
      </c>
      <c r="J24" s="3" t="s">
        <v>1603</v>
      </c>
      <c r="K24" s="3">
        <f t="shared" si="4"/>
        <v>0</v>
      </c>
    </row>
    <row r="25" spans="1:11" x14ac:dyDescent="0.35">
      <c r="A25" s="3" t="s">
        <v>192</v>
      </c>
      <c r="B25" s="3">
        <v>4810.55</v>
      </c>
      <c r="C25" s="3">
        <v>5046.05</v>
      </c>
      <c r="D25" s="3">
        <v>0</v>
      </c>
      <c r="E25" s="3">
        <v>2341.37</v>
      </c>
      <c r="F25" s="3">
        <v>4.6399999999999997</v>
      </c>
      <c r="G25" s="3">
        <v>0</v>
      </c>
      <c r="H25" s="3">
        <v>2341.37</v>
      </c>
      <c r="I25" s="3">
        <v>4.6399999999999997</v>
      </c>
      <c r="J25" s="3" t="s">
        <v>1606</v>
      </c>
      <c r="K25" s="3">
        <f t="shared" si="4"/>
        <v>0</v>
      </c>
    </row>
    <row r="26" spans="1:11" x14ac:dyDescent="0.35">
      <c r="A26" s="3" t="s">
        <v>193</v>
      </c>
      <c r="B26" s="3">
        <v>2050</v>
      </c>
      <c r="C26" s="3">
        <v>2100.1999999999998</v>
      </c>
      <c r="D26" s="3">
        <v>0</v>
      </c>
      <c r="E26" s="3">
        <v>1006</v>
      </c>
      <c r="F26" s="3">
        <v>4.79</v>
      </c>
      <c r="G26" s="3">
        <v>0</v>
      </c>
      <c r="H26" s="3">
        <v>1006</v>
      </c>
      <c r="I26" s="3">
        <v>4.79</v>
      </c>
      <c r="J26" s="3" t="s">
        <v>1636</v>
      </c>
      <c r="K26" s="3">
        <f t="shared" si="4"/>
        <v>0</v>
      </c>
    </row>
    <row r="27" spans="1:11" x14ac:dyDescent="0.35">
      <c r="A27" s="3" t="s">
        <v>194</v>
      </c>
      <c r="B27" s="3">
        <v>105.2</v>
      </c>
      <c r="C27" s="3">
        <v>48.52</v>
      </c>
      <c r="D27" s="3">
        <v>0</v>
      </c>
      <c r="E27" s="3">
        <v>23.34</v>
      </c>
      <c r="F27" s="3">
        <v>4.8099999999999996</v>
      </c>
      <c r="G27" s="3">
        <v>0</v>
      </c>
      <c r="H27" s="3">
        <v>23.34</v>
      </c>
      <c r="I27" s="3">
        <v>4.8099999999999996</v>
      </c>
      <c r="J27" s="3" t="s">
        <v>1605</v>
      </c>
      <c r="K27" s="3">
        <f t="shared" si="4"/>
        <v>0</v>
      </c>
    </row>
    <row r="28" spans="1:11" x14ac:dyDescent="0.35">
      <c r="A28" s="3" t="s">
        <v>195</v>
      </c>
      <c r="B28" s="3">
        <v>556</v>
      </c>
      <c r="C28" s="3">
        <v>629.49</v>
      </c>
      <c r="D28" s="3">
        <v>0</v>
      </c>
      <c r="E28" s="3">
        <v>374.55</v>
      </c>
      <c r="F28" s="3">
        <v>5.95</v>
      </c>
      <c r="G28" s="3">
        <v>0</v>
      </c>
      <c r="H28" s="3">
        <v>374.55</v>
      </c>
      <c r="I28" s="3">
        <v>5.95</v>
      </c>
      <c r="J28" s="3" t="s">
        <v>1636</v>
      </c>
      <c r="K28" s="3">
        <f t="shared" si="4"/>
        <v>0</v>
      </c>
    </row>
    <row r="29" spans="1:11" x14ac:dyDescent="0.35">
      <c r="A29" s="3" t="s">
        <v>217</v>
      </c>
      <c r="B29" s="3">
        <v>21.66</v>
      </c>
      <c r="C29" s="3">
        <v>19.670000000000002</v>
      </c>
      <c r="D29" s="3">
        <v>0</v>
      </c>
      <c r="E29" s="3">
        <v>13.48</v>
      </c>
      <c r="F29" s="3">
        <v>6.85</v>
      </c>
      <c r="G29" s="3">
        <v>0</v>
      </c>
      <c r="H29" s="3">
        <v>13.48</v>
      </c>
      <c r="I29" s="3">
        <v>6.85</v>
      </c>
      <c r="J29" s="3" t="s">
        <v>1605</v>
      </c>
      <c r="K29" s="3">
        <f t="shared" si="4"/>
        <v>0</v>
      </c>
    </row>
    <row r="30" spans="1:11" x14ac:dyDescent="0.35">
      <c r="A30" s="3" t="s">
        <v>196</v>
      </c>
      <c r="B30" s="3">
        <v>144.5</v>
      </c>
      <c r="C30" s="3">
        <v>226.18</v>
      </c>
      <c r="D30" s="3">
        <v>0</v>
      </c>
      <c r="E30" s="3">
        <v>158.32</v>
      </c>
      <c r="F30" s="3">
        <v>7</v>
      </c>
      <c r="G30" s="3">
        <v>0</v>
      </c>
      <c r="H30" s="3">
        <v>158.32</v>
      </c>
      <c r="I30" s="3">
        <v>7</v>
      </c>
      <c r="J30" s="3" t="s">
        <v>1605</v>
      </c>
      <c r="K30" s="3">
        <f t="shared" si="4"/>
        <v>0</v>
      </c>
    </row>
    <row r="31" spans="1:11" x14ac:dyDescent="0.35">
      <c r="A31" s="3" t="s">
        <v>197</v>
      </c>
      <c r="B31" s="3">
        <v>10</v>
      </c>
      <c r="C31" s="3">
        <v>2.1</v>
      </c>
      <c r="D31" s="3">
        <v>0</v>
      </c>
      <c r="E31" s="3">
        <v>1.97</v>
      </c>
      <c r="F31" s="3">
        <v>9.35</v>
      </c>
      <c r="G31" s="3">
        <v>0</v>
      </c>
      <c r="H31" s="3">
        <v>1.97</v>
      </c>
      <c r="I31" s="3">
        <v>9.35</v>
      </c>
      <c r="J31" s="3" t="s">
        <v>1636</v>
      </c>
      <c r="K31" s="3">
        <f t="shared" si="4"/>
        <v>0</v>
      </c>
    </row>
    <row r="32" spans="1:11" x14ac:dyDescent="0.35">
      <c r="A32" s="3" t="s">
        <v>198</v>
      </c>
      <c r="B32" s="3">
        <v>85</v>
      </c>
      <c r="C32" s="3">
        <v>8.06</v>
      </c>
      <c r="D32" s="3">
        <v>0</v>
      </c>
      <c r="E32" s="3">
        <v>8.58</v>
      </c>
      <c r="F32" s="3">
        <v>10.65</v>
      </c>
      <c r="G32" s="3">
        <v>0</v>
      </c>
      <c r="H32" s="3">
        <v>8.58</v>
      </c>
      <c r="I32" s="3">
        <v>10.65</v>
      </c>
      <c r="J32" s="3" t="s">
        <v>1636</v>
      </c>
      <c r="K32" s="3">
        <f t="shared" si="4"/>
        <v>0</v>
      </c>
    </row>
    <row r="33" spans="1:11" x14ac:dyDescent="0.35">
      <c r="A33" s="3" t="s">
        <v>199</v>
      </c>
      <c r="B33" s="3">
        <v>84</v>
      </c>
      <c r="C33" s="3">
        <v>211.96</v>
      </c>
      <c r="D33" s="3">
        <v>20.96</v>
      </c>
      <c r="E33" s="3">
        <v>0</v>
      </c>
      <c r="F33" s="3">
        <v>0</v>
      </c>
      <c r="G33" s="3">
        <v>0.99</v>
      </c>
      <c r="H33" s="3">
        <v>20.96</v>
      </c>
      <c r="I33" s="3">
        <v>0.99</v>
      </c>
      <c r="J33" s="3" t="s">
        <v>1604</v>
      </c>
      <c r="K33" s="3">
        <f t="shared" si="4"/>
        <v>3796.428571428572</v>
      </c>
    </row>
    <row r="34" spans="1:11" x14ac:dyDescent="0.35">
      <c r="A34" s="3" t="s">
        <v>200</v>
      </c>
      <c r="B34" s="3">
        <v>57.6</v>
      </c>
      <c r="C34" s="3">
        <v>84.01</v>
      </c>
      <c r="D34" s="3">
        <v>14.37</v>
      </c>
      <c r="E34" s="3">
        <v>0</v>
      </c>
      <c r="F34" s="3">
        <v>0</v>
      </c>
      <c r="G34" s="3">
        <v>1.71</v>
      </c>
      <c r="H34" s="3">
        <v>14.37</v>
      </c>
      <c r="I34" s="3">
        <v>1.71</v>
      </c>
      <c r="J34" s="3" t="s">
        <v>1604</v>
      </c>
      <c r="K34" s="3">
        <f t="shared" si="4"/>
        <v>3796.8749999999995</v>
      </c>
    </row>
    <row r="35" spans="1:11" x14ac:dyDescent="0.35">
      <c r="A35" s="3" t="s">
        <v>201</v>
      </c>
      <c r="B35" s="3">
        <v>240</v>
      </c>
      <c r="C35" s="3">
        <v>277.87</v>
      </c>
      <c r="D35" s="3">
        <v>37.76</v>
      </c>
      <c r="E35" s="3">
        <v>0</v>
      </c>
      <c r="F35" s="3">
        <v>0</v>
      </c>
      <c r="G35" s="3">
        <v>1.36</v>
      </c>
      <c r="H35" s="3">
        <v>37.76</v>
      </c>
      <c r="I35" s="3">
        <v>1.36</v>
      </c>
      <c r="J35" s="3" t="s">
        <v>1604</v>
      </c>
      <c r="K35" s="3">
        <f t="shared" si="4"/>
        <v>2393.75</v>
      </c>
    </row>
    <row r="36" spans="1:11" x14ac:dyDescent="0.35">
      <c r="A36" s="3" t="s">
        <v>202</v>
      </c>
      <c r="B36" s="3">
        <v>460</v>
      </c>
      <c r="C36" s="3">
        <v>697.92</v>
      </c>
      <c r="D36" s="3">
        <v>72.36</v>
      </c>
      <c r="E36" s="3">
        <v>0</v>
      </c>
      <c r="F36" s="3">
        <v>0</v>
      </c>
      <c r="G36" s="3">
        <v>1.04</v>
      </c>
      <c r="H36" s="3">
        <v>72.36</v>
      </c>
      <c r="I36" s="3">
        <v>1.04</v>
      </c>
      <c r="J36" s="3" t="s">
        <v>1604</v>
      </c>
      <c r="K36" s="3">
        <f t="shared" si="4"/>
        <v>2393.695652173913</v>
      </c>
    </row>
    <row r="37" spans="1:11" x14ac:dyDescent="0.35">
      <c r="A37" s="3" t="s">
        <v>203</v>
      </c>
      <c r="B37" s="3">
        <v>25</v>
      </c>
      <c r="C37" s="3">
        <v>64.62</v>
      </c>
      <c r="D37" s="3">
        <v>3.93</v>
      </c>
      <c r="E37" s="3">
        <v>0</v>
      </c>
      <c r="F37" s="3">
        <v>0</v>
      </c>
      <c r="G37" s="3">
        <v>0.61</v>
      </c>
      <c r="H37" s="3">
        <v>3.93</v>
      </c>
      <c r="I37" s="3">
        <v>0.61</v>
      </c>
      <c r="J37" s="3" t="s">
        <v>1604</v>
      </c>
      <c r="K37" s="3">
        <f t="shared" si="4"/>
        <v>2392.0000000000005</v>
      </c>
    </row>
    <row r="38" spans="1:11" x14ac:dyDescent="0.35">
      <c r="A38" s="3" t="s">
        <v>204</v>
      </c>
      <c r="B38" s="3">
        <v>770</v>
      </c>
      <c r="C38" s="3">
        <v>641.04999999999995</v>
      </c>
      <c r="D38" s="3">
        <v>112.07</v>
      </c>
      <c r="E38" s="3">
        <v>0</v>
      </c>
      <c r="F38" s="3">
        <v>0</v>
      </c>
      <c r="G38" s="3">
        <v>1.75</v>
      </c>
      <c r="H38" s="3">
        <v>112.07</v>
      </c>
      <c r="I38" s="3">
        <v>1.75</v>
      </c>
      <c r="J38" s="3" t="s">
        <v>1604</v>
      </c>
      <c r="K38" s="3">
        <f t="shared" si="4"/>
        <v>2214.545454545454</v>
      </c>
    </row>
    <row r="39" spans="1:11" x14ac:dyDescent="0.35">
      <c r="A39" s="3" t="s">
        <v>218</v>
      </c>
      <c r="B39" s="3">
        <v>90</v>
      </c>
      <c r="C39" s="3">
        <v>54.93</v>
      </c>
      <c r="D39" s="3">
        <v>11.73</v>
      </c>
      <c r="E39" s="3">
        <v>0</v>
      </c>
      <c r="F39" s="3">
        <v>0</v>
      </c>
      <c r="G39" s="3">
        <v>2.14</v>
      </c>
      <c r="H39" s="3">
        <v>11.73</v>
      </c>
      <c r="I39" s="3">
        <v>2.14</v>
      </c>
      <c r="J39" s="3" t="s">
        <v>1604</v>
      </c>
      <c r="K39" s="3">
        <f t="shared" si="4"/>
        <v>1983.3333333333337</v>
      </c>
    </row>
    <row r="40" spans="1:11" x14ac:dyDescent="0.35">
      <c r="A40" s="3" t="s">
        <v>205</v>
      </c>
      <c r="B40" s="3">
        <v>20</v>
      </c>
      <c r="C40" s="3">
        <v>4.5199999999999996</v>
      </c>
      <c r="D40" s="3">
        <v>6.93</v>
      </c>
      <c r="E40" s="3">
        <v>0</v>
      </c>
      <c r="F40" s="3">
        <v>0</v>
      </c>
      <c r="G40" s="3">
        <v>15.33</v>
      </c>
      <c r="H40" s="3">
        <v>6.93</v>
      </c>
      <c r="I40" s="3">
        <v>15.33</v>
      </c>
      <c r="J40" s="3" t="s">
        <v>1604</v>
      </c>
      <c r="K40" s="3">
        <f t="shared" si="4"/>
        <v>5275.0000000000009</v>
      </c>
    </row>
    <row r="41" spans="1:11" x14ac:dyDescent="0.35">
      <c r="A41" s="3" t="s">
        <v>206</v>
      </c>
      <c r="B41" s="3">
        <v>1</v>
      </c>
      <c r="C41" s="3">
        <v>1.94</v>
      </c>
      <c r="D41" s="3">
        <v>0.51</v>
      </c>
      <c r="E41" s="3">
        <v>0</v>
      </c>
      <c r="F41" s="3">
        <v>0</v>
      </c>
      <c r="G41" s="3">
        <v>2.64</v>
      </c>
      <c r="H41" s="3">
        <v>0.51</v>
      </c>
      <c r="I41" s="3">
        <v>2.64</v>
      </c>
      <c r="J41" s="3" t="s">
        <v>1603</v>
      </c>
      <c r="K41" s="3">
        <f t="shared" si="4"/>
        <v>7800</v>
      </c>
    </row>
    <row r="42" spans="1:11" x14ac:dyDescent="0.35">
      <c r="A42" s="3" t="s">
        <v>219</v>
      </c>
      <c r="B42" s="3">
        <v>50</v>
      </c>
      <c r="C42" s="3">
        <v>66.56</v>
      </c>
      <c r="D42" s="3">
        <v>31.72</v>
      </c>
      <c r="E42" s="3">
        <v>0</v>
      </c>
      <c r="F42" s="3">
        <v>0</v>
      </c>
      <c r="G42" s="3">
        <v>4.7699999999999996</v>
      </c>
      <c r="H42" s="3">
        <v>31.72</v>
      </c>
      <c r="I42" s="3">
        <v>4.7699999999999996</v>
      </c>
      <c r="J42" s="3" t="s">
        <v>1604</v>
      </c>
      <c r="K42" s="3">
        <f t="shared" si="4"/>
        <v>9652</v>
      </c>
    </row>
    <row r="43" spans="1:11" x14ac:dyDescent="0.35">
      <c r="A43" s="3" t="s">
        <v>207</v>
      </c>
      <c r="B43" s="3">
        <v>18.303999999999998</v>
      </c>
      <c r="C43" s="3">
        <v>64.63</v>
      </c>
      <c r="D43" s="3">
        <v>0</v>
      </c>
      <c r="E43" s="3">
        <v>14.41</v>
      </c>
      <c r="F43" s="3">
        <v>2.23</v>
      </c>
      <c r="G43" s="3">
        <v>0</v>
      </c>
      <c r="H43" s="3">
        <v>14.41</v>
      </c>
      <c r="I43" s="3">
        <v>2.23</v>
      </c>
      <c r="J43" s="3" t="s">
        <v>1615</v>
      </c>
      <c r="K43" s="3">
        <f t="shared" si="4"/>
        <v>0</v>
      </c>
    </row>
    <row r="44" spans="1:11" x14ac:dyDescent="0.35">
      <c r="A44" s="3" t="s">
        <v>208</v>
      </c>
      <c r="B44" s="3">
        <v>55.92</v>
      </c>
      <c r="C44" s="3">
        <v>229.24</v>
      </c>
      <c r="D44" s="3">
        <v>0</v>
      </c>
      <c r="E44" s="3">
        <v>73.81</v>
      </c>
      <c r="F44" s="3">
        <v>3.22</v>
      </c>
      <c r="G44" s="3">
        <v>0</v>
      </c>
      <c r="H44" s="3">
        <v>73.81</v>
      </c>
      <c r="I44" s="3">
        <v>3.22</v>
      </c>
      <c r="J44" s="3" t="s">
        <v>1615</v>
      </c>
      <c r="K44" s="3">
        <f t="shared" si="4"/>
        <v>0</v>
      </c>
    </row>
    <row r="45" spans="1:11" x14ac:dyDescent="0.35">
      <c r="A45" s="3" t="s">
        <v>209</v>
      </c>
      <c r="B45" s="3">
        <v>59.62</v>
      </c>
      <c r="C45" s="3">
        <v>236.51</v>
      </c>
      <c r="D45" s="3">
        <v>0</v>
      </c>
      <c r="E45" s="3">
        <v>76.16</v>
      </c>
      <c r="F45" s="3">
        <v>3.22</v>
      </c>
      <c r="G45" s="3">
        <v>0</v>
      </c>
      <c r="H45" s="3">
        <v>76.16</v>
      </c>
      <c r="I45" s="3">
        <v>3.22</v>
      </c>
      <c r="J45" s="3" t="s">
        <v>1615</v>
      </c>
      <c r="K45" s="3">
        <f t="shared" si="4"/>
        <v>0</v>
      </c>
    </row>
    <row r="46" spans="1:11" x14ac:dyDescent="0.35">
      <c r="A46" s="3" t="s">
        <v>210</v>
      </c>
      <c r="B46" s="3">
        <v>164.4</v>
      </c>
      <c r="C46" s="3">
        <v>807.89</v>
      </c>
      <c r="D46" s="3">
        <v>54.73</v>
      </c>
      <c r="E46" s="3">
        <v>112.3</v>
      </c>
      <c r="F46" s="3">
        <v>1.39</v>
      </c>
      <c r="G46" s="3">
        <v>0.68</v>
      </c>
      <c r="H46" s="3">
        <v>167.02</v>
      </c>
      <c r="I46" s="3">
        <v>2.0699999999999998</v>
      </c>
      <c r="J46" s="3" t="s">
        <v>143</v>
      </c>
      <c r="K46" s="3">
        <f t="shared" si="4"/>
        <v>5065.0851581508514</v>
      </c>
    </row>
    <row r="47" spans="1:11" x14ac:dyDescent="0.35">
      <c r="A47" s="3" t="s">
        <v>211</v>
      </c>
      <c r="B47" s="3">
        <v>230.55</v>
      </c>
      <c r="C47" s="3">
        <v>1026.1500000000001</v>
      </c>
      <c r="D47" s="3">
        <v>197.2</v>
      </c>
      <c r="E47" s="3">
        <v>201.12</v>
      </c>
      <c r="F47" s="3">
        <v>1.96</v>
      </c>
      <c r="G47" s="3">
        <v>1.92</v>
      </c>
      <c r="H47" s="3">
        <v>398.32</v>
      </c>
      <c r="I47" s="3">
        <v>3.88</v>
      </c>
      <c r="J47" s="14" t="s">
        <v>144</v>
      </c>
      <c r="K47" s="3">
        <f t="shared" si="4"/>
        <v>13014.964216005204</v>
      </c>
    </row>
    <row r="48" spans="1:11" x14ac:dyDescent="0.35">
      <c r="A48" s="3" t="s">
        <v>212</v>
      </c>
      <c r="B48" s="3">
        <v>63</v>
      </c>
      <c r="C48" s="3">
        <v>254.53</v>
      </c>
      <c r="D48" s="3">
        <v>22.57</v>
      </c>
      <c r="E48" s="3">
        <v>54.72</v>
      </c>
      <c r="F48" s="3">
        <v>2.15</v>
      </c>
      <c r="G48" s="3">
        <v>0.89</v>
      </c>
      <c r="H48" s="3">
        <v>77.290000000000006</v>
      </c>
      <c r="I48" s="3">
        <v>3.04</v>
      </c>
      <c r="J48" s="3" t="s">
        <v>143</v>
      </c>
      <c r="K48" s="3">
        <f t="shared" si="4"/>
        <v>5450.793650793652</v>
      </c>
    </row>
    <row r="49" spans="1:11" x14ac:dyDescent="0.35">
      <c r="A49" s="3" t="s">
        <v>213</v>
      </c>
      <c r="B49" s="3">
        <v>24.9572</v>
      </c>
      <c r="C49" s="3">
        <v>40.049999999999997</v>
      </c>
      <c r="D49" s="3">
        <v>1.75</v>
      </c>
      <c r="E49" s="3">
        <v>8.61</v>
      </c>
      <c r="F49" s="3">
        <v>2.15</v>
      </c>
      <c r="G49" s="3">
        <v>0.44</v>
      </c>
      <c r="H49" s="3">
        <v>10.36</v>
      </c>
      <c r="I49" s="3">
        <v>2.59</v>
      </c>
      <c r="J49" s="3" t="s">
        <v>1613</v>
      </c>
      <c r="K49" s="3">
        <f t="shared" si="4"/>
        <v>1065.8246918724856</v>
      </c>
    </row>
    <row r="50" spans="1:11" x14ac:dyDescent="0.35">
      <c r="A50" s="3" t="s">
        <v>214</v>
      </c>
      <c r="B50" s="3">
        <v>252.84</v>
      </c>
      <c r="C50" s="3">
        <v>1089.19</v>
      </c>
      <c r="D50" s="3">
        <v>84.54</v>
      </c>
      <c r="E50" s="3">
        <v>237.44</v>
      </c>
      <c r="F50" s="3">
        <v>2.1800000000000002</v>
      </c>
      <c r="G50" s="3">
        <v>0.78</v>
      </c>
      <c r="H50" s="3">
        <v>321.98</v>
      </c>
      <c r="I50" s="3">
        <v>2.96</v>
      </c>
      <c r="J50" s="3" t="s">
        <v>143</v>
      </c>
      <c r="K50" s="3">
        <f t="shared" si="4"/>
        <v>5087.4070558455942</v>
      </c>
    </row>
    <row r="51" spans="1:11" x14ac:dyDescent="0.35">
      <c r="A51" s="3" t="s">
        <v>215</v>
      </c>
      <c r="B51" s="3">
        <v>39.19</v>
      </c>
      <c r="C51" s="3">
        <v>221.85</v>
      </c>
      <c r="D51" s="3">
        <v>31.59</v>
      </c>
      <c r="E51" s="3">
        <v>48.36</v>
      </c>
      <c r="F51" s="3">
        <v>2.1800000000000002</v>
      </c>
      <c r="G51" s="3">
        <v>1.42</v>
      </c>
      <c r="H51" s="3">
        <v>79.95</v>
      </c>
      <c r="I51" s="3">
        <v>3.6</v>
      </c>
      <c r="J51" s="3" t="s">
        <v>1636</v>
      </c>
      <c r="K51" s="3">
        <f t="shared" si="4"/>
        <v>12265.884154120949</v>
      </c>
    </row>
    <row r="52" spans="1:11" x14ac:dyDescent="0.35">
      <c r="A52" s="3" t="s">
        <v>216</v>
      </c>
      <c r="B52" s="3">
        <v>112.95</v>
      </c>
      <c r="C52" s="3">
        <v>511.57</v>
      </c>
      <c r="D52" s="3">
        <v>92.56</v>
      </c>
      <c r="E52" s="3">
        <v>112.54</v>
      </c>
      <c r="F52" s="3">
        <v>2.2000000000000002</v>
      </c>
      <c r="G52" s="3">
        <v>1.81</v>
      </c>
      <c r="H52" s="3">
        <v>205.1</v>
      </c>
      <c r="I52" s="3">
        <v>4.01</v>
      </c>
      <c r="J52" s="3" t="s">
        <v>143</v>
      </c>
      <c r="K52" s="3">
        <f t="shared" si="4"/>
        <v>12469.234174413457</v>
      </c>
    </row>
    <row r="53" spans="1:11" x14ac:dyDescent="0.35">
      <c r="A53" s="3" t="s">
        <v>220</v>
      </c>
      <c r="B53" s="3">
        <v>216.82</v>
      </c>
      <c r="C53" s="3">
        <v>506.38</v>
      </c>
      <c r="D53" s="3">
        <v>40</v>
      </c>
      <c r="E53" s="3">
        <v>111.4</v>
      </c>
      <c r="F53" s="3">
        <v>2.2000000000000002</v>
      </c>
      <c r="G53" s="3">
        <v>0.79</v>
      </c>
      <c r="H53" s="3">
        <v>151.41</v>
      </c>
      <c r="I53" s="3">
        <v>2.99</v>
      </c>
      <c r="J53" s="3" t="s">
        <v>1613</v>
      </c>
      <c r="K53" s="3">
        <f t="shared" si="4"/>
        <v>2854.9026842542203</v>
      </c>
    </row>
    <row r="54" spans="1:11" x14ac:dyDescent="0.35">
      <c r="A54" s="3" t="s">
        <v>221</v>
      </c>
      <c r="B54" s="3">
        <v>361.92</v>
      </c>
      <c r="C54" s="3">
        <v>794.93</v>
      </c>
      <c r="D54" s="3">
        <v>77.61</v>
      </c>
      <c r="E54" s="3">
        <v>185.22</v>
      </c>
      <c r="F54" s="3">
        <v>2.33</v>
      </c>
      <c r="G54" s="3">
        <v>0.98</v>
      </c>
      <c r="H54" s="3">
        <v>262.83</v>
      </c>
      <c r="I54" s="3">
        <v>3.31</v>
      </c>
      <c r="J54" s="3" t="s">
        <v>1613</v>
      </c>
      <c r="K54" s="3">
        <f t="shared" si="4"/>
        <v>3262.8757736516359</v>
      </c>
    </row>
    <row r="55" spans="1:11" x14ac:dyDescent="0.35">
      <c r="A55" s="3" t="s">
        <v>258</v>
      </c>
      <c r="B55" s="3">
        <v>139.1</v>
      </c>
      <c r="C55" s="3">
        <v>627.48</v>
      </c>
      <c r="D55" s="3">
        <v>100.5</v>
      </c>
      <c r="E55" s="3">
        <v>149.97</v>
      </c>
      <c r="F55" s="3">
        <v>2.39</v>
      </c>
      <c r="G55" s="3">
        <v>1.6</v>
      </c>
      <c r="H55" s="3">
        <v>250.47</v>
      </c>
      <c r="I55" s="3">
        <v>3.99</v>
      </c>
      <c r="J55" s="14" t="s">
        <v>143</v>
      </c>
      <c r="K55" s="3">
        <f t="shared" ref="K55:K75" si="5">(D55+D116)/B55*10^7/10^3</f>
        <v>10993.529834651332</v>
      </c>
    </row>
    <row r="56" spans="1:11" x14ac:dyDescent="0.35">
      <c r="A56" s="3" t="s">
        <v>223</v>
      </c>
      <c r="B56" s="3">
        <v>205.19</v>
      </c>
      <c r="C56" s="3">
        <v>450.68</v>
      </c>
      <c r="D56" s="3">
        <v>42.17</v>
      </c>
      <c r="E56" s="3">
        <v>107.71</v>
      </c>
      <c r="F56" s="3">
        <v>2.39</v>
      </c>
      <c r="G56" s="3">
        <v>0.94</v>
      </c>
      <c r="H56" s="3">
        <v>149.88</v>
      </c>
      <c r="I56" s="3">
        <v>3.33</v>
      </c>
      <c r="J56" s="3" t="s">
        <v>1613</v>
      </c>
      <c r="K56" s="3">
        <f t="shared" si="5"/>
        <v>3126.8580340172516</v>
      </c>
    </row>
    <row r="57" spans="1:11" x14ac:dyDescent="0.35">
      <c r="A57" s="3" t="s">
        <v>224</v>
      </c>
      <c r="B57" s="3">
        <v>500</v>
      </c>
      <c r="C57" s="3">
        <v>1963.62</v>
      </c>
      <c r="D57" s="3">
        <v>272.85000000000002</v>
      </c>
      <c r="E57" s="3">
        <v>473.23</v>
      </c>
      <c r="F57" s="3">
        <v>2.41</v>
      </c>
      <c r="G57" s="3">
        <v>1.39</v>
      </c>
      <c r="H57" s="3">
        <v>746.08</v>
      </c>
      <c r="I57" s="3">
        <v>3.8</v>
      </c>
      <c r="J57" s="3" t="s">
        <v>143</v>
      </c>
      <c r="K57" s="3">
        <f t="shared" si="5"/>
        <v>8303.4000000000015</v>
      </c>
    </row>
    <row r="58" spans="1:11" x14ac:dyDescent="0.35">
      <c r="A58" s="3" t="s">
        <v>225</v>
      </c>
      <c r="B58" s="3">
        <v>9.33</v>
      </c>
      <c r="C58" s="3">
        <v>12.56</v>
      </c>
      <c r="D58" s="3">
        <v>0.63</v>
      </c>
      <c r="E58" s="3">
        <v>3.03</v>
      </c>
      <c r="F58" s="3">
        <v>2.41</v>
      </c>
      <c r="G58" s="3">
        <v>0.5</v>
      </c>
      <c r="H58" s="3">
        <v>3.65</v>
      </c>
      <c r="I58" s="3">
        <v>2.91</v>
      </c>
      <c r="J58" s="3" t="s">
        <v>1613</v>
      </c>
      <c r="K58" s="3">
        <f t="shared" si="5"/>
        <v>1028.9389067524114</v>
      </c>
    </row>
    <row r="59" spans="1:11" x14ac:dyDescent="0.35">
      <c r="A59" s="3" t="s">
        <v>226</v>
      </c>
      <c r="B59" s="3">
        <v>52.4</v>
      </c>
      <c r="C59" s="3">
        <v>44.32</v>
      </c>
      <c r="D59" s="3">
        <v>9.83</v>
      </c>
      <c r="E59" s="3">
        <v>11.04</v>
      </c>
      <c r="F59" s="3">
        <v>2.4900000000000002</v>
      </c>
      <c r="G59" s="3">
        <v>2.2200000000000002</v>
      </c>
      <c r="H59" s="3">
        <v>20.86</v>
      </c>
      <c r="I59" s="3">
        <v>4.71</v>
      </c>
      <c r="J59" s="14" t="s">
        <v>143</v>
      </c>
      <c r="K59" s="3">
        <f t="shared" si="5"/>
        <v>2854.9618320610684</v>
      </c>
    </row>
    <row r="60" spans="1:11" x14ac:dyDescent="0.35">
      <c r="A60" s="3" t="s">
        <v>227</v>
      </c>
      <c r="B60" s="3">
        <v>500</v>
      </c>
      <c r="C60" s="3">
        <v>2830.44</v>
      </c>
      <c r="D60" s="3">
        <v>287.85000000000002</v>
      </c>
      <c r="E60" s="3">
        <v>707.61</v>
      </c>
      <c r="F60" s="3">
        <v>2.5</v>
      </c>
      <c r="G60" s="3">
        <v>1.02</v>
      </c>
      <c r="H60" s="3">
        <v>995.46</v>
      </c>
      <c r="I60" s="3">
        <v>3.52</v>
      </c>
      <c r="J60" s="3" t="s">
        <v>1636</v>
      </c>
      <c r="K60" s="3">
        <f t="shared" si="5"/>
        <v>8760</v>
      </c>
    </row>
    <row r="61" spans="1:11" x14ac:dyDescent="0.35">
      <c r="A61" s="3" t="s">
        <v>228</v>
      </c>
      <c r="B61" s="3">
        <v>400</v>
      </c>
      <c r="C61" s="3">
        <v>1615.55</v>
      </c>
      <c r="D61" s="3">
        <v>293.61</v>
      </c>
      <c r="E61" s="3">
        <v>420.04</v>
      </c>
      <c r="F61" s="3">
        <v>2.6</v>
      </c>
      <c r="G61" s="3">
        <v>1.82</v>
      </c>
      <c r="H61" s="3">
        <v>713.65</v>
      </c>
      <c r="I61" s="3">
        <v>4.42</v>
      </c>
      <c r="J61" s="3" t="s">
        <v>143</v>
      </c>
      <c r="K61" s="3">
        <f t="shared" si="5"/>
        <v>11169</v>
      </c>
    </row>
    <row r="62" spans="1:11" x14ac:dyDescent="0.35">
      <c r="A62" s="3" t="s">
        <v>229</v>
      </c>
      <c r="B62" s="3">
        <v>800</v>
      </c>
      <c r="C62" s="3">
        <v>2980.12</v>
      </c>
      <c r="D62" s="3">
        <v>303.97000000000003</v>
      </c>
      <c r="E62" s="3">
        <v>777.81</v>
      </c>
      <c r="F62" s="3">
        <v>2.61</v>
      </c>
      <c r="G62" s="3">
        <v>1.02</v>
      </c>
      <c r="H62" s="3">
        <v>1081.78</v>
      </c>
      <c r="I62" s="3">
        <v>3.63</v>
      </c>
      <c r="J62" s="16" t="s">
        <v>144</v>
      </c>
      <c r="K62" s="3">
        <f t="shared" si="5"/>
        <v>5879.75</v>
      </c>
    </row>
    <row r="63" spans="1:11" x14ac:dyDescent="0.35">
      <c r="A63" s="3" t="s">
        <v>230</v>
      </c>
      <c r="B63" s="3">
        <v>800</v>
      </c>
      <c r="C63" s="3">
        <v>2980.12</v>
      </c>
      <c r="D63" s="3">
        <v>303.97000000000003</v>
      </c>
      <c r="E63" s="3">
        <v>777.81</v>
      </c>
      <c r="F63" s="3">
        <v>2.61</v>
      </c>
      <c r="G63" s="3">
        <v>1.02</v>
      </c>
      <c r="H63" s="3">
        <v>1081.78</v>
      </c>
      <c r="I63" s="3">
        <v>3.63</v>
      </c>
      <c r="J63" s="3" t="s">
        <v>144</v>
      </c>
      <c r="K63" s="3">
        <f t="shared" si="5"/>
        <v>5879.75</v>
      </c>
    </row>
    <row r="64" spans="1:11" x14ac:dyDescent="0.35">
      <c r="A64" s="3" t="s">
        <v>231</v>
      </c>
      <c r="B64" s="3">
        <v>420</v>
      </c>
      <c r="C64" s="3">
        <v>1627.15</v>
      </c>
      <c r="D64" s="3">
        <v>142.25</v>
      </c>
      <c r="E64" s="3">
        <v>434.45</v>
      </c>
      <c r="F64" s="3">
        <v>2.67</v>
      </c>
      <c r="G64" s="3">
        <v>0.87</v>
      </c>
      <c r="H64" s="3">
        <v>576.70000000000005</v>
      </c>
      <c r="I64" s="3">
        <v>3.54</v>
      </c>
      <c r="J64" s="3" t="s">
        <v>143</v>
      </c>
      <c r="K64" s="3">
        <f t="shared" si="5"/>
        <v>5153.5714285714284</v>
      </c>
    </row>
    <row r="65" spans="1:11" x14ac:dyDescent="0.35">
      <c r="A65" s="3" t="s">
        <v>232</v>
      </c>
      <c r="B65" s="3">
        <v>420</v>
      </c>
      <c r="C65" s="3">
        <v>1491.64</v>
      </c>
      <c r="D65" s="3">
        <v>142.25</v>
      </c>
      <c r="E65" s="3">
        <v>398.27</v>
      </c>
      <c r="F65" s="3">
        <v>2.67</v>
      </c>
      <c r="G65" s="3">
        <v>0.95</v>
      </c>
      <c r="H65" s="3">
        <v>540.52</v>
      </c>
      <c r="I65" s="3">
        <v>3.62</v>
      </c>
      <c r="J65" s="3" t="s">
        <v>143</v>
      </c>
      <c r="K65" s="3">
        <f t="shared" si="5"/>
        <v>5153.5714285714284</v>
      </c>
    </row>
    <row r="66" spans="1:11" x14ac:dyDescent="0.35">
      <c r="A66" s="3" t="s">
        <v>233</v>
      </c>
      <c r="B66" s="3">
        <v>420</v>
      </c>
      <c r="C66" s="3">
        <v>1423.13</v>
      </c>
      <c r="D66" s="3">
        <v>142.25</v>
      </c>
      <c r="E66" s="3">
        <v>379.98</v>
      </c>
      <c r="F66" s="3">
        <v>2.67</v>
      </c>
      <c r="G66" s="3">
        <v>1</v>
      </c>
      <c r="H66" s="3">
        <v>522.23</v>
      </c>
      <c r="I66" s="3">
        <v>3.67</v>
      </c>
      <c r="J66" s="3" t="s">
        <v>143</v>
      </c>
      <c r="K66" s="3">
        <f t="shared" si="5"/>
        <v>5153.5714285714284</v>
      </c>
    </row>
    <row r="67" spans="1:11" x14ac:dyDescent="0.35">
      <c r="A67" s="3" t="s">
        <v>234</v>
      </c>
      <c r="B67" s="3">
        <v>461.1</v>
      </c>
      <c r="C67" s="3">
        <v>1613.19</v>
      </c>
      <c r="D67" s="3">
        <v>203.39</v>
      </c>
      <c r="E67" s="3">
        <v>432.34</v>
      </c>
      <c r="F67" s="3">
        <v>2.68</v>
      </c>
      <c r="G67" s="3">
        <v>1.26</v>
      </c>
      <c r="H67" s="3">
        <v>635.73</v>
      </c>
      <c r="I67" s="3">
        <v>3.94</v>
      </c>
      <c r="J67" s="3" t="s">
        <v>143</v>
      </c>
      <c r="K67" s="3">
        <f t="shared" si="5"/>
        <v>6711.7761873780091</v>
      </c>
    </row>
    <row r="68" spans="1:11" x14ac:dyDescent="0.35">
      <c r="A68" s="3" t="s">
        <v>235</v>
      </c>
      <c r="B68" s="3">
        <v>184.4</v>
      </c>
      <c r="C68" s="3">
        <v>590.45000000000005</v>
      </c>
      <c r="D68" s="3">
        <v>132.68</v>
      </c>
      <c r="E68" s="3">
        <v>158.24</v>
      </c>
      <c r="F68" s="3">
        <v>2.68</v>
      </c>
      <c r="G68" s="3">
        <v>2.25</v>
      </c>
      <c r="H68" s="3">
        <v>290.92</v>
      </c>
      <c r="I68" s="3">
        <v>4.93</v>
      </c>
      <c r="J68" s="3" t="s">
        <v>143</v>
      </c>
      <c r="K68" s="3">
        <f t="shared" si="5"/>
        <v>10948.481561822126</v>
      </c>
    </row>
    <row r="69" spans="1:11" x14ac:dyDescent="0.35">
      <c r="A69" s="3" t="s">
        <v>236</v>
      </c>
      <c r="B69" s="3">
        <v>46.116</v>
      </c>
      <c r="C69" s="3">
        <v>118.31</v>
      </c>
      <c r="D69" s="3">
        <v>14.42</v>
      </c>
      <c r="E69" s="3">
        <v>34.07</v>
      </c>
      <c r="F69" s="3">
        <v>2.88</v>
      </c>
      <c r="G69" s="3">
        <v>1.22</v>
      </c>
      <c r="H69" s="3">
        <v>48.49</v>
      </c>
      <c r="I69" s="3">
        <v>4.0999999999999996</v>
      </c>
      <c r="J69" s="3" t="s">
        <v>143</v>
      </c>
      <c r="K69" s="3">
        <f t="shared" si="5"/>
        <v>4757.5678723219698</v>
      </c>
    </row>
    <row r="70" spans="1:11" x14ac:dyDescent="0.35">
      <c r="A70" s="3" t="s">
        <v>237</v>
      </c>
      <c r="B70" s="3">
        <v>83.412000000000006</v>
      </c>
      <c r="C70" s="3">
        <v>225.11</v>
      </c>
      <c r="D70" s="3">
        <v>27.04</v>
      </c>
      <c r="E70" s="3">
        <v>64.83</v>
      </c>
      <c r="F70" s="3">
        <v>2.88</v>
      </c>
      <c r="G70" s="3">
        <v>1.2</v>
      </c>
      <c r="H70" s="3">
        <v>91.87</v>
      </c>
      <c r="I70" s="3">
        <v>4.08</v>
      </c>
      <c r="J70" s="3" t="s">
        <v>143</v>
      </c>
      <c r="K70" s="3">
        <f t="shared" si="5"/>
        <v>4933.3429242794791</v>
      </c>
    </row>
    <row r="71" spans="1:11" x14ac:dyDescent="0.35">
      <c r="A71" s="3" t="s">
        <v>238</v>
      </c>
      <c r="B71" s="3">
        <v>420</v>
      </c>
      <c r="C71" s="3">
        <v>1107.92</v>
      </c>
      <c r="D71" s="3">
        <v>158.55000000000001</v>
      </c>
      <c r="E71" s="3">
        <v>347.89</v>
      </c>
      <c r="F71" s="3">
        <v>3.14</v>
      </c>
      <c r="G71" s="3">
        <v>1.43</v>
      </c>
      <c r="H71" s="3">
        <v>506.44</v>
      </c>
      <c r="I71" s="3">
        <v>4.57</v>
      </c>
      <c r="J71" s="3" t="s">
        <v>143</v>
      </c>
      <c r="K71" s="3">
        <f t="shared" si="5"/>
        <v>5744.0476190476184</v>
      </c>
    </row>
    <row r="72" spans="1:11" x14ac:dyDescent="0.35">
      <c r="A72" s="3" t="s">
        <v>239</v>
      </c>
      <c r="B72" s="3">
        <v>420</v>
      </c>
      <c r="C72" s="3">
        <v>688.44</v>
      </c>
      <c r="D72" s="3">
        <v>232.46</v>
      </c>
      <c r="E72" s="3">
        <v>216.17</v>
      </c>
      <c r="F72" s="3">
        <v>3.14</v>
      </c>
      <c r="G72" s="3">
        <v>3.38</v>
      </c>
      <c r="H72" s="3">
        <v>448.64</v>
      </c>
      <c r="I72" s="3">
        <v>6.52</v>
      </c>
      <c r="J72" s="3" t="s">
        <v>143</v>
      </c>
      <c r="K72" s="3">
        <f t="shared" si="5"/>
        <v>8421.6666666666679</v>
      </c>
    </row>
    <row r="73" spans="1:11" x14ac:dyDescent="0.35">
      <c r="A73" s="3" t="s">
        <v>240</v>
      </c>
      <c r="B73" s="3">
        <v>210</v>
      </c>
      <c r="C73" s="3">
        <v>281.20999999999998</v>
      </c>
      <c r="D73" s="3">
        <v>154.84</v>
      </c>
      <c r="E73" s="3">
        <v>88.3</v>
      </c>
      <c r="F73" s="3">
        <v>3.14</v>
      </c>
      <c r="G73" s="3">
        <v>5.51</v>
      </c>
      <c r="H73" s="3">
        <v>243.14</v>
      </c>
      <c r="I73" s="3">
        <v>8.65</v>
      </c>
      <c r="J73" s="3" t="s">
        <v>143</v>
      </c>
      <c r="K73" s="3">
        <f t="shared" si="5"/>
        <v>11219.04761904762</v>
      </c>
    </row>
    <row r="74" spans="1:11" x14ac:dyDescent="0.35">
      <c r="A74" s="3" t="s">
        <v>241</v>
      </c>
      <c r="B74" s="3">
        <v>600</v>
      </c>
      <c r="C74" s="3">
        <v>534.02</v>
      </c>
      <c r="D74" s="3">
        <v>59.74</v>
      </c>
      <c r="E74" s="3">
        <v>167.68</v>
      </c>
      <c r="F74" s="3">
        <v>3.14</v>
      </c>
      <c r="G74" s="3">
        <v>1.1200000000000001</v>
      </c>
      <c r="H74" s="3">
        <v>227.42</v>
      </c>
      <c r="I74" s="3">
        <v>4.26</v>
      </c>
      <c r="J74" s="3" t="s">
        <v>144</v>
      </c>
      <c r="K74" s="3">
        <f t="shared" si="5"/>
        <v>1515</v>
      </c>
    </row>
    <row r="75" spans="1:11" x14ac:dyDescent="0.35">
      <c r="A75" s="3" t="s">
        <v>242</v>
      </c>
      <c r="B75" s="3">
        <v>211.2</v>
      </c>
      <c r="C75" s="3">
        <v>67.06</v>
      </c>
      <c r="D75" s="3">
        <v>106.36</v>
      </c>
      <c r="E75" s="3">
        <v>24.01</v>
      </c>
      <c r="F75" s="3">
        <v>3.58</v>
      </c>
      <c r="G75" s="3">
        <v>15.86</v>
      </c>
      <c r="H75" s="3">
        <v>130.37</v>
      </c>
      <c r="I75" s="3">
        <v>19.440000000000001</v>
      </c>
      <c r="J75" s="14" t="s">
        <v>144</v>
      </c>
      <c r="K75" s="3">
        <f t="shared" si="5"/>
        <v>7662.878787878788</v>
      </c>
    </row>
    <row r="76" spans="1:11" x14ac:dyDescent="0.35">
      <c r="A76" s="3" t="s">
        <v>243</v>
      </c>
      <c r="B76" s="3"/>
      <c r="C76" s="3">
        <v>-41.775599999999997</v>
      </c>
      <c r="D76" s="3"/>
      <c r="E76" s="3">
        <v>-16.88</v>
      </c>
      <c r="F76" s="3"/>
      <c r="G76" s="3"/>
      <c r="H76" s="3">
        <v>-16.88</v>
      </c>
      <c r="I76" s="3">
        <v>4.04</v>
      </c>
      <c r="J76" s="3"/>
      <c r="K76" s="3"/>
    </row>
    <row r="77" spans="1:11" x14ac:dyDescent="0.35">
      <c r="A77" s="3" t="s">
        <v>244</v>
      </c>
      <c r="B77" s="3"/>
      <c r="C77" s="3">
        <v>59.316899999999997</v>
      </c>
      <c r="D77" s="3"/>
      <c r="E77" s="3">
        <v>23.96</v>
      </c>
      <c r="F77" s="3"/>
      <c r="G77" s="3"/>
      <c r="H77" s="3">
        <v>23.96</v>
      </c>
      <c r="I77" s="3">
        <v>4.04</v>
      </c>
      <c r="J77" s="3"/>
      <c r="K77" s="3"/>
    </row>
    <row r="78" spans="1:11" x14ac:dyDescent="0.35">
      <c r="A78" s="3" t="s">
        <v>247</v>
      </c>
      <c r="B78" s="3"/>
      <c r="C78" s="3"/>
      <c r="D78" s="3">
        <v>531.28</v>
      </c>
      <c r="E78" s="3"/>
      <c r="F78" s="3"/>
      <c r="G78" s="3"/>
      <c r="H78" s="3">
        <v>531.28</v>
      </c>
      <c r="I78" s="3"/>
      <c r="J78" s="3"/>
      <c r="K78" s="3"/>
    </row>
    <row r="79" spans="1:11" x14ac:dyDescent="0.35">
      <c r="A79" s="3" t="s">
        <v>245</v>
      </c>
      <c r="B79" s="3"/>
      <c r="C79" s="3"/>
      <c r="D79" s="3">
        <v>4.3600000000000003</v>
      </c>
      <c r="E79" s="3"/>
      <c r="F79" s="3"/>
      <c r="G79" s="3"/>
      <c r="H79" s="3">
        <v>4.3600000000000003</v>
      </c>
      <c r="I79" s="3"/>
      <c r="J79" s="3"/>
      <c r="K79" s="3"/>
    </row>
    <row r="80" spans="1:11" x14ac:dyDescent="0.35">
      <c r="A80" s="3" t="s">
        <v>246</v>
      </c>
      <c r="B80" s="3">
        <v>18537.599999999999</v>
      </c>
      <c r="C80" s="3">
        <v>39335.269999999997</v>
      </c>
      <c r="D80" s="3">
        <v>4582.1499999999996</v>
      </c>
      <c r="E80" s="3">
        <v>11365.31</v>
      </c>
      <c r="F80" s="3"/>
      <c r="G80" s="3"/>
      <c r="H80" s="3">
        <v>15947.46</v>
      </c>
      <c r="I80" s="3">
        <v>4.05</v>
      </c>
      <c r="J80" s="3"/>
      <c r="K80" s="3"/>
    </row>
    <row r="82" spans="1:11" x14ac:dyDescent="0.35">
      <c r="A82" s="2" t="s">
        <v>134</v>
      </c>
      <c r="B82" s="2" t="s">
        <v>252</v>
      </c>
      <c r="C82" s="2" t="s">
        <v>253</v>
      </c>
    </row>
    <row r="83" spans="1:11" ht="43.5" x14ac:dyDescent="0.35">
      <c r="A83" s="3" t="s">
        <v>108</v>
      </c>
      <c r="B83" s="4" t="s">
        <v>146</v>
      </c>
      <c r="C83" s="4" t="s">
        <v>186</v>
      </c>
      <c r="D83" s="4" t="s">
        <v>117</v>
      </c>
      <c r="E83" s="4" t="s">
        <v>116</v>
      </c>
      <c r="F83" s="4" t="s">
        <v>187</v>
      </c>
      <c r="G83" s="4" t="s">
        <v>188</v>
      </c>
      <c r="H83" s="4" t="s">
        <v>119</v>
      </c>
      <c r="I83" s="4" t="s">
        <v>189</v>
      </c>
      <c r="J83" s="41" t="s">
        <v>157</v>
      </c>
      <c r="K83" s="41"/>
    </row>
    <row r="84" spans="1:11" x14ac:dyDescent="0.35">
      <c r="A84" s="3" t="s">
        <v>190</v>
      </c>
      <c r="B84" s="3">
        <v>8.25</v>
      </c>
      <c r="C84" s="3">
        <v>4.8099999999999996</v>
      </c>
      <c r="D84" s="3">
        <v>0</v>
      </c>
      <c r="E84" s="3">
        <v>0.87</v>
      </c>
      <c r="F84" s="3">
        <v>1.81</v>
      </c>
      <c r="G84" s="3">
        <v>0</v>
      </c>
      <c r="H84" s="3">
        <v>0.87</v>
      </c>
      <c r="I84" s="3">
        <v>1.81</v>
      </c>
      <c r="J84" s="3" t="s">
        <v>1603</v>
      </c>
    </row>
    <row r="85" spans="1:11" x14ac:dyDescent="0.35">
      <c r="A85" s="3" t="s">
        <v>191</v>
      </c>
      <c r="B85" s="3">
        <v>46.1</v>
      </c>
      <c r="C85" s="3">
        <v>37.159999999999997</v>
      </c>
      <c r="D85" s="3">
        <v>0</v>
      </c>
      <c r="E85" s="3">
        <v>10.11</v>
      </c>
      <c r="F85" s="3">
        <v>2.72</v>
      </c>
      <c r="G85" s="3">
        <v>0</v>
      </c>
      <c r="H85" s="3">
        <v>10.11</v>
      </c>
      <c r="I85" s="3">
        <v>2.72</v>
      </c>
      <c r="J85" s="3" t="s">
        <v>1603</v>
      </c>
    </row>
    <row r="86" spans="1:11" x14ac:dyDescent="0.35">
      <c r="A86" s="3" t="s">
        <v>192</v>
      </c>
      <c r="B86" s="3">
        <v>4810.55</v>
      </c>
      <c r="C86" s="3">
        <v>2762.53</v>
      </c>
      <c r="D86" s="3">
        <v>0</v>
      </c>
      <c r="E86" s="3">
        <v>1281.81</v>
      </c>
      <c r="F86" s="3">
        <v>4.6399999999999997</v>
      </c>
      <c r="G86" s="3">
        <v>0</v>
      </c>
      <c r="H86" s="3">
        <v>1281.81</v>
      </c>
      <c r="I86" s="3">
        <v>4.6399999999999997</v>
      </c>
      <c r="J86" s="3" t="s">
        <v>1606</v>
      </c>
    </row>
    <row r="87" spans="1:11" x14ac:dyDescent="0.35">
      <c r="A87" s="3" t="s">
        <v>193</v>
      </c>
      <c r="B87" s="3">
        <v>2050</v>
      </c>
      <c r="C87" s="3">
        <v>1149.79</v>
      </c>
      <c r="D87" s="3">
        <v>0</v>
      </c>
      <c r="E87" s="3">
        <v>550.75</v>
      </c>
      <c r="F87" s="3">
        <v>4.79</v>
      </c>
      <c r="G87" s="3">
        <v>0</v>
      </c>
      <c r="H87" s="3">
        <v>550.75</v>
      </c>
      <c r="I87" s="3">
        <v>4.79</v>
      </c>
      <c r="J87" s="3" t="s">
        <v>1636</v>
      </c>
    </row>
    <row r="88" spans="1:11" x14ac:dyDescent="0.35">
      <c r="A88" s="3" t="s">
        <v>194</v>
      </c>
      <c r="B88" s="3">
        <v>105.2</v>
      </c>
      <c r="C88" s="3">
        <v>26.56</v>
      </c>
      <c r="D88" s="3">
        <v>0</v>
      </c>
      <c r="E88" s="3">
        <v>12.78</v>
      </c>
      <c r="F88" s="3">
        <v>4.8099999999999996</v>
      </c>
      <c r="G88" s="3">
        <v>0</v>
      </c>
      <c r="H88" s="3">
        <v>12.78</v>
      </c>
      <c r="I88" s="3">
        <v>4.8099999999999996</v>
      </c>
      <c r="J88" s="3" t="s">
        <v>1605</v>
      </c>
    </row>
    <row r="89" spans="1:11" x14ac:dyDescent="0.35">
      <c r="A89" s="3" t="s">
        <v>195</v>
      </c>
      <c r="B89" s="3">
        <v>556</v>
      </c>
      <c r="C89" s="3">
        <v>344.62</v>
      </c>
      <c r="D89" s="3">
        <v>0</v>
      </c>
      <c r="E89" s="3">
        <v>205.05</v>
      </c>
      <c r="F89" s="3">
        <v>5.95</v>
      </c>
      <c r="G89" s="3">
        <v>0</v>
      </c>
      <c r="H89" s="3">
        <v>205.05</v>
      </c>
      <c r="I89" s="3">
        <v>5.95</v>
      </c>
      <c r="J89" s="3" t="s">
        <v>1636</v>
      </c>
    </row>
    <row r="90" spans="1:11" x14ac:dyDescent="0.35">
      <c r="A90" s="3" t="s">
        <v>217</v>
      </c>
      <c r="B90" s="3">
        <v>21.66</v>
      </c>
      <c r="C90" s="3">
        <v>10.77</v>
      </c>
      <c r="D90" s="3">
        <v>0</v>
      </c>
      <c r="E90" s="3">
        <v>7.38</v>
      </c>
      <c r="F90" s="3">
        <v>6.85</v>
      </c>
      <c r="G90" s="3">
        <v>0</v>
      </c>
      <c r="H90" s="3">
        <v>7.38</v>
      </c>
      <c r="I90" s="3">
        <v>6.85</v>
      </c>
      <c r="J90" s="3" t="s">
        <v>1605</v>
      </c>
    </row>
    <row r="91" spans="1:11" x14ac:dyDescent="0.35">
      <c r="A91" s="3" t="s">
        <v>196</v>
      </c>
      <c r="B91" s="3">
        <v>144.5</v>
      </c>
      <c r="C91" s="3">
        <v>123.82</v>
      </c>
      <c r="D91" s="3">
        <v>0</v>
      </c>
      <c r="E91" s="3">
        <v>86.68</v>
      </c>
      <c r="F91" s="3">
        <v>7</v>
      </c>
      <c r="G91" s="3">
        <v>0</v>
      </c>
      <c r="H91" s="3">
        <v>86.68</v>
      </c>
      <c r="I91" s="3">
        <v>7</v>
      </c>
      <c r="J91" s="3" t="s">
        <v>1605</v>
      </c>
    </row>
    <row r="92" spans="1:11" x14ac:dyDescent="0.35">
      <c r="A92" s="3" t="s">
        <v>197</v>
      </c>
      <c r="B92" s="3">
        <v>10</v>
      </c>
      <c r="C92" s="3">
        <v>1.1499999999999999</v>
      </c>
      <c r="D92" s="3">
        <v>0</v>
      </c>
      <c r="E92" s="3">
        <v>1.08</v>
      </c>
      <c r="F92" s="3">
        <v>9.35</v>
      </c>
      <c r="G92" s="3">
        <v>0</v>
      </c>
      <c r="H92" s="3">
        <v>1.08</v>
      </c>
      <c r="I92" s="3">
        <v>9.35</v>
      </c>
      <c r="J92" s="3" t="s">
        <v>1636</v>
      </c>
    </row>
    <row r="93" spans="1:11" x14ac:dyDescent="0.35">
      <c r="A93" s="3" t="s">
        <v>198</v>
      </c>
      <c r="B93" s="3">
        <v>85</v>
      </c>
      <c r="C93" s="3">
        <v>4.41</v>
      </c>
      <c r="D93" s="3">
        <v>0</v>
      </c>
      <c r="E93" s="3">
        <v>4.7</v>
      </c>
      <c r="F93" s="3">
        <v>10.65</v>
      </c>
      <c r="G93" s="3">
        <v>0</v>
      </c>
      <c r="H93" s="3">
        <v>4.7</v>
      </c>
      <c r="I93" s="3">
        <v>10.65</v>
      </c>
      <c r="J93" s="3" t="s">
        <v>1636</v>
      </c>
    </row>
    <row r="94" spans="1:11" x14ac:dyDescent="0.35">
      <c r="A94" s="3" t="s">
        <v>199</v>
      </c>
      <c r="B94" s="3">
        <v>84</v>
      </c>
      <c r="C94" s="3">
        <v>116.04</v>
      </c>
      <c r="D94" s="3">
        <v>10.93</v>
      </c>
      <c r="E94" s="3">
        <v>0</v>
      </c>
      <c r="F94" s="3">
        <v>0</v>
      </c>
      <c r="G94" s="3">
        <v>0.94</v>
      </c>
      <c r="H94" s="3">
        <v>10.93</v>
      </c>
      <c r="I94" s="3">
        <v>0.94</v>
      </c>
      <c r="J94" s="3" t="s">
        <v>1604</v>
      </c>
    </row>
    <row r="95" spans="1:11" x14ac:dyDescent="0.35">
      <c r="A95" s="3" t="s">
        <v>200</v>
      </c>
      <c r="B95" s="3">
        <v>57.6</v>
      </c>
      <c r="C95" s="3">
        <v>45.99</v>
      </c>
      <c r="D95" s="3">
        <v>7.5</v>
      </c>
      <c r="E95" s="3">
        <v>0</v>
      </c>
      <c r="F95" s="3">
        <v>0</v>
      </c>
      <c r="G95" s="3">
        <v>1.63</v>
      </c>
      <c r="H95" s="3">
        <v>7.5</v>
      </c>
      <c r="I95" s="3">
        <v>1.63</v>
      </c>
      <c r="J95" s="3" t="s">
        <v>1604</v>
      </c>
    </row>
    <row r="96" spans="1:11" x14ac:dyDescent="0.35">
      <c r="A96" s="3" t="s">
        <v>201</v>
      </c>
      <c r="B96" s="3">
        <v>240</v>
      </c>
      <c r="C96" s="3">
        <v>152.13</v>
      </c>
      <c r="D96" s="3">
        <v>19.690000000000001</v>
      </c>
      <c r="E96" s="3">
        <v>0</v>
      </c>
      <c r="F96" s="3">
        <v>0</v>
      </c>
      <c r="G96" s="3">
        <v>1.29</v>
      </c>
      <c r="H96" s="3">
        <v>19.690000000000001</v>
      </c>
      <c r="I96" s="3">
        <v>1.29</v>
      </c>
      <c r="J96" s="3" t="s">
        <v>1604</v>
      </c>
    </row>
    <row r="97" spans="1:10" x14ac:dyDescent="0.35">
      <c r="A97" s="3" t="s">
        <v>202</v>
      </c>
      <c r="B97" s="3">
        <v>460</v>
      </c>
      <c r="C97" s="3">
        <v>382.08</v>
      </c>
      <c r="D97" s="3">
        <v>37.75</v>
      </c>
      <c r="E97" s="3">
        <v>0</v>
      </c>
      <c r="F97" s="3">
        <v>0</v>
      </c>
      <c r="G97" s="3">
        <v>0.99</v>
      </c>
      <c r="H97" s="3">
        <v>37.75</v>
      </c>
      <c r="I97" s="3">
        <v>0.99</v>
      </c>
      <c r="J97" s="3" t="s">
        <v>1604</v>
      </c>
    </row>
    <row r="98" spans="1:10" x14ac:dyDescent="0.35">
      <c r="A98" s="3" t="s">
        <v>203</v>
      </c>
      <c r="B98" s="3">
        <v>25</v>
      </c>
      <c r="C98" s="3">
        <v>35.380000000000003</v>
      </c>
      <c r="D98" s="3">
        <v>2.0499999999999998</v>
      </c>
      <c r="E98" s="3">
        <v>0</v>
      </c>
      <c r="F98" s="3">
        <v>0</v>
      </c>
      <c r="G98" s="3">
        <v>0.57999999999999996</v>
      </c>
      <c r="H98" s="3">
        <v>2.0499999999999998</v>
      </c>
      <c r="I98" s="3">
        <v>0.57999999999999996</v>
      </c>
      <c r="J98" s="3" t="s">
        <v>1604</v>
      </c>
    </row>
    <row r="99" spans="1:10" x14ac:dyDescent="0.35">
      <c r="A99" s="3" t="s">
        <v>204</v>
      </c>
      <c r="B99" s="3">
        <v>770</v>
      </c>
      <c r="C99" s="3">
        <v>350.95</v>
      </c>
      <c r="D99" s="3">
        <v>58.45</v>
      </c>
      <c r="E99" s="3">
        <v>0</v>
      </c>
      <c r="F99" s="3">
        <v>0</v>
      </c>
      <c r="G99" s="3">
        <v>1.67</v>
      </c>
      <c r="H99" s="3">
        <v>58.45</v>
      </c>
      <c r="I99" s="3">
        <v>1.67</v>
      </c>
      <c r="J99" s="3" t="s">
        <v>1604</v>
      </c>
    </row>
    <row r="100" spans="1:10" x14ac:dyDescent="0.35">
      <c r="A100" s="3" t="s">
        <v>218</v>
      </c>
      <c r="B100" s="3">
        <v>90</v>
      </c>
      <c r="C100" s="3">
        <v>30.07</v>
      </c>
      <c r="D100" s="3">
        <v>6.12</v>
      </c>
      <c r="E100" s="3">
        <v>0</v>
      </c>
      <c r="F100" s="3">
        <v>0</v>
      </c>
      <c r="G100" s="3">
        <v>2.0299999999999998</v>
      </c>
      <c r="H100" s="3">
        <v>6.12</v>
      </c>
      <c r="I100" s="3">
        <v>2.0299999999999998</v>
      </c>
      <c r="J100" s="3" t="s">
        <v>1604</v>
      </c>
    </row>
    <row r="101" spans="1:10" x14ac:dyDescent="0.35">
      <c r="A101" s="3" t="s">
        <v>205</v>
      </c>
      <c r="B101" s="3">
        <v>20</v>
      </c>
      <c r="C101" s="3">
        <v>2.48</v>
      </c>
      <c r="D101" s="3">
        <v>3.62</v>
      </c>
      <c r="E101" s="3">
        <v>0</v>
      </c>
      <c r="F101" s="3">
        <v>0</v>
      </c>
      <c r="G101" s="3">
        <v>14.6</v>
      </c>
      <c r="H101" s="3">
        <v>3.62</v>
      </c>
      <c r="I101" s="3">
        <v>14.6</v>
      </c>
      <c r="J101" s="3" t="s">
        <v>1604</v>
      </c>
    </row>
    <row r="102" spans="1:10" x14ac:dyDescent="0.35">
      <c r="A102" s="3" t="s">
        <v>206</v>
      </c>
      <c r="B102" s="3">
        <v>1</v>
      </c>
      <c r="C102" s="3">
        <v>1.06</v>
      </c>
      <c r="D102" s="3">
        <v>0.27</v>
      </c>
      <c r="E102" s="3">
        <v>0</v>
      </c>
      <c r="F102" s="3">
        <v>0</v>
      </c>
      <c r="G102" s="3">
        <v>2.52</v>
      </c>
      <c r="H102" s="3">
        <v>0.27</v>
      </c>
      <c r="I102" s="3">
        <v>2.52</v>
      </c>
      <c r="J102" s="3" t="s">
        <v>1603</v>
      </c>
    </row>
    <row r="103" spans="1:10" x14ac:dyDescent="0.35">
      <c r="A103" s="3" t="s">
        <v>219</v>
      </c>
      <c r="B103" s="3">
        <v>50</v>
      </c>
      <c r="C103" s="3">
        <v>36.44</v>
      </c>
      <c r="D103" s="3">
        <v>16.54</v>
      </c>
      <c r="E103" s="3">
        <v>0</v>
      </c>
      <c r="F103" s="3">
        <v>0</v>
      </c>
      <c r="G103" s="3">
        <v>4.54</v>
      </c>
      <c r="H103" s="3">
        <v>16.54</v>
      </c>
      <c r="I103" s="3">
        <v>4.54</v>
      </c>
      <c r="J103" s="3" t="s">
        <v>1604</v>
      </c>
    </row>
    <row r="104" spans="1:10" x14ac:dyDescent="0.35">
      <c r="A104" s="3" t="s">
        <v>207</v>
      </c>
      <c r="B104" s="3">
        <v>18.303999999999998</v>
      </c>
      <c r="C104" s="3">
        <v>35.380000000000003</v>
      </c>
      <c r="D104" s="3">
        <v>0</v>
      </c>
      <c r="E104" s="3">
        <v>7.89</v>
      </c>
      <c r="F104" s="3">
        <v>2.23</v>
      </c>
      <c r="G104" s="3">
        <v>0</v>
      </c>
      <c r="H104" s="3">
        <v>7.89</v>
      </c>
      <c r="I104" s="3">
        <v>2.23</v>
      </c>
      <c r="J104" s="3" t="s">
        <v>1615</v>
      </c>
    </row>
    <row r="105" spans="1:10" x14ac:dyDescent="0.35">
      <c r="A105" s="3" t="s">
        <v>208</v>
      </c>
      <c r="B105" s="3">
        <v>55.92</v>
      </c>
      <c r="C105" s="3">
        <v>125.5</v>
      </c>
      <c r="D105" s="3">
        <v>0</v>
      </c>
      <c r="E105" s="3">
        <v>40.409999999999997</v>
      </c>
      <c r="F105" s="3">
        <v>3.22</v>
      </c>
      <c r="G105" s="3">
        <v>0</v>
      </c>
      <c r="H105" s="3">
        <v>40.409999999999997</v>
      </c>
      <c r="I105" s="3">
        <v>3.22</v>
      </c>
      <c r="J105" s="3" t="s">
        <v>1615</v>
      </c>
    </row>
    <row r="106" spans="1:10" x14ac:dyDescent="0.35">
      <c r="A106" s="3" t="s">
        <v>209</v>
      </c>
      <c r="B106" s="3">
        <v>59.62</v>
      </c>
      <c r="C106" s="3">
        <v>129.47999999999999</v>
      </c>
      <c r="D106" s="3">
        <v>0</v>
      </c>
      <c r="E106" s="3">
        <v>41.69</v>
      </c>
      <c r="F106" s="3">
        <v>3.22</v>
      </c>
      <c r="G106" s="3">
        <v>0</v>
      </c>
      <c r="H106" s="3">
        <v>41.69</v>
      </c>
      <c r="I106" s="3">
        <v>3.22</v>
      </c>
      <c r="J106" s="3" t="s">
        <v>1615</v>
      </c>
    </row>
    <row r="107" spans="1:10" x14ac:dyDescent="0.35">
      <c r="A107" s="3" t="s">
        <v>210</v>
      </c>
      <c r="B107" s="3">
        <v>164.4</v>
      </c>
      <c r="C107" s="3">
        <v>442.29</v>
      </c>
      <c r="D107" s="3">
        <v>28.54</v>
      </c>
      <c r="E107" s="3">
        <v>61.48</v>
      </c>
      <c r="F107" s="3">
        <v>1.39</v>
      </c>
      <c r="G107" s="3">
        <v>0.65</v>
      </c>
      <c r="H107" s="3">
        <v>90.02</v>
      </c>
      <c r="I107" s="3">
        <v>2.04</v>
      </c>
      <c r="J107" s="3" t="s">
        <v>143</v>
      </c>
    </row>
    <row r="108" spans="1:10" x14ac:dyDescent="0.35">
      <c r="A108" s="3" t="s">
        <v>211</v>
      </c>
      <c r="B108" s="3">
        <v>230.55</v>
      </c>
      <c r="C108" s="3">
        <v>561.78</v>
      </c>
      <c r="D108" s="3">
        <v>102.86</v>
      </c>
      <c r="E108" s="3">
        <v>110.11</v>
      </c>
      <c r="F108" s="3">
        <v>1.96</v>
      </c>
      <c r="G108" s="3">
        <v>1.83</v>
      </c>
      <c r="H108" s="3">
        <v>212.97</v>
      </c>
      <c r="I108" s="3">
        <v>3.79</v>
      </c>
      <c r="J108" s="14" t="s">
        <v>144</v>
      </c>
    </row>
    <row r="109" spans="1:10" x14ac:dyDescent="0.35">
      <c r="A109" s="3" t="s">
        <v>212</v>
      </c>
      <c r="B109" s="3">
        <v>63</v>
      </c>
      <c r="C109" s="3">
        <v>139.35</v>
      </c>
      <c r="D109" s="3">
        <v>11.77</v>
      </c>
      <c r="E109" s="3">
        <v>29.96</v>
      </c>
      <c r="F109" s="3">
        <v>2.15</v>
      </c>
      <c r="G109" s="3">
        <v>0.84</v>
      </c>
      <c r="H109" s="3">
        <v>41.73</v>
      </c>
      <c r="I109" s="3">
        <v>2.99</v>
      </c>
      <c r="J109" s="3" t="s">
        <v>143</v>
      </c>
    </row>
    <row r="110" spans="1:10" x14ac:dyDescent="0.35">
      <c r="A110" s="3" t="s">
        <v>213</v>
      </c>
      <c r="B110" s="3">
        <v>24.9572</v>
      </c>
      <c r="C110" s="3">
        <v>21.92</v>
      </c>
      <c r="D110" s="3">
        <v>0.91</v>
      </c>
      <c r="E110" s="3">
        <v>4.71</v>
      </c>
      <c r="F110" s="3">
        <v>2.15</v>
      </c>
      <c r="G110" s="3">
        <v>0.42</v>
      </c>
      <c r="H110" s="3">
        <v>5.63</v>
      </c>
      <c r="I110" s="3">
        <v>2.57</v>
      </c>
      <c r="J110" s="3" t="s">
        <v>1613</v>
      </c>
    </row>
    <row r="111" spans="1:10" x14ac:dyDescent="0.35">
      <c r="A111" s="3" t="s">
        <v>214</v>
      </c>
      <c r="B111" s="3">
        <v>252.84</v>
      </c>
      <c r="C111" s="3">
        <v>596.29</v>
      </c>
      <c r="D111" s="3">
        <v>44.09</v>
      </c>
      <c r="E111" s="3">
        <v>129.99</v>
      </c>
      <c r="F111" s="3">
        <v>2.1800000000000002</v>
      </c>
      <c r="G111" s="3">
        <v>0.74</v>
      </c>
      <c r="H111" s="3">
        <v>174.09</v>
      </c>
      <c r="I111" s="3">
        <v>2.92</v>
      </c>
      <c r="J111" s="3" t="s">
        <v>143</v>
      </c>
    </row>
    <row r="112" spans="1:10" x14ac:dyDescent="0.35">
      <c r="A112" s="3" t="s">
        <v>215</v>
      </c>
      <c r="B112" s="3">
        <v>39.19</v>
      </c>
      <c r="C112" s="3">
        <v>121.45</v>
      </c>
      <c r="D112" s="3">
        <v>16.48</v>
      </c>
      <c r="E112" s="3">
        <v>26.48</v>
      </c>
      <c r="F112" s="3">
        <v>2.1800000000000002</v>
      </c>
      <c r="G112" s="3">
        <v>1.36</v>
      </c>
      <c r="H112" s="3">
        <v>42.95</v>
      </c>
      <c r="I112" s="3">
        <v>3.54</v>
      </c>
      <c r="J112" s="3" t="s">
        <v>1636</v>
      </c>
    </row>
    <row r="113" spans="1:10" x14ac:dyDescent="0.35">
      <c r="A113" s="3" t="s">
        <v>216</v>
      </c>
      <c r="B113" s="3">
        <v>112.95</v>
      </c>
      <c r="C113" s="3">
        <v>280.06</v>
      </c>
      <c r="D113" s="3">
        <v>48.28</v>
      </c>
      <c r="E113" s="3">
        <v>61.61</v>
      </c>
      <c r="F113" s="3">
        <v>2.2000000000000002</v>
      </c>
      <c r="G113" s="3">
        <v>1.72</v>
      </c>
      <c r="H113" s="3">
        <v>109.89</v>
      </c>
      <c r="I113" s="3">
        <v>3.92</v>
      </c>
      <c r="J113" s="3" t="s">
        <v>143</v>
      </c>
    </row>
    <row r="114" spans="1:10" x14ac:dyDescent="0.35">
      <c r="A114" s="3" t="s">
        <v>220</v>
      </c>
      <c r="B114" s="3">
        <v>216.82</v>
      </c>
      <c r="C114" s="3">
        <v>277.22000000000003</v>
      </c>
      <c r="D114" s="3">
        <v>21.9</v>
      </c>
      <c r="E114" s="3">
        <v>60.99</v>
      </c>
      <c r="F114" s="3">
        <v>2.2000000000000002</v>
      </c>
      <c r="G114" s="3">
        <v>0.79</v>
      </c>
      <c r="H114" s="3">
        <v>82.89</v>
      </c>
      <c r="I114" s="3">
        <v>2.99</v>
      </c>
      <c r="J114" s="3" t="s">
        <v>1613</v>
      </c>
    </row>
    <row r="115" spans="1:10" x14ac:dyDescent="0.35">
      <c r="A115" s="3" t="s">
        <v>221</v>
      </c>
      <c r="B115" s="3">
        <v>361.92</v>
      </c>
      <c r="C115" s="3">
        <v>435.19</v>
      </c>
      <c r="D115" s="3">
        <v>40.479999999999997</v>
      </c>
      <c r="E115" s="3">
        <v>101.4</v>
      </c>
      <c r="F115" s="3">
        <v>2.33</v>
      </c>
      <c r="G115" s="3">
        <v>0.93</v>
      </c>
      <c r="H115" s="3">
        <v>141.88</v>
      </c>
      <c r="I115" s="3">
        <v>3.26</v>
      </c>
      <c r="J115" s="3" t="s">
        <v>1613</v>
      </c>
    </row>
    <row r="116" spans="1:10" x14ac:dyDescent="0.35">
      <c r="A116" s="3" t="s">
        <v>222</v>
      </c>
      <c r="B116" s="3">
        <v>139.1</v>
      </c>
      <c r="C116" s="3">
        <v>343.52</v>
      </c>
      <c r="D116" s="3">
        <v>52.42</v>
      </c>
      <c r="E116" s="3">
        <v>82.1</v>
      </c>
      <c r="F116" s="3">
        <v>2.39</v>
      </c>
      <c r="G116" s="3">
        <v>1.53</v>
      </c>
      <c r="H116" s="3">
        <v>134.52000000000001</v>
      </c>
      <c r="I116" s="3">
        <v>3.92</v>
      </c>
      <c r="J116" s="14" t="s">
        <v>143</v>
      </c>
    </row>
    <row r="117" spans="1:10" x14ac:dyDescent="0.35">
      <c r="A117" s="3" t="s">
        <v>223</v>
      </c>
      <c r="B117" s="3">
        <v>205.19</v>
      </c>
      <c r="C117" s="3">
        <v>246.73</v>
      </c>
      <c r="D117" s="3">
        <v>21.99</v>
      </c>
      <c r="E117" s="3">
        <v>58.97</v>
      </c>
      <c r="F117" s="3">
        <v>2.39</v>
      </c>
      <c r="G117" s="3">
        <v>0.89</v>
      </c>
      <c r="H117" s="3">
        <v>80.959999999999994</v>
      </c>
      <c r="I117" s="3">
        <v>3.28</v>
      </c>
      <c r="J117" s="3" t="s">
        <v>1613</v>
      </c>
    </row>
    <row r="118" spans="1:10" x14ac:dyDescent="0.35">
      <c r="A118" s="3" t="s">
        <v>224</v>
      </c>
      <c r="B118" s="3">
        <v>500</v>
      </c>
      <c r="C118" s="3">
        <v>1075.01</v>
      </c>
      <c r="D118" s="3">
        <v>142.32</v>
      </c>
      <c r="E118" s="3">
        <v>259.08</v>
      </c>
      <c r="F118" s="3">
        <v>2.41</v>
      </c>
      <c r="G118" s="3">
        <v>1.32</v>
      </c>
      <c r="H118" s="3">
        <v>401.4</v>
      </c>
      <c r="I118" s="3">
        <v>3.73</v>
      </c>
      <c r="J118" s="3" t="s">
        <v>143</v>
      </c>
    </row>
    <row r="119" spans="1:10" x14ac:dyDescent="0.35">
      <c r="A119" s="3" t="s">
        <v>225</v>
      </c>
      <c r="B119" s="3">
        <v>9.33</v>
      </c>
      <c r="C119" s="3">
        <v>6.88</v>
      </c>
      <c r="D119" s="3">
        <v>0.33</v>
      </c>
      <c r="E119" s="3">
        <v>1.66</v>
      </c>
      <c r="F119" s="3">
        <v>2.41</v>
      </c>
      <c r="G119" s="3">
        <v>0.47</v>
      </c>
      <c r="H119" s="3">
        <v>1.98</v>
      </c>
      <c r="I119" s="3">
        <v>2.88</v>
      </c>
      <c r="J119" s="3" t="s">
        <v>1613</v>
      </c>
    </row>
    <row r="120" spans="1:10" x14ac:dyDescent="0.35">
      <c r="A120" s="3" t="s">
        <v>226</v>
      </c>
      <c r="B120" s="3">
        <v>52.4</v>
      </c>
      <c r="C120" s="3">
        <v>24.27</v>
      </c>
      <c r="D120" s="3">
        <v>5.13</v>
      </c>
      <c r="E120" s="3">
        <v>6.04</v>
      </c>
      <c r="F120" s="3">
        <v>2.4900000000000002</v>
      </c>
      <c r="G120" s="3">
        <v>2.11</v>
      </c>
      <c r="H120" s="3">
        <v>11.17</v>
      </c>
      <c r="I120" s="3">
        <v>4.5999999999999996</v>
      </c>
      <c r="J120" s="14" t="s">
        <v>143</v>
      </c>
    </row>
    <row r="121" spans="1:10" x14ac:dyDescent="0.35">
      <c r="A121" s="3" t="s">
        <v>227</v>
      </c>
      <c r="B121" s="3">
        <v>500</v>
      </c>
      <c r="C121" s="3">
        <v>1549.56</v>
      </c>
      <c r="D121" s="3">
        <v>150.15</v>
      </c>
      <c r="E121" s="3">
        <v>387.39</v>
      </c>
      <c r="F121" s="3">
        <v>2.5</v>
      </c>
      <c r="G121" s="3">
        <v>0.97</v>
      </c>
      <c r="H121" s="3">
        <v>537.54</v>
      </c>
      <c r="I121" s="3">
        <v>3.47</v>
      </c>
      <c r="J121" s="3" t="s">
        <v>1636</v>
      </c>
    </row>
    <row r="122" spans="1:10" x14ac:dyDescent="0.35">
      <c r="A122" s="3" t="s">
        <v>228</v>
      </c>
      <c r="B122" s="3">
        <v>400</v>
      </c>
      <c r="C122" s="3">
        <v>884.46</v>
      </c>
      <c r="D122" s="3">
        <v>153.15</v>
      </c>
      <c r="E122" s="3">
        <v>229.96</v>
      </c>
      <c r="F122" s="3">
        <v>2.6</v>
      </c>
      <c r="G122" s="3">
        <v>1.73</v>
      </c>
      <c r="H122" s="3">
        <v>383.11</v>
      </c>
      <c r="I122" s="3">
        <v>4.33</v>
      </c>
      <c r="J122" s="3" t="s">
        <v>143</v>
      </c>
    </row>
    <row r="123" spans="1:10" x14ac:dyDescent="0.35">
      <c r="A123" s="3" t="s">
        <v>229</v>
      </c>
      <c r="B123" s="3">
        <v>800</v>
      </c>
      <c r="C123" s="3">
        <v>1631.51</v>
      </c>
      <c r="D123" s="3">
        <v>166.41</v>
      </c>
      <c r="E123" s="3">
        <v>425.82</v>
      </c>
      <c r="F123" s="3">
        <v>2.61</v>
      </c>
      <c r="G123" s="3">
        <v>1.02</v>
      </c>
      <c r="H123" s="3">
        <v>592.24</v>
      </c>
      <c r="I123" s="3">
        <v>3.63</v>
      </c>
      <c r="J123" s="16" t="s">
        <v>144</v>
      </c>
    </row>
    <row r="124" spans="1:10" x14ac:dyDescent="0.35">
      <c r="A124" s="3" t="s">
        <v>230</v>
      </c>
      <c r="B124" s="3">
        <v>800</v>
      </c>
      <c r="C124" s="3">
        <v>1631.51</v>
      </c>
      <c r="D124" s="3">
        <v>166.41</v>
      </c>
      <c r="E124" s="3">
        <v>425.82</v>
      </c>
      <c r="F124" s="3">
        <v>2.61</v>
      </c>
      <c r="G124" s="3">
        <v>1.02</v>
      </c>
      <c r="H124" s="3">
        <v>592.24</v>
      </c>
      <c r="I124" s="3">
        <v>3.63</v>
      </c>
      <c r="J124" s="3" t="s">
        <v>144</v>
      </c>
    </row>
    <row r="125" spans="1:10" x14ac:dyDescent="0.35">
      <c r="A125" s="3" t="s">
        <v>231</v>
      </c>
      <c r="B125" s="3">
        <v>420</v>
      </c>
      <c r="C125" s="3">
        <v>890.81</v>
      </c>
      <c r="D125" s="3">
        <v>74.2</v>
      </c>
      <c r="E125" s="3">
        <v>237.85</v>
      </c>
      <c r="F125" s="3">
        <v>2.67</v>
      </c>
      <c r="G125" s="3">
        <v>0.83</v>
      </c>
      <c r="H125" s="3">
        <v>312.04000000000002</v>
      </c>
      <c r="I125" s="3">
        <v>3.5</v>
      </c>
      <c r="J125" s="3" t="s">
        <v>143</v>
      </c>
    </row>
    <row r="126" spans="1:10" x14ac:dyDescent="0.35">
      <c r="A126" s="3" t="s">
        <v>232</v>
      </c>
      <c r="B126" s="3">
        <v>420</v>
      </c>
      <c r="C126" s="3">
        <v>816.62</v>
      </c>
      <c r="D126" s="3">
        <v>74.2</v>
      </c>
      <c r="E126" s="3">
        <v>218.04</v>
      </c>
      <c r="F126" s="3">
        <v>2.67</v>
      </c>
      <c r="G126" s="3">
        <v>0.91</v>
      </c>
      <c r="H126" s="3">
        <v>292.24</v>
      </c>
      <c r="I126" s="3">
        <v>3.58</v>
      </c>
      <c r="J126" s="3" t="s">
        <v>143</v>
      </c>
    </row>
    <row r="127" spans="1:10" x14ac:dyDescent="0.35">
      <c r="A127" s="3" t="s">
        <v>233</v>
      </c>
      <c r="B127" s="3">
        <v>420</v>
      </c>
      <c r="C127" s="3">
        <v>779.11</v>
      </c>
      <c r="D127" s="3">
        <v>74.2</v>
      </c>
      <c r="E127" s="3">
        <v>208.02</v>
      </c>
      <c r="F127" s="3">
        <v>2.67</v>
      </c>
      <c r="G127" s="3">
        <v>0.95</v>
      </c>
      <c r="H127" s="3">
        <v>282.22000000000003</v>
      </c>
      <c r="I127" s="3">
        <v>3.62</v>
      </c>
      <c r="J127" s="3" t="s">
        <v>143</v>
      </c>
    </row>
    <row r="128" spans="1:10" x14ac:dyDescent="0.35">
      <c r="A128" s="3" t="s">
        <v>234</v>
      </c>
      <c r="B128" s="3">
        <v>461.1</v>
      </c>
      <c r="C128" s="3">
        <v>883.16</v>
      </c>
      <c r="D128" s="3">
        <v>106.09</v>
      </c>
      <c r="E128" s="3">
        <v>236.69</v>
      </c>
      <c r="F128" s="3">
        <v>2.68</v>
      </c>
      <c r="G128" s="3">
        <v>1.2</v>
      </c>
      <c r="H128" s="3">
        <v>342.78</v>
      </c>
      <c r="I128" s="3">
        <v>3.88</v>
      </c>
      <c r="J128" s="3" t="s">
        <v>143</v>
      </c>
    </row>
    <row r="129" spans="1:10" x14ac:dyDescent="0.35">
      <c r="A129" s="3" t="s">
        <v>235</v>
      </c>
      <c r="B129" s="3">
        <v>184.4</v>
      </c>
      <c r="C129" s="3">
        <v>323.25</v>
      </c>
      <c r="D129" s="3">
        <v>69.209999999999994</v>
      </c>
      <c r="E129" s="3">
        <v>86.63</v>
      </c>
      <c r="F129" s="3">
        <v>2.68</v>
      </c>
      <c r="G129" s="3">
        <v>2.14</v>
      </c>
      <c r="H129" s="3">
        <v>155.84</v>
      </c>
      <c r="I129" s="3">
        <v>4.82</v>
      </c>
      <c r="J129" s="3" t="s">
        <v>143</v>
      </c>
    </row>
    <row r="130" spans="1:10" x14ac:dyDescent="0.35">
      <c r="A130" s="3" t="s">
        <v>236</v>
      </c>
      <c r="B130" s="3">
        <v>46.116</v>
      </c>
      <c r="C130" s="3">
        <v>64.77</v>
      </c>
      <c r="D130" s="3">
        <v>7.52</v>
      </c>
      <c r="E130" s="3">
        <v>18.649999999999999</v>
      </c>
      <c r="F130" s="3">
        <v>2.88</v>
      </c>
      <c r="G130" s="3">
        <v>1.1599999999999999</v>
      </c>
      <c r="H130" s="3">
        <v>26.17</v>
      </c>
      <c r="I130" s="3">
        <v>4.04</v>
      </c>
      <c r="J130" s="3" t="s">
        <v>143</v>
      </c>
    </row>
    <row r="131" spans="1:10" x14ac:dyDescent="0.35">
      <c r="A131" s="3" t="s">
        <v>237</v>
      </c>
      <c r="B131" s="3">
        <v>83.412000000000006</v>
      </c>
      <c r="C131" s="3">
        <v>123.24</v>
      </c>
      <c r="D131" s="3">
        <v>14.11</v>
      </c>
      <c r="E131" s="3">
        <v>35.49</v>
      </c>
      <c r="F131" s="3">
        <v>2.88</v>
      </c>
      <c r="G131" s="3">
        <v>1.1399999999999999</v>
      </c>
      <c r="H131" s="3">
        <v>49.6</v>
      </c>
      <c r="I131" s="3">
        <v>4.0199999999999996</v>
      </c>
      <c r="J131" s="3" t="s">
        <v>143</v>
      </c>
    </row>
    <row r="132" spans="1:10" x14ac:dyDescent="0.35">
      <c r="A132" s="3" t="s">
        <v>238</v>
      </c>
      <c r="B132" s="3">
        <v>420</v>
      </c>
      <c r="C132" s="3">
        <v>606.54999999999995</v>
      </c>
      <c r="D132" s="3">
        <v>82.7</v>
      </c>
      <c r="E132" s="3">
        <v>190.46</v>
      </c>
      <c r="F132" s="3">
        <v>3.14</v>
      </c>
      <c r="G132" s="3">
        <v>1.36</v>
      </c>
      <c r="H132" s="3">
        <v>273.16000000000003</v>
      </c>
      <c r="I132" s="3">
        <v>4.5</v>
      </c>
      <c r="J132" s="3" t="s">
        <v>143</v>
      </c>
    </row>
    <row r="133" spans="1:10" x14ac:dyDescent="0.35">
      <c r="A133" s="3" t="s">
        <v>239</v>
      </c>
      <c r="B133" s="3">
        <v>420</v>
      </c>
      <c r="C133" s="3">
        <v>376.9</v>
      </c>
      <c r="D133" s="3">
        <v>121.25</v>
      </c>
      <c r="E133" s="3">
        <v>118.35</v>
      </c>
      <c r="F133" s="3">
        <v>3.14</v>
      </c>
      <c r="G133" s="3">
        <v>3.22</v>
      </c>
      <c r="H133" s="3">
        <v>239.6</v>
      </c>
      <c r="I133" s="3">
        <v>6.36</v>
      </c>
      <c r="J133" s="3" t="s">
        <v>143</v>
      </c>
    </row>
    <row r="134" spans="1:10" x14ac:dyDescent="0.35">
      <c r="A134" s="3" t="s">
        <v>240</v>
      </c>
      <c r="B134" s="3">
        <v>210</v>
      </c>
      <c r="C134" s="3">
        <v>153.94999999999999</v>
      </c>
      <c r="D134" s="3">
        <v>80.760000000000005</v>
      </c>
      <c r="E134" s="3">
        <v>48.34</v>
      </c>
      <c r="F134" s="3">
        <v>3.14</v>
      </c>
      <c r="G134" s="3">
        <v>5.25</v>
      </c>
      <c r="H134" s="3">
        <v>129.11000000000001</v>
      </c>
      <c r="I134" s="3">
        <v>8.39</v>
      </c>
      <c r="J134" s="3" t="s">
        <v>143</v>
      </c>
    </row>
    <row r="135" spans="1:10" x14ac:dyDescent="0.35">
      <c r="A135" s="3" t="s">
        <v>241</v>
      </c>
      <c r="B135" s="3">
        <v>600</v>
      </c>
      <c r="C135" s="3">
        <v>292.36</v>
      </c>
      <c r="D135" s="3">
        <v>31.16</v>
      </c>
      <c r="E135" s="3">
        <v>91.8</v>
      </c>
      <c r="F135" s="3">
        <v>3.14</v>
      </c>
      <c r="G135" s="3">
        <v>1.07</v>
      </c>
      <c r="H135" s="3">
        <v>122.96</v>
      </c>
      <c r="I135" s="3">
        <v>4.21</v>
      </c>
      <c r="J135" s="3" t="s">
        <v>144</v>
      </c>
    </row>
    <row r="136" spans="1:10" x14ac:dyDescent="0.35">
      <c r="A136" s="3" t="s">
        <v>242</v>
      </c>
      <c r="B136" s="3">
        <v>211.2</v>
      </c>
      <c r="C136" s="3">
        <v>36.71</v>
      </c>
      <c r="D136" s="3">
        <v>55.48</v>
      </c>
      <c r="E136" s="3">
        <v>13.14</v>
      </c>
      <c r="F136" s="3">
        <v>3.58</v>
      </c>
      <c r="G136" s="3">
        <v>15.11</v>
      </c>
      <c r="H136" s="3">
        <v>68.62</v>
      </c>
      <c r="I136" s="3">
        <v>18.690000000000001</v>
      </c>
      <c r="J136" s="14" t="s">
        <v>144</v>
      </c>
    </row>
    <row r="137" spans="1:10" x14ac:dyDescent="0.35">
      <c r="A137" s="3" t="s">
        <v>243</v>
      </c>
      <c r="B137" s="3"/>
      <c r="C137" s="3">
        <v>-59.316899999999997</v>
      </c>
      <c r="D137" s="3"/>
      <c r="E137" s="3">
        <v>-23.96</v>
      </c>
      <c r="F137" s="3"/>
      <c r="G137" s="3"/>
      <c r="H137" s="3">
        <v>-23.96</v>
      </c>
      <c r="I137" s="3">
        <v>4.04</v>
      </c>
    </row>
    <row r="138" spans="1:10" x14ac:dyDescent="0.35">
      <c r="A138" s="3" t="s">
        <v>244</v>
      </c>
      <c r="B138" s="3"/>
      <c r="C138" s="3">
        <v>41.775599999999997</v>
      </c>
      <c r="D138" s="3"/>
      <c r="E138" s="3">
        <v>16.88</v>
      </c>
      <c r="F138" s="3"/>
      <c r="G138" s="3"/>
      <c r="H138" s="3">
        <v>16.88</v>
      </c>
      <c r="I138" s="3">
        <v>4.04</v>
      </c>
    </row>
    <row r="139" spans="1:10" x14ac:dyDescent="0.35">
      <c r="A139" s="3" t="s">
        <v>247</v>
      </c>
      <c r="B139" s="3"/>
      <c r="C139" s="3"/>
      <c r="D139" s="3">
        <v>277.08</v>
      </c>
      <c r="E139" s="3"/>
      <c r="F139" s="3"/>
      <c r="G139" s="3"/>
      <c r="H139" s="3">
        <v>277.08</v>
      </c>
      <c r="I139" s="3"/>
    </row>
    <row r="140" spans="1:10" x14ac:dyDescent="0.35">
      <c r="A140" s="3" t="s">
        <v>245</v>
      </c>
      <c r="B140" s="3"/>
      <c r="C140" s="3"/>
      <c r="D140" s="3">
        <v>2.2799999999999998</v>
      </c>
      <c r="E140" s="3"/>
      <c r="F140" s="3"/>
      <c r="G140" s="3"/>
      <c r="H140" s="3">
        <v>2.2799999999999998</v>
      </c>
      <c r="I140" s="3"/>
    </row>
    <row r="141" spans="1:10" x14ac:dyDescent="0.35">
      <c r="A141" s="3" t="s">
        <v>246</v>
      </c>
      <c r="B141" s="3"/>
      <c r="C141" s="3">
        <v>21507.52</v>
      </c>
      <c r="D141" s="3">
        <v>2406.79</v>
      </c>
      <c r="E141" s="3">
        <v>6211.15</v>
      </c>
      <c r="F141" s="3">
        <v>2.89</v>
      </c>
      <c r="G141" s="3">
        <v>1.1200000000000001</v>
      </c>
      <c r="H141" s="3">
        <v>8617.94</v>
      </c>
      <c r="I141" s="3">
        <v>4.01</v>
      </c>
    </row>
    <row r="143" spans="1:10" x14ac:dyDescent="0.35">
      <c r="A143" s="2" t="s">
        <v>249</v>
      </c>
      <c r="B143" s="2" t="s">
        <v>257</v>
      </c>
    </row>
    <row r="144" spans="1:10" x14ac:dyDescent="0.35">
      <c r="A144" s="2" t="s">
        <v>137</v>
      </c>
      <c r="B144" s="2" t="s">
        <v>138</v>
      </c>
      <c r="C144" s="2" t="s">
        <v>139</v>
      </c>
    </row>
    <row r="145" spans="1:27" ht="43.5" x14ac:dyDescent="0.35">
      <c r="A145" s="3" t="s">
        <v>108</v>
      </c>
      <c r="B145" s="4" t="s">
        <v>115</v>
      </c>
      <c r="C145" s="4" t="s">
        <v>117</v>
      </c>
      <c r="D145" s="4" t="s">
        <v>116</v>
      </c>
      <c r="E145" s="4" t="s">
        <v>118</v>
      </c>
      <c r="F145" s="4" t="s">
        <v>119</v>
      </c>
      <c r="G145" s="4" t="s">
        <v>120</v>
      </c>
      <c r="H145" s="8"/>
      <c r="I145" s="7" t="s">
        <v>140</v>
      </c>
      <c r="J145" s="7" t="s">
        <v>175</v>
      </c>
      <c r="K145" s="7" t="s">
        <v>176</v>
      </c>
      <c r="L145" s="7" t="s">
        <v>174</v>
      </c>
      <c r="M145" s="7" t="s">
        <v>182</v>
      </c>
      <c r="N145" s="7" t="s">
        <v>141</v>
      </c>
      <c r="O145" s="7" t="s">
        <v>142</v>
      </c>
      <c r="P145" s="7" t="s">
        <v>154</v>
      </c>
      <c r="Q145" s="7" t="s">
        <v>155</v>
      </c>
      <c r="R145" s="7" t="s">
        <v>156</v>
      </c>
      <c r="S145" s="7" t="s">
        <v>152</v>
      </c>
      <c r="Z145" s="17"/>
      <c r="AA145" s="17"/>
    </row>
    <row r="146" spans="1:27" x14ac:dyDescent="0.35">
      <c r="A146" s="3" t="s">
        <v>51</v>
      </c>
      <c r="B146" s="3">
        <v>338.98</v>
      </c>
      <c r="C146" s="3">
        <v>0</v>
      </c>
      <c r="D146" s="3">
        <v>223.73</v>
      </c>
      <c r="E146" s="3">
        <v>0</v>
      </c>
      <c r="F146" s="3">
        <v>223.73</v>
      </c>
      <c r="G146" s="3">
        <v>6.6</v>
      </c>
      <c r="H146" s="8"/>
      <c r="I146" s="3" t="s">
        <v>1605</v>
      </c>
      <c r="J146" s="3">
        <v>141</v>
      </c>
      <c r="K146" s="3"/>
      <c r="L146" s="28">
        <f>B146/(J146*8.76)</f>
        <v>0.27444217753165584</v>
      </c>
      <c r="M146" s="34">
        <f>C146/J146*10^7/10^3</f>
        <v>0</v>
      </c>
      <c r="N146" s="11">
        <f t="shared" ref="N146:N155" si="6">C146/$B146*10</f>
        <v>0</v>
      </c>
      <c r="O146" s="11">
        <f t="shared" ref="O146:O155" si="7">D146/$B146*10</f>
        <v>6.6000944008496063</v>
      </c>
      <c r="P146" s="3">
        <f t="shared" ref="P146:P177" si="8">J146/SUMIF($I$146:$I$199,I146,$J$146:$J$199)</f>
        <v>0.52639438512655867</v>
      </c>
      <c r="Q146" s="3">
        <f>N146*$P146</f>
        <v>0</v>
      </c>
      <c r="R146" s="3">
        <f>O146*$P146</f>
        <v>3.4742526339124713</v>
      </c>
      <c r="S146" s="3"/>
    </row>
    <row r="147" spans="1:27" x14ac:dyDescent="0.35">
      <c r="A147" s="3" t="s">
        <v>52</v>
      </c>
      <c r="B147" s="3">
        <v>100.37</v>
      </c>
      <c r="C147" s="3">
        <v>0</v>
      </c>
      <c r="D147" s="3">
        <v>46.17</v>
      </c>
      <c r="E147" s="3">
        <v>0</v>
      </c>
      <c r="F147" s="3">
        <v>46.17</v>
      </c>
      <c r="G147" s="3">
        <v>4.5999999999999996</v>
      </c>
      <c r="H147" s="8"/>
      <c r="I147" s="3" t="s">
        <v>1605</v>
      </c>
      <c r="J147" s="3">
        <v>105.2</v>
      </c>
      <c r="K147" s="3"/>
      <c r="L147" s="28">
        <f t="shared" ref="L147:L194" si="9">B147/(J147*8.76)</f>
        <v>0.10891409274788617</v>
      </c>
      <c r="M147" s="34">
        <f t="shared" ref="M147:M194" si="10">C147/J147*10^7/10^3</f>
        <v>0</v>
      </c>
      <c r="N147" s="11">
        <f t="shared" si="6"/>
        <v>0</v>
      </c>
      <c r="O147" s="11">
        <f t="shared" si="7"/>
        <v>4.5999800737272096</v>
      </c>
      <c r="P147" s="3">
        <f t="shared" si="8"/>
        <v>0.39274247741357426</v>
      </c>
      <c r="Q147" s="3">
        <f t="shared" ref="Q147:Q199" si="11">N147*$P147</f>
        <v>0</v>
      </c>
      <c r="R147" s="3">
        <f t="shared" ref="R147:R199" si="12">O147*$P147</f>
        <v>1.8066075702087003</v>
      </c>
      <c r="S147" s="3"/>
    </row>
    <row r="148" spans="1:27" x14ac:dyDescent="0.35">
      <c r="A148" s="3" t="s">
        <v>53</v>
      </c>
      <c r="B148" s="3">
        <v>33.97</v>
      </c>
      <c r="C148" s="3">
        <v>0</v>
      </c>
      <c r="D148" s="3">
        <v>21.71</v>
      </c>
      <c r="E148" s="3">
        <v>0</v>
      </c>
      <c r="F148" s="3">
        <v>21.71</v>
      </c>
      <c r="G148" s="3">
        <v>6.39</v>
      </c>
      <c r="H148" s="8"/>
      <c r="I148" s="3" t="s">
        <v>1605</v>
      </c>
      <c r="J148" s="3">
        <v>21.66</v>
      </c>
      <c r="K148" s="3"/>
      <c r="L148" s="28">
        <f t="shared" si="9"/>
        <v>0.17903295850778109</v>
      </c>
      <c r="M148" s="34">
        <f t="shared" si="10"/>
        <v>0</v>
      </c>
      <c r="N148" s="11">
        <f t="shared" si="6"/>
        <v>0</v>
      </c>
      <c r="O148" s="11">
        <f t="shared" si="7"/>
        <v>6.3909331763320587</v>
      </c>
      <c r="P148" s="3">
        <f t="shared" si="8"/>
        <v>8.086313745986709E-2</v>
      </c>
      <c r="Q148" s="3">
        <f t="shared" si="11"/>
        <v>0</v>
      </c>
      <c r="R148" s="3">
        <f t="shared" si="12"/>
        <v>0.51679090793456428</v>
      </c>
      <c r="S148" s="3"/>
    </row>
    <row r="149" spans="1:27" x14ac:dyDescent="0.35">
      <c r="A149" s="3" t="s">
        <v>54</v>
      </c>
      <c r="B149" s="3">
        <v>6190.56</v>
      </c>
      <c r="C149" s="3">
        <v>0</v>
      </c>
      <c r="D149" s="3">
        <v>2699.08</v>
      </c>
      <c r="E149" s="3">
        <v>0</v>
      </c>
      <c r="F149" s="3">
        <v>2699.08</v>
      </c>
      <c r="G149" s="3">
        <v>4.3600000000000003</v>
      </c>
      <c r="H149" s="8"/>
      <c r="I149" s="3" t="s">
        <v>1606</v>
      </c>
      <c r="J149" s="14">
        <v>3566</v>
      </c>
      <c r="K149" s="14"/>
      <c r="L149" s="28">
        <f t="shared" si="9"/>
        <v>0.19817300378767508</v>
      </c>
      <c r="M149" s="34">
        <f t="shared" si="10"/>
        <v>0</v>
      </c>
      <c r="N149" s="11">
        <f t="shared" si="6"/>
        <v>0</v>
      </c>
      <c r="O149" s="11">
        <f t="shared" si="7"/>
        <v>4.3599932800909773</v>
      </c>
      <c r="P149" s="3">
        <f t="shared" si="8"/>
        <v>1</v>
      </c>
      <c r="Q149" s="3">
        <f t="shared" si="11"/>
        <v>0</v>
      </c>
      <c r="R149" s="3">
        <f t="shared" si="12"/>
        <v>4.3599932800909773</v>
      </c>
      <c r="S149" s="3"/>
    </row>
    <row r="150" spans="1:27" x14ac:dyDescent="0.35">
      <c r="A150" s="3" t="s">
        <v>55</v>
      </c>
      <c r="B150" s="3">
        <v>98.02</v>
      </c>
      <c r="C150" s="3">
        <v>0</v>
      </c>
      <c r="D150" s="3">
        <v>31.17</v>
      </c>
      <c r="E150" s="3">
        <v>0</v>
      </c>
      <c r="F150" s="3">
        <v>31.17</v>
      </c>
      <c r="G150" s="3">
        <v>3.18</v>
      </c>
      <c r="H150" s="8"/>
      <c r="I150" s="16" t="s">
        <v>1603</v>
      </c>
      <c r="J150" s="3">
        <v>57.5</v>
      </c>
      <c r="K150" s="3"/>
      <c r="L150" s="28">
        <f t="shared" si="9"/>
        <v>0.19459996029382567</v>
      </c>
      <c r="M150" s="34">
        <f t="shared" si="10"/>
        <v>0</v>
      </c>
      <c r="N150" s="11">
        <f t="shared" si="6"/>
        <v>0</v>
      </c>
      <c r="O150" s="11">
        <f t="shared" si="7"/>
        <v>3.1799632728014693</v>
      </c>
      <c r="P150" s="3">
        <f t="shared" si="8"/>
        <v>0.88325652841781876</v>
      </c>
      <c r="Q150" s="3">
        <f t="shared" si="11"/>
        <v>0</v>
      </c>
      <c r="R150" s="3">
        <f t="shared" si="12"/>
        <v>2.8087233208307909</v>
      </c>
      <c r="S150" s="3"/>
    </row>
    <row r="151" spans="1:27" x14ac:dyDescent="0.35">
      <c r="A151" s="3" t="s">
        <v>56</v>
      </c>
      <c r="B151" s="3">
        <v>10.87</v>
      </c>
      <c r="C151" s="3">
        <v>0</v>
      </c>
      <c r="D151" s="3">
        <v>1.97</v>
      </c>
      <c r="E151" s="3">
        <v>0</v>
      </c>
      <c r="F151" s="3">
        <v>1.97</v>
      </c>
      <c r="G151" s="3">
        <v>1.81</v>
      </c>
      <c r="H151" s="8"/>
      <c r="I151" s="3" t="s">
        <v>1603</v>
      </c>
      <c r="J151" s="3">
        <v>6.6</v>
      </c>
      <c r="K151" s="3"/>
      <c r="L151" s="28">
        <f t="shared" si="9"/>
        <v>0.18801023938010239</v>
      </c>
      <c r="M151" s="34">
        <f t="shared" si="10"/>
        <v>0</v>
      </c>
      <c r="N151" s="11">
        <f t="shared" si="6"/>
        <v>0</v>
      </c>
      <c r="O151" s="11">
        <f t="shared" si="7"/>
        <v>1.8123275068997242</v>
      </c>
      <c r="P151" s="3">
        <f t="shared" si="8"/>
        <v>0.10138248847926268</v>
      </c>
      <c r="Q151" s="3">
        <f t="shared" si="11"/>
        <v>0</v>
      </c>
      <c r="R151" s="3">
        <f t="shared" si="12"/>
        <v>0.18373827258891215</v>
      </c>
      <c r="S151" s="3"/>
    </row>
    <row r="152" spans="1:27" x14ac:dyDescent="0.35">
      <c r="A152" s="3" t="s">
        <v>57</v>
      </c>
      <c r="B152" s="3">
        <v>3543.69</v>
      </c>
      <c r="C152" s="3">
        <v>0</v>
      </c>
      <c r="D152" s="3">
        <v>1881.7</v>
      </c>
      <c r="E152" s="3">
        <v>0</v>
      </c>
      <c r="F152" s="3">
        <v>1881.7</v>
      </c>
      <c r="G152" s="3">
        <v>5.31</v>
      </c>
      <c r="H152" s="8"/>
      <c r="I152" s="3" t="s">
        <v>1636</v>
      </c>
      <c r="J152" s="14">
        <v>1746.8246166781416</v>
      </c>
      <c r="K152" s="14"/>
      <c r="L152" s="28">
        <f t="shared" si="9"/>
        <v>0.23158067390135961</v>
      </c>
      <c r="M152" s="34">
        <f t="shared" si="10"/>
        <v>0</v>
      </c>
      <c r="N152" s="11">
        <f t="shared" si="6"/>
        <v>0</v>
      </c>
      <c r="O152" s="11">
        <f t="shared" si="7"/>
        <v>5.3100017213695327</v>
      </c>
      <c r="P152" s="3">
        <f t="shared" si="8"/>
        <v>1</v>
      </c>
      <c r="Q152" s="3">
        <f t="shared" si="11"/>
        <v>0</v>
      </c>
      <c r="R152" s="3">
        <f t="shared" si="12"/>
        <v>5.3100017213695327</v>
      </c>
      <c r="S152" s="3"/>
    </row>
    <row r="153" spans="1:27" x14ac:dyDescent="0.35">
      <c r="A153" s="3" t="s">
        <v>58</v>
      </c>
      <c r="B153" s="3">
        <v>109.99</v>
      </c>
      <c r="C153" s="3">
        <v>0</v>
      </c>
      <c r="D153" s="3">
        <v>23.76</v>
      </c>
      <c r="E153" s="3">
        <v>0</v>
      </c>
      <c r="F153" s="3">
        <v>23.76</v>
      </c>
      <c r="G153" s="3">
        <v>2.16</v>
      </c>
      <c r="H153" s="8"/>
      <c r="I153" s="3" t="s">
        <v>1615</v>
      </c>
      <c r="J153" s="3">
        <v>20.284000000000002</v>
      </c>
      <c r="K153" s="3">
        <f>4.18%*440</f>
        <v>18.391999999999999</v>
      </c>
      <c r="L153" s="28">
        <f t="shared" si="9"/>
        <v>0.61900690559353966</v>
      </c>
      <c r="M153" s="34">
        <f t="shared" si="10"/>
        <v>0</v>
      </c>
      <c r="N153" s="11">
        <f t="shared" si="6"/>
        <v>0</v>
      </c>
      <c r="O153" s="11">
        <f t="shared" si="7"/>
        <v>2.1601963814892269</v>
      </c>
      <c r="P153" s="3">
        <f t="shared" si="8"/>
        <v>0.13578792341678941</v>
      </c>
      <c r="Q153" s="3">
        <f t="shared" si="11"/>
        <v>0</v>
      </c>
      <c r="R153" s="3">
        <f t="shared" si="12"/>
        <v>0.29332858081488472</v>
      </c>
      <c r="S153" s="3"/>
    </row>
    <row r="154" spans="1:27" x14ac:dyDescent="0.35">
      <c r="A154" s="3" t="s">
        <v>59</v>
      </c>
      <c r="B154" s="3">
        <v>395.59</v>
      </c>
      <c r="C154" s="3">
        <v>0</v>
      </c>
      <c r="D154" s="3">
        <v>123.82</v>
      </c>
      <c r="E154" s="3">
        <v>0</v>
      </c>
      <c r="F154" s="3">
        <v>123.82</v>
      </c>
      <c r="G154" s="3">
        <v>3.13</v>
      </c>
      <c r="H154" s="8"/>
      <c r="I154" s="3" t="s">
        <v>1615</v>
      </c>
      <c r="J154" s="3">
        <v>62.699999999999996</v>
      </c>
      <c r="K154" s="3">
        <f>12.78%*440</f>
        <v>56.231999999999999</v>
      </c>
      <c r="L154" s="28">
        <f t="shared" si="9"/>
        <v>0.72023406378128807</v>
      </c>
      <c r="M154" s="34">
        <f t="shared" si="10"/>
        <v>0</v>
      </c>
      <c r="N154" s="11">
        <f t="shared" si="6"/>
        <v>0</v>
      </c>
      <c r="O154" s="11">
        <f t="shared" si="7"/>
        <v>3.130008341970222</v>
      </c>
      <c r="P154" s="3">
        <f t="shared" si="8"/>
        <v>0.41973490427098675</v>
      </c>
      <c r="Q154" s="3">
        <f t="shared" si="11"/>
        <v>0</v>
      </c>
      <c r="R154" s="3">
        <f t="shared" si="12"/>
        <v>1.3137737517842611</v>
      </c>
      <c r="S154" s="3"/>
    </row>
    <row r="155" spans="1:27" x14ac:dyDescent="0.35">
      <c r="A155" s="3" t="s">
        <v>109</v>
      </c>
      <c r="B155" s="3">
        <v>397.04</v>
      </c>
      <c r="C155" s="3">
        <v>0</v>
      </c>
      <c r="D155" s="3">
        <v>124.27</v>
      </c>
      <c r="E155" s="3">
        <v>0</v>
      </c>
      <c r="F155" s="3">
        <v>124.27</v>
      </c>
      <c r="G155" s="3">
        <v>3.13</v>
      </c>
      <c r="H155" s="8"/>
      <c r="I155" s="3" t="s">
        <v>1615</v>
      </c>
      <c r="J155" s="3">
        <v>66.396000000000001</v>
      </c>
      <c r="K155" s="3">
        <f>13.62%*440</f>
        <v>59.927999999999997</v>
      </c>
      <c r="L155" s="28">
        <f t="shared" si="9"/>
        <v>0.68263450980845253</v>
      </c>
      <c r="M155" s="34">
        <f t="shared" si="10"/>
        <v>0</v>
      </c>
      <c r="N155" s="11">
        <f t="shared" si="6"/>
        <v>0</v>
      </c>
      <c r="O155" s="11">
        <f t="shared" si="7"/>
        <v>3.129911343945194</v>
      </c>
      <c r="P155" s="3">
        <f t="shared" si="8"/>
        <v>0.44447717231222389</v>
      </c>
      <c r="Q155" s="3">
        <f t="shared" si="11"/>
        <v>0</v>
      </c>
      <c r="R155" s="3">
        <f t="shared" si="12"/>
        <v>1.3911741437447123</v>
      </c>
      <c r="S155" s="3"/>
    </row>
    <row r="156" spans="1:27" x14ac:dyDescent="0.35">
      <c r="A156" s="3" t="s">
        <v>110</v>
      </c>
      <c r="B156" s="3">
        <v>144.05000000000001</v>
      </c>
      <c r="C156" s="797">
        <v>23.83</v>
      </c>
      <c r="D156" s="797">
        <v>0</v>
      </c>
      <c r="E156" s="797">
        <v>0</v>
      </c>
      <c r="F156" s="797">
        <v>23.83</v>
      </c>
      <c r="G156" s="797">
        <v>1.1499999999999999</v>
      </c>
      <c r="H156" s="8"/>
      <c r="I156" s="3" t="s">
        <v>1604</v>
      </c>
      <c r="J156" s="3">
        <v>38.732399999999998</v>
      </c>
      <c r="K156" s="3"/>
      <c r="L156" s="28">
        <f t="shared" si="9"/>
        <v>0.42455577054199173</v>
      </c>
      <c r="M156" s="34">
        <f t="shared" si="10"/>
        <v>6152.4718323677334</v>
      </c>
      <c r="N156" s="11">
        <f>C$156/($B$156+$B$157)*10</f>
        <v>1.1462792823127614</v>
      </c>
      <c r="O156" s="11">
        <f>D$156/($B$156+$B$157)*10</f>
        <v>0</v>
      </c>
      <c r="P156" s="3">
        <f t="shared" si="8"/>
        <v>2.2515018033917686E-2</v>
      </c>
      <c r="Q156" s="3">
        <f t="shared" si="11"/>
        <v>2.5808498713178047E-2</v>
      </c>
      <c r="R156" s="3">
        <f t="shared" si="12"/>
        <v>0</v>
      </c>
      <c r="S156" s="3"/>
    </row>
    <row r="157" spans="1:27" x14ac:dyDescent="0.35">
      <c r="A157" s="3" t="s">
        <v>79</v>
      </c>
      <c r="B157" s="3">
        <v>63.84</v>
      </c>
      <c r="C157" s="798"/>
      <c r="D157" s="798"/>
      <c r="E157" s="798"/>
      <c r="F157" s="798"/>
      <c r="G157" s="798"/>
      <c r="H157" s="8"/>
      <c r="I157" s="3" t="s">
        <v>1604</v>
      </c>
      <c r="J157" s="3">
        <v>26.559360000000002</v>
      </c>
      <c r="K157" s="3"/>
      <c r="L157" s="28">
        <f t="shared" si="9"/>
        <v>0.2743918239323806</v>
      </c>
      <c r="M157" s="34">
        <f t="shared" si="10"/>
        <v>0</v>
      </c>
      <c r="N157" s="11">
        <f>C$156/($B$156+$B$157)*10</f>
        <v>1.1462792823127614</v>
      </c>
      <c r="O157" s="11">
        <f>D$156/($B$156+$B$157)*10</f>
        <v>0</v>
      </c>
      <c r="P157" s="3">
        <f t="shared" si="8"/>
        <v>1.5438869508972129E-2</v>
      </c>
      <c r="Q157" s="3">
        <f t="shared" si="11"/>
        <v>1.7697256260464946E-2</v>
      </c>
      <c r="R157" s="3">
        <f t="shared" si="12"/>
        <v>0</v>
      </c>
      <c r="S157" s="3"/>
    </row>
    <row r="158" spans="1:27" x14ac:dyDescent="0.35">
      <c r="A158" s="3" t="s">
        <v>61</v>
      </c>
      <c r="B158" s="3">
        <v>450.78</v>
      </c>
      <c r="C158" s="797">
        <v>168.69</v>
      </c>
      <c r="D158" s="797">
        <v>0</v>
      </c>
      <c r="E158" s="797">
        <v>0</v>
      </c>
      <c r="F158" s="797">
        <v>168.69</v>
      </c>
      <c r="G158" s="797">
        <v>1.02</v>
      </c>
      <c r="H158" s="8"/>
      <c r="I158" s="3" t="s">
        <v>1604</v>
      </c>
      <c r="J158" s="3">
        <v>240</v>
      </c>
      <c r="K158" s="3"/>
      <c r="L158" s="28">
        <f t="shared" si="9"/>
        <v>0.21441210045662099</v>
      </c>
      <c r="M158" s="34">
        <f t="shared" si="10"/>
        <v>7028.75</v>
      </c>
      <c r="N158" s="11">
        <f t="shared" ref="N158:O160" si="13">C$158/($B$158+$B$159+$B$160)*10</f>
        <v>1.022977422817327</v>
      </c>
      <c r="O158" s="11">
        <f t="shared" si="13"/>
        <v>0</v>
      </c>
      <c r="P158" s="3">
        <f t="shared" si="8"/>
        <v>0.13951121872489816</v>
      </c>
      <c r="Q158" s="3">
        <f t="shared" si="11"/>
        <v>0.14271682698530072</v>
      </c>
      <c r="R158" s="3">
        <f t="shared" si="12"/>
        <v>0</v>
      </c>
      <c r="S158" s="3"/>
    </row>
    <row r="159" spans="1:27" x14ac:dyDescent="0.35">
      <c r="A159" s="3" t="s">
        <v>62</v>
      </c>
      <c r="B159" s="3">
        <v>1093.3599999999999</v>
      </c>
      <c r="C159" s="799"/>
      <c r="D159" s="799"/>
      <c r="E159" s="799"/>
      <c r="F159" s="799"/>
      <c r="G159" s="799"/>
      <c r="H159" s="8"/>
      <c r="I159" s="3" t="s">
        <v>1604</v>
      </c>
      <c r="J159" s="3">
        <v>460</v>
      </c>
      <c r="K159" s="3"/>
      <c r="L159" s="28">
        <f t="shared" si="9"/>
        <v>0.27133214214810403</v>
      </c>
      <c r="M159" s="34">
        <f t="shared" si="10"/>
        <v>0</v>
      </c>
      <c r="N159" s="11">
        <f t="shared" si="13"/>
        <v>1.022977422817327</v>
      </c>
      <c r="O159" s="11">
        <f t="shared" si="13"/>
        <v>0</v>
      </c>
      <c r="P159" s="3">
        <f t="shared" si="8"/>
        <v>0.26739650255605479</v>
      </c>
      <c r="Q159" s="3">
        <f t="shared" si="11"/>
        <v>0.27354058505515971</v>
      </c>
      <c r="R159" s="3">
        <f t="shared" si="12"/>
        <v>0</v>
      </c>
      <c r="S159" s="3"/>
    </row>
    <row r="160" spans="1:27" x14ac:dyDescent="0.35">
      <c r="A160" s="3" t="s">
        <v>111</v>
      </c>
      <c r="B160" s="3">
        <v>104.87</v>
      </c>
      <c r="C160" s="798"/>
      <c r="D160" s="798"/>
      <c r="E160" s="798"/>
      <c r="F160" s="798"/>
      <c r="G160" s="798"/>
      <c r="H160" s="8"/>
      <c r="I160" s="3" t="s">
        <v>1604</v>
      </c>
      <c r="J160" s="3">
        <v>25</v>
      </c>
      <c r="K160" s="3"/>
      <c r="L160" s="28">
        <f t="shared" si="9"/>
        <v>0.47885844748858447</v>
      </c>
      <c r="M160" s="34">
        <f t="shared" si="10"/>
        <v>0</v>
      </c>
      <c r="N160" s="11">
        <f t="shared" si="13"/>
        <v>1.022977422817327</v>
      </c>
      <c r="O160" s="11">
        <f t="shared" si="13"/>
        <v>0</v>
      </c>
      <c r="P160" s="3">
        <f t="shared" si="8"/>
        <v>1.4532418617176891E-2</v>
      </c>
      <c r="Q160" s="3">
        <f t="shared" si="11"/>
        <v>1.4866336144302158E-2</v>
      </c>
      <c r="R160" s="3">
        <f t="shared" si="12"/>
        <v>0</v>
      </c>
      <c r="S160" s="3"/>
    </row>
    <row r="161" spans="1:19" x14ac:dyDescent="0.35">
      <c r="A161" s="3" t="s">
        <v>64</v>
      </c>
      <c r="B161" s="3">
        <v>973.68</v>
      </c>
      <c r="C161" s="3">
        <v>168.89</v>
      </c>
      <c r="D161" s="3">
        <v>0</v>
      </c>
      <c r="E161" s="3">
        <v>0</v>
      </c>
      <c r="F161" s="3">
        <v>168.89</v>
      </c>
      <c r="G161" s="3">
        <v>1.73</v>
      </c>
      <c r="H161" s="8"/>
      <c r="I161" s="3" t="s">
        <v>1604</v>
      </c>
      <c r="J161" s="3">
        <v>770</v>
      </c>
      <c r="K161" s="3"/>
      <c r="L161" s="28">
        <f t="shared" si="9"/>
        <v>0.14435153887208682</v>
      </c>
      <c r="M161" s="34">
        <f t="shared" si="10"/>
        <v>2193.3766233766232</v>
      </c>
      <c r="N161" s="11">
        <f t="shared" ref="N161:N197" si="14">C161/$B161*10</f>
        <v>1.7345534467176074</v>
      </c>
      <c r="O161" s="11">
        <f t="shared" ref="O161:O197" si="15">D161/$B161*10</f>
        <v>0</v>
      </c>
      <c r="P161" s="3">
        <f t="shared" si="8"/>
        <v>0.44759849340904823</v>
      </c>
      <c r="Q161" s="3">
        <f t="shared" si="11"/>
        <v>0.77638350948827284</v>
      </c>
      <c r="R161" s="3">
        <f t="shared" si="12"/>
        <v>0</v>
      </c>
      <c r="S161" s="3"/>
    </row>
    <row r="162" spans="1:19" x14ac:dyDescent="0.35">
      <c r="A162" s="3" t="s">
        <v>65</v>
      </c>
      <c r="B162" s="3">
        <v>130.13</v>
      </c>
      <c r="C162" s="3">
        <v>17.739999999999998</v>
      </c>
      <c r="D162" s="3">
        <v>0</v>
      </c>
      <c r="E162" s="3">
        <v>0</v>
      </c>
      <c r="F162" s="3">
        <v>17.739999999999998</v>
      </c>
      <c r="G162" s="3">
        <v>1.36</v>
      </c>
      <c r="H162" s="8"/>
      <c r="I162" s="3" t="s">
        <v>1604</v>
      </c>
      <c r="J162" s="3">
        <v>90</v>
      </c>
      <c r="K162" s="3"/>
      <c r="L162" s="28">
        <f t="shared" si="9"/>
        <v>0.16505580923389143</v>
      </c>
      <c r="M162" s="34">
        <f t="shared" si="10"/>
        <v>1971.1111111111111</v>
      </c>
      <c r="N162" s="11">
        <f t="shared" si="14"/>
        <v>1.3632521324829017</v>
      </c>
      <c r="O162" s="11">
        <f t="shared" si="15"/>
        <v>0</v>
      </c>
      <c r="P162" s="3">
        <f t="shared" si="8"/>
        <v>5.2316707021836807E-2</v>
      </c>
      <c r="Q162" s="3">
        <f t="shared" si="11"/>
        <v>7.1320862412002223E-2</v>
      </c>
      <c r="R162" s="3">
        <f t="shared" si="12"/>
        <v>0</v>
      </c>
      <c r="S162" s="3"/>
    </row>
    <row r="163" spans="1:19" x14ac:dyDescent="0.35">
      <c r="A163" s="3" t="s">
        <v>66</v>
      </c>
      <c r="B163" s="3">
        <v>6.4</v>
      </c>
      <c r="C163" s="3">
        <v>10.44</v>
      </c>
      <c r="D163" s="3">
        <v>0</v>
      </c>
      <c r="E163" s="3">
        <v>0</v>
      </c>
      <c r="F163" s="3">
        <v>10.44</v>
      </c>
      <c r="G163" s="3">
        <v>16.32</v>
      </c>
      <c r="H163" s="8"/>
      <c r="I163" s="3" t="s">
        <v>1604</v>
      </c>
      <c r="J163" s="3">
        <v>20</v>
      </c>
      <c r="K163" s="3"/>
      <c r="L163" s="28">
        <f t="shared" si="9"/>
        <v>3.6529680365296809E-2</v>
      </c>
      <c r="M163" s="34">
        <f t="shared" si="10"/>
        <v>5220</v>
      </c>
      <c r="N163" s="11">
        <f t="shared" si="14"/>
        <v>16.3125</v>
      </c>
      <c r="O163" s="11">
        <f t="shared" si="15"/>
        <v>0</v>
      </c>
      <c r="P163" s="3">
        <f t="shared" si="8"/>
        <v>1.1625934893741512E-2</v>
      </c>
      <c r="Q163" s="3">
        <f t="shared" si="11"/>
        <v>0.18964806295415843</v>
      </c>
      <c r="R163" s="3">
        <f t="shared" si="12"/>
        <v>0</v>
      </c>
      <c r="S163" s="3"/>
    </row>
    <row r="164" spans="1:19" x14ac:dyDescent="0.35">
      <c r="A164" s="3" t="s">
        <v>80</v>
      </c>
      <c r="B164" s="3">
        <v>2.59</v>
      </c>
      <c r="C164" s="3">
        <v>0.77</v>
      </c>
      <c r="D164" s="3">
        <v>0</v>
      </c>
      <c r="E164" s="3">
        <v>0</v>
      </c>
      <c r="F164" s="3">
        <v>0.77</v>
      </c>
      <c r="G164" s="3">
        <v>2.97</v>
      </c>
      <c r="H164" s="8"/>
      <c r="I164" s="16" t="s">
        <v>1603</v>
      </c>
      <c r="J164" s="3">
        <v>1</v>
      </c>
      <c r="K164" s="3"/>
      <c r="L164" s="28">
        <f t="shared" si="9"/>
        <v>0.295662100456621</v>
      </c>
      <c r="M164" s="34">
        <f t="shared" si="10"/>
        <v>7700</v>
      </c>
      <c r="N164" s="11">
        <f t="shared" si="14"/>
        <v>2.9729729729729732</v>
      </c>
      <c r="O164" s="11">
        <f t="shared" si="15"/>
        <v>0</v>
      </c>
      <c r="P164" s="3">
        <f t="shared" si="8"/>
        <v>1.5360983102918589E-2</v>
      </c>
      <c r="Q164" s="3">
        <f t="shared" si="11"/>
        <v>4.5667787603271483E-2</v>
      </c>
      <c r="R164" s="3">
        <f t="shared" si="12"/>
        <v>0</v>
      </c>
      <c r="S164" s="3"/>
    </row>
    <row r="165" spans="1:19" x14ac:dyDescent="0.35">
      <c r="A165" s="3" t="s">
        <v>67</v>
      </c>
      <c r="B165" s="3">
        <v>173.25</v>
      </c>
      <c r="C165" s="3">
        <v>48.26</v>
      </c>
      <c r="D165" s="3">
        <v>0</v>
      </c>
      <c r="E165" s="3">
        <v>0</v>
      </c>
      <c r="F165" s="3">
        <v>48.26</v>
      </c>
      <c r="G165" s="3">
        <v>2.79</v>
      </c>
      <c r="H165" s="8"/>
      <c r="I165" s="3" t="s">
        <v>1604</v>
      </c>
      <c r="J165" s="3">
        <v>50</v>
      </c>
      <c r="K165" s="3"/>
      <c r="L165" s="28">
        <f t="shared" si="9"/>
        <v>0.39554794520547948</v>
      </c>
      <c r="M165" s="34">
        <f t="shared" si="10"/>
        <v>9652</v>
      </c>
      <c r="N165" s="11">
        <f t="shared" si="14"/>
        <v>2.7855699855699854</v>
      </c>
      <c r="O165" s="11">
        <f t="shared" si="15"/>
        <v>0</v>
      </c>
      <c r="P165" s="3">
        <f t="shared" si="8"/>
        <v>2.9064837234353783E-2</v>
      </c>
      <c r="Q165" s="3">
        <f t="shared" si="11"/>
        <v>8.0962138235492837E-2</v>
      </c>
      <c r="R165" s="3">
        <f t="shared" si="12"/>
        <v>0</v>
      </c>
      <c r="S165" s="3"/>
    </row>
    <row r="166" spans="1:19" x14ac:dyDescent="0.35">
      <c r="A166" s="3" t="s">
        <v>68</v>
      </c>
      <c r="B166" s="3">
        <v>1453.02</v>
      </c>
      <c r="C166" s="3">
        <v>92.66</v>
      </c>
      <c r="D166" s="3">
        <v>236.84</v>
      </c>
      <c r="E166" s="3">
        <v>4.78</v>
      </c>
      <c r="F166" s="3">
        <v>334.28</v>
      </c>
      <c r="G166" s="3">
        <v>2.2999999999999998</v>
      </c>
      <c r="H166" s="8"/>
      <c r="I166" s="3" t="s">
        <v>143</v>
      </c>
      <c r="J166" s="3">
        <v>184.4</v>
      </c>
      <c r="K166" s="3"/>
      <c r="L166" s="28">
        <f t="shared" si="9"/>
        <v>0.89951118770986238</v>
      </c>
      <c r="M166" s="34">
        <f t="shared" si="10"/>
        <v>5024.9457700650755</v>
      </c>
      <c r="N166" s="11">
        <f t="shared" si="14"/>
        <v>0.63770629447633209</v>
      </c>
      <c r="O166" s="11">
        <f t="shared" si="15"/>
        <v>1.6299844461879396</v>
      </c>
      <c r="P166" s="3">
        <f t="shared" si="8"/>
        <v>6.2292709523420239E-2</v>
      </c>
      <c r="Q166" s="3">
        <f t="shared" si="11"/>
        <v>3.9724452963070846E-2</v>
      </c>
      <c r="R166" s="3">
        <f t="shared" si="12"/>
        <v>0.10153614763407832</v>
      </c>
      <c r="S166" s="3"/>
    </row>
    <row r="167" spans="1:19" x14ac:dyDescent="0.35">
      <c r="A167" s="3" t="s">
        <v>69</v>
      </c>
      <c r="B167" s="3">
        <v>1716.32</v>
      </c>
      <c r="C167" s="3">
        <v>305.5</v>
      </c>
      <c r="D167" s="3">
        <v>326.10000000000002</v>
      </c>
      <c r="E167" s="3">
        <v>0</v>
      </c>
      <c r="F167" s="3">
        <v>631.6</v>
      </c>
      <c r="G167" s="3">
        <v>3.68</v>
      </c>
      <c r="H167" s="8"/>
      <c r="I167" s="3" t="s">
        <v>144</v>
      </c>
      <c r="J167" s="14">
        <v>230.55</v>
      </c>
      <c r="K167" s="14"/>
      <c r="L167" s="28">
        <f t="shared" si="9"/>
        <v>0.84982407564202733</v>
      </c>
      <c r="M167" s="34">
        <f t="shared" si="10"/>
        <v>13250.921708956841</v>
      </c>
      <c r="N167" s="11">
        <f t="shared" si="14"/>
        <v>1.779971100960194</v>
      </c>
      <c r="O167" s="11">
        <f t="shared" si="15"/>
        <v>1.8999953388645476</v>
      </c>
      <c r="P167" s="3">
        <f t="shared" si="8"/>
        <v>6.3650042102066456E-2</v>
      </c>
      <c r="Q167" s="3">
        <f t="shared" si="11"/>
        <v>0.11329523551657793</v>
      </c>
      <c r="R167" s="3">
        <f t="shared" si="12"/>
        <v>0.12093478331245848</v>
      </c>
      <c r="S167" s="15" t="s">
        <v>151</v>
      </c>
    </row>
    <row r="168" spans="1:19" x14ac:dyDescent="0.35">
      <c r="A168" s="35" t="s">
        <v>70</v>
      </c>
      <c r="B168" s="35">
        <v>1620.08</v>
      </c>
      <c r="C168" s="35">
        <v>104.75</v>
      </c>
      <c r="D168" s="35">
        <v>327.26</v>
      </c>
      <c r="E168" s="35">
        <v>3.74</v>
      </c>
      <c r="F168" s="35">
        <v>435.74</v>
      </c>
      <c r="G168" s="35">
        <v>2.69</v>
      </c>
      <c r="H168" s="36"/>
      <c r="I168" s="35"/>
      <c r="J168" s="35">
        <v>0</v>
      </c>
      <c r="K168" s="35"/>
      <c r="L168" s="37" t="e">
        <f t="shared" si="9"/>
        <v>#DIV/0!</v>
      </c>
      <c r="M168" s="38" t="e">
        <f t="shared" si="10"/>
        <v>#DIV/0!</v>
      </c>
      <c r="N168" s="39">
        <f t="shared" si="14"/>
        <v>0.64657300874030921</v>
      </c>
      <c r="O168" s="39">
        <f t="shared" si="15"/>
        <v>2.0200237025332082</v>
      </c>
      <c r="P168" s="35" t="e">
        <f t="shared" si="8"/>
        <v>#DIV/0!</v>
      </c>
      <c r="Q168" s="35" t="e">
        <f t="shared" si="11"/>
        <v>#DIV/0!</v>
      </c>
      <c r="R168" s="35" t="e">
        <f t="shared" si="12"/>
        <v>#DIV/0!</v>
      </c>
      <c r="S168" s="3"/>
    </row>
    <row r="169" spans="1:19" x14ac:dyDescent="0.35">
      <c r="A169" s="35" t="s">
        <v>71</v>
      </c>
      <c r="B169" s="35">
        <v>1612.24</v>
      </c>
      <c r="C169" s="35">
        <v>252</v>
      </c>
      <c r="D169" s="35">
        <v>325.67</v>
      </c>
      <c r="E169" s="35">
        <v>0</v>
      </c>
      <c r="F169" s="35">
        <v>577.66999999999996</v>
      </c>
      <c r="G169" s="35">
        <v>3.58</v>
      </c>
      <c r="H169" s="36"/>
      <c r="I169" s="35"/>
      <c r="J169" s="35">
        <v>0</v>
      </c>
      <c r="K169" s="35"/>
      <c r="L169" s="37" t="e">
        <f t="shared" si="9"/>
        <v>#DIV/0!</v>
      </c>
      <c r="M169" s="38" t="e">
        <f t="shared" si="10"/>
        <v>#DIV/0!</v>
      </c>
      <c r="N169" s="39">
        <f t="shared" si="14"/>
        <v>1.5630427231677666</v>
      </c>
      <c r="O169" s="39">
        <f t="shared" si="15"/>
        <v>2.0199846176747878</v>
      </c>
      <c r="P169" s="35" t="e">
        <f t="shared" si="8"/>
        <v>#DIV/0!</v>
      </c>
      <c r="Q169" s="35" t="e">
        <f t="shared" si="11"/>
        <v>#DIV/0!</v>
      </c>
      <c r="R169" s="35" t="e">
        <f t="shared" si="12"/>
        <v>#DIV/0!</v>
      </c>
      <c r="S169" s="3"/>
    </row>
    <row r="170" spans="1:19" x14ac:dyDescent="0.35">
      <c r="A170" s="3" t="s">
        <v>72</v>
      </c>
      <c r="B170" s="3">
        <v>578.77</v>
      </c>
      <c r="C170" s="3">
        <v>40.65</v>
      </c>
      <c r="D170" s="3">
        <v>120.96</v>
      </c>
      <c r="E170" s="3">
        <v>2.0099999999999998</v>
      </c>
      <c r="F170" s="3">
        <v>163.62</v>
      </c>
      <c r="G170" s="3">
        <v>2.83</v>
      </c>
      <c r="H170" s="8"/>
      <c r="I170" s="14" t="s">
        <v>144</v>
      </c>
      <c r="J170" s="3">
        <v>78.399999999999991</v>
      </c>
      <c r="K170" s="3"/>
      <c r="L170" s="28">
        <f t="shared" si="9"/>
        <v>0.84272493243872904</v>
      </c>
      <c r="M170" s="34">
        <f t="shared" si="10"/>
        <v>5184.9489795918371</v>
      </c>
      <c r="N170" s="11">
        <f t="shared" si="14"/>
        <v>0.70235153860773714</v>
      </c>
      <c r="O170" s="11">
        <f t="shared" si="15"/>
        <v>2.0899493753995539</v>
      </c>
      <c r="P170" s="3">
        <f t="shared" si="8"/>
        <v>2.1644603343318192E-2</v>
      </c>
      <c r="Q170" s="3">
        <f t="shared" si="11"/>
        <v>1.5202120460733702E-2</v>
      </c>
      <c r="R170" s="3">
        <f t="shared" si="12"/>
        <v>4.5236125238138955E-2</v>
      </c>
      <c r="S170" s="3"/>
    </row>
    <row r="171" spans="1:19" x14ac:dyDescent="0.35">
      <c r="A171" s="3" t="s">
        <v>73</v>
      </c>
      <c r="B171" s="3">
        <v>99.55</v>
      </c>
      <c r="C171" s="3">
        <v>4.25</v>
      </c>
      <c r="D171" s="3">
        <v>20.81</v>
      </c>
      <c r="E171" s="3">
        <v>0</v>
      </c>
      <c r="F171" s="3">
        <v>25.06</v>
      </c>
      <c r="G171" s="3">
        <v>2.52</v>
      </c>
      <c r="H171" s="8"/>
      <c r="I171" s="3" t="s">
        <v>1613</v>
      </c>
      <c r="J171" s="3">
        <v>25</v>
      </c>
      <c r="K171" s="3"/>
      <c r="L171" s="28">
        <f t="shared" si="9"/>
        <v>0.45456621004566211</v>
      </c>
      <c r="M171" s="34">
        <f t="shared" si="10"/>
        <v>1700.0000000000002</v>
      </c>
      <c r="N171" s="11">
        <f t="shared" si="14"/>
        <v>0.42692114515318935</v>
      </c>
      <c r="O171" s="11">
        <f t="shared" si="15"/>
        <v>2.0904068307383223</v>
      </c>
      <c r="P171" s="3">
        <f t="shared" si="8"/>
        <v>0.18518518518518517</v>
      </c>
      <c r="Q171" s="3">
        <f t="shared" si="11"/>
        <v>7.905947132466469E-2</v>
      </c>
      <c r="R171" s="3">
        <f t="shared" si="12"/>
        <v>0.38711237606265225</v>
      </c>
      <c r="S171" s="3"/>
    </row>
    <row r="172" spans="1:19" x14ac:dyDescent="0.35">
      <c r="A172" s="3" t="s">
        <v>74</v>
      </c>
      <c r="B172" s="3">
        <v>346.49</v>
      </c>
      <c r="C172" s="3">
        <v>26.14</v>
      </c>
      <c r="D172" s="3">
        <v>72.760000000000005</v>
      </c>
      <c r="E172" s="3">
        <v>0</v>
      </c>
      <c r="F172" s="3">
        <v>98.9</v>
      </c>
      <c r="G172" s="3">
        <v>2.85</v>
      </c>
      <c r="H172" s="8"/>
      <c r="I172" s="3" t="s">
        <v>1613</v>
      </c>
      <c r="J172" s="3">
        <v>101</v>
      </c>
      <c r="K172" s="3"/>
      <c r="L172" s="28">
        <f t="shared" si="9"/>
        <v>0.39162032641620326</v>
      </c>
      <c r="M172" s="34">
        <f t="shared" si="10"/>
        <v>2588.1188118811883</v>
      </c>
      <c r="N172" s="11">
        <f t="shared" si="14"/>
        <v>0.75442292706860226</v>
      </c>
      <c r="O172" s="11">
        <f t="shared" si="15"/>
        <v>2.0999163035008226</v>
      </c>
      <c r="P172" s="3">
        <f t="shared" si="8"/>
        <v>0.74814814814814812</v>
      </c>
      <c r="Q172" s="3">
        <f t="shared" si="11"/>
        <v>0.56442011580688023</v>
      </c>
      <c r="R172" s="3">
        <f t="shared" si="12"/>
        <v>1.5710484937302449</v>
      </c>
      <c r="S172" s="3"/>
    </row>
    <row r="173" spans="1:19" x14ac:dyDescent="0.35">
      <c r="A173" s="35" t="s">
        <v>75</v>
      </c>
      <c r="B173" s="35">
        <v>1589.2</v>
      </c>
      <c r="C173" s="35">
        <v>251.84</v>
      </c>
      <c r="D173" s="35">
        <v>336.91</v>
      </c>
      <c r="E173" s="35">
        <v>0</v>
      </c>
      <c r="F173" s="35">
        <v>588.75</v>
      </c>
      <c r="G173" s="35">
        <v>3.7</v>
      </c>
      <c r="H173" s="36"/>
      <c r="I173" s="35"/>
      <c r="J173" s="35">
        <v>0</v>
      </c>
      <c r="K173" s="35"/>
      <c r="L173" s="37" t="e">
        <f t="shared" si="9"/>
        <v>#DIV/0!</v>
      </c>
      <c r="M173" s="38" t="e">
        <f t="shared" si="10"/>
        <v>#DIV/0!</v>
      </c>
      <c r="N173" s="39">
        <f t="shared" si="14"/>
        <v>1.5846967027435188</v>
      </c>
      <c r="O173" s="39">
        <f t="shared" si="15"/>
        <v>2.1199974830103194</v>
      </c>
      <c r="P173" s="35" t="e">
        <f t="shared" si="8"/>
        <v>#DIV/0!</v>
      </c>
      <c r="Q173" s="35" t="e">
        <f t="shared" si="11"/>
        <v>#DIV/0!</v>
      </c>
      <c r="R173" s="35" t="e">
        <f t="shared" si="12"/>
        <v>#DIV/0!</v>
      </c>
      <c r="S173" s="3"/>
    </row>
    <row r="174" spans="1:19" x14ac:dyDescent="0.35">
      <c r="A174" s="3" t="s">
        <v>178</v>
      </c>
      <c r="B174" s="3">
        <v>2253.0700000000002</v>
      </c>
      <c r="C174" s="3">
        <v>148.5</v>
      </c>
      <c r="D174" s="3">
        <v>477.65</v>
      </c>
      <c r="E174" s="3">
        <v>6.3</v>
      </c>
      <c r="F174" s="3">
        <v>632.45000000000005</v>
      </c>
      <c r="G174" s="3">
        <v>2.81</v>
      </c>
      <c r="H174" s="8"/>
      <c r="I174" s="14" t="s">
        <v>143</v>
      </c>
      <c r="J174" s="3">
        <v>313.11</v>
      </c>
      <c r="K174" s="3">
        <f>19.72%*2100</f>
        <v>414.11999999999995</v>
      </c>
      <c r="L174" s="28">
        <f t="shared" si="9"/>
        <v>0.82143582667272752</v>
      </c>
      <c r="M174" s="34">
        <f t="shared" si="10"/>
        <v>4742.7421672894507</v>
      </c>
      <c r="N174" s="11">
        <f t="shared" si="14"/>
        <v>0.65910069372012403</v>
      </c>
      <c r="O174" s="11">
        <f t="shared" si="15"/>
        <v>2.1199962717536511</v>
      </c>
      <c r="P174" s="3">
        <f t="shared" si="8"/>
        <v>0.10577261539521753</v>
      </c>
      <c r="Q174" s="3">
        <f t="shared" si="11"/>
        <v>6.971480418357974E-2</v>
      </c>
      <c r="R174" s="3">
        <f t="shared" si="12"/>
        <v>0.224237550291494</v>
      </c>
      <c r="S174" s="3"/>
    </row>
    <row r="175" spans="1:19" x14ac:dyDescent="0.35">
      <c r="A175" s="3" t="s">
        <v>81</v>
      </c>
      <c r="B175" s="3">
        <v>528.53</v>
      </c>
      <c r="C175" s="3">
        <v>77.14</v>
      </c>
      <c r="D175" s="3">
        <v>113.11</v>
      </c>
      <c r="E175" s="3">
        <v>0</v>
      </c>
      <c r="F175" s="3">
        <v>190.25</v>
      </c>
      <c r="G175" s="3">
        <v>3.6</v>
      </c>
      <c r="H175" s="8"/>
      <c r="I175" s="16" t="s">
        <v>143</v>
      </c>
      <c r="J175" s="3">
        <v>101.85000000000001</v>
      </c>
      <c r="K175" s="3">
        <f>5.86%*1500</f>
        <v>87.9</v>
      </c>
      <c r="L175" s="28">
        <f t="shared" si="9"/>
        <v>0.5923856149812935</v>
      </c>
      <c r="M175" s="34">
        <f t="shared" si="10"/>
        <v>7573.8831615120271</v>
      </c>
      <c r="N175" s="11">
        <f t="shared" si="14"/>
        <v>1.4595198002005563</v>
      </c>
      <c r="O175" s="11">
        <f t="shared" si="15"/>
        <v>2.1400866554405615</v>
      </c>
      <c r="P175" s="3">
        <f t="shared" si="8"/>
        <v>3.4406249809980215E-2</v>
      </c>
      <c r="Q175" s="3">
        <f t="shared" si="11"/>
        <v>5.0216602848312752E-2</v>
      </c>
      <c r="R175" s="3">
        <f t="shared" si="12"/>
        <v>7.3632356082093009E-2</v>
      </c>
      <c r="S175" s="3"/>
    </row>
    <row r="176" spans="1:19" x14ac:dyDescent="0.35">
      <c r="A176" s="3" t="s">
        <v>77</v>
      </c>
      <c r="B176" s="3">
        <v>2592.4</v>
      </c>
      <c r="C176" s="3">
        <v>355.16</v>
      </c>
      <c r="D176" s="3">
        <v>596.25</v>
      </c>
      <c r="E176" s="3">
        <v>0</v>
      </c>
      <c r="F176" s="3">
        <v>951.41</v>
      </c>
      <c r="G176" s="3">
        <v>3.67</v>
      </c>
      <c r="H176" s="8"/>
      <c r="I176" s="3" t="s">
        <v>143</v>
      </c>
      <c r="J176" s="3">
        <v>400</v>
      </c>
      <c r="K176" s="3"/>
      <c r="L176" s="28">
        <f t="shared" si="9"/>
        <v>0.7398401826484019</v>
      </c>
      <c r="M176" s="34">
        <f t="shared" si="10"/>
        <v>8879</v>
      </c>
      <c r="N176" s="11">
        <f t="shared" si="14"/>
        <v>1.370004628915291</v>
      </c>
      <c r="O176" s="11">
        <f t="shared" si="15"/>
        <v>2.2999922851411818</v>
      </c>
      <c r="P176" s="3">
        <f t="shared" si="8"/>
        <v>0.13512518334798315</v>
      </c>
      <c r="Q176" s="3">
        <f t="shared" si="11"/>
        <v>0.1851221266697643</v>
      </c>
      <c r="R176" s="3">
        <f t="shared" si="12"/>
        <v>0.31078687922864895</v>
      </c>
      <c r="S176" s="3"/>
    </row>
    <row r="177" spans="1:19" x14ac:dyDescent="0.35">
      <c r="A177" s="3" t="s">
        <v>82</v>
      </c>
      <c r="B177" s="3">
        <v>797.04</v>
      </c>
      <c r="C177" s="3">
        <v>134.46</v>
      </c>
      <c r="D177" s="3">
        <v>184.91</v>
      </c>
      <c r="E177" s="3">
        <v>0</v>
      </c>
      <c r="F177" s="3">
        <v>319.37</v>
      </c>
      <c r="G177" s="3">
        <v>4.01</v>
      </c>
      <c r="H177" s="8"/>
      <c r="I177" s="3" t="s">
        <v>143</v>
      </c>
      <c r="J177" s="3">
        <v>117.6</v>
      </c>
      <c r="K177" s="3">
        <f>12.32%*1000</f>
        <v>123.2</v>
      </c>
      <c r="L177" s="28">
        <f t="shared" si="9"/>
        <v>0.77369303885937935</v>
      </c>
      <c r="M177" s="34">
        <f t="shared" si="10"/>
        <v>11433.673469387757</v>
      </c>
      <c r="N177" s="11">
        <f t="shared" si="14"/>
        <v>1.6869918699186994</v>
      </c>
      <c r="O177" s="11">
        <f t="shared" si="15"/>
        <v>2.3199588477366255</v>
      </c>
      <c r="P177" s="3">
        <f t="shared" si="8"/>
        <v>3.9726803904307051E-2</v>
      </c>
      <c r="Q177" s="3">
        <f t="shared" si="11"/>
        <v>6.7018795204420445E-2</v>
      </c>
      <c r="R177" s="3">
        <f t="shared" si="12"/>
        <v>9.2164550210095064E-2</v>
      </c>
      <c r="S177" s="3"/>
    </row>
    <row r="178" spans="1:19" x14ac:dyDescent="0.35">
      <c r="A178" s="3" t="s">
        <v>83</v>
      </c>
      <c r="B178" s="3">
        <v>1607.63</v>
      </c>
      <c r="C178" s="3">
        <v>210.56</v>
      </c>
      <c r="D178" s="3">
        <v>376.19</v>
      </c>
      <c r="E178" s="3">
        <v>2.83</v>
      </c>
      <c r="F178" s="3">
        <v>589.58000000000004</v>
      </c>
      <c r="G178" s="3">
        <v>3.67</v>
      </c>
      <c r="H178" s="8"/>
      <c r="I178" s="3" t="s">
        <v>143</v>
      </c>
      <c r="J178" s="3">
        <v>230.55</v>
      </c>
      <c r="K178" s="3"/>
      <c r="L178" s="28">
        <f t="shared" si="9"/>
        <v>0.79600696765427925</v>
      </c>
      <c r="M178" s="34">
        <f t="shared" si="10"/>
        <v>9132.9429624810236</v>
      </c>
      <c r="N178" s="11">
        <f t="shared" si="14"/>
        <v>1.3097541100875201</v>
      </c>
      <c r="O178" s="11">
        <f t="shared" si="15"/>
        <v>2.3400284891424019</v>
      </c>
      <c r="P178" s="3">
        <f t="shared" ref="P178:P199" si="16">J178/SUMIF($I$146:$I$199,I178,$J$146:$J$199)</f>
        <v>7.7882777552193805E-2</v>
      </c>
      <c r="Q178" s="3">
        <f t="shared" si="11"/>
        <v>0.10200728800401788</v>
      </c>
      <c r="R178" s="3">
        <f t="shared" si="12"/>
        <v>0.18224791828567385</v>
      </c>
      <c r="S178" s="3"/>
    </row>
    <row r="179" spans="1:19" x14ac:dyDescent="0.35">
      <c r="A179" s="3" t="s">
        <v>84</v>
      </c>
      <c r="B179" s="3">
        <v>27.79</v>
      </c>
      <c r="C179" s="3">
        <v>1.05</v>
      </c>
      <c r="D179" s="3">
        <v>6.5</v>
      </c>
      <c r="E179" s="3">
        <v>0</v>
      </c>
      <c r="F179" s="3">
        <v>7.55</v>
      </c>
      <c r="G179" s="3">
        <v>2.72</v>
      </c>
      <c r="H179" s="8"/>
      <c r="I179" s="3" t="s">
        <v>1613</v>
      </c>
      <c r="J179" s="3">
        <v>9</v>
      </c>
      <c r="K179" s="3"/>
      <c r="L179" s="28">
        <f t="shared" si="9"/>
        <v>0.35248604769152714</v>
      </c>
      <c r="M179" s="34">
        <f t="shared" si="10"/>
        <v>1166.6666666666667</v>
      </c>
      <c r="N179" s="11">
        <f t="shared" si="14"/>
        <v>0.37783375314861467</v>
      </c>
      <c r="O179" s="11">
        <f t="shared" si="15"/>
        <v>2.3389708528247573</v>
      </c>
      <c r="P179" s="3">
        <f t="shared" si="16"/>
        <v>6.6666666666666666E-2</v>
      </c>
      <c r="Q179" s="3">
        <f t="shared" si="11"/>
        <v>2.5188916876574312E-2</v>
      </c>
      <c r="R179" s="3">
        <f t="shared" si="12"/>
        <v>0.15593139018831714</v>
      </c>
      <c r="S179" s="3"/>
    </row>
    <row r="180" spans="1:19" x14ac:dyDescent="0.35">
      <c r="A180" s="3" t="s">
        <v>121</v>
      </c>
      <c r="B180" s="3">
        <v>3948.84</v>
      </c>
      <c r="C180" s="3">
        <v>310.55</v>
      </c>
      <c r="D180" s="3">
        <v>1022.75</v>
      </c>
      <c r="E180" s="3">
        <v>5.84</v>
      </c>
      <c r="F180" s="3">
        <v>1339.14</v>
      </c>
      <c r="G180" s="3">
        <v>3.39</v>
      </c>
      <c r="H180" s="8"/>
      <c r="I180" s="3" t="s">
        <v>143</v>
      </c>
      <c r="J180" s="3">
        <f>3*193.662</f>
        <v>580.98599999999999</v>
      </c>
      <c r="K180" s="3"/>
      <c r="L180" s="28">
        <f t="shared" si="9"/>
        <v>0.77588930183826843</v>
      </c>
      <c r="M180" s="34">
        <f t="shared" si="10"/>
        <v>5345.2234649371931</v>
      </c>
      <c r="N180" s="11">
        <f t="shared" si="14"/>
        <v>0.78643348426373316</v>
      </c>
      <c r="O180" s="11">
        <f t="shared" si="15"/>
        <v>2.5900011142512733</v>
      </c>
      <c r="P180" s="3">
        <f t="shared" si="16"/>
        <v>0.19626459943152835</v>
      </c>
      <c r="Q180" s="3">
        <f t="shared" si="11"/>
        <v>0.15434905276856276</v>
      </c>
      <c r="R180" s="3">
        <f t="shared" si="12"/>
        <v>0.50832553121573831</v>
      </c>
      <c r="S180" s="3"/>
    </row>
    <row r="181" spans="1:19" x14ac:dyDescent="0.35">
      <c r="A181" s="3" t="s">
        <v>122</v>
      </c>
      <c r="B181" s="3">
        <v>1578.82</v>
      </c>
      <c r="C181" s="3">
        <v>229.58</v>
      </c>
      <c r="D181" s="3">
        <v>410.49</v>
      </c>
      <c r="E181" s="3">
        <v>4.16</v>
      </c>
      <c r="F181" s="3">
        <v>644.23</v>
      </c>
      <c r="G181" s="3">
        <v>4.08</v>
      </c>
      <c r="H181" s="8"/>
      <c r="I181" s="14" t="s">
        <v>144</v>
      </c>
      <c r="J181" s="3">
        <v>212.10000000000002</v>
      </c>
      <c r="K181" s="3">
        <f>25.92%*1000</f>
        <v>259.20000000000005</v>
      </c>
      <c r="L181" s="28">
        <f t="shared" si="9"/>
        <v>0.84974348706886338</v>
      </c>
      <c r="M181" s="34">
        <f t="shared" si="10"/>
        <v>10824.139556812825</v>
      </c>
      <c r="N181" s="11">
        <f t="shared" si="14"/>
        <v>1.4541239659999241</v>
      </c>
      <c r="O181" s="11">
        <f t="shared" si="15"/>
        <v>2.5999797316983568</v>
      </c>
      <c r="P181" s="3">
        <f t="shared" si="16"/>
        <v>5.8556382259155479E-2</v>
      </c>
      <c r="Q181" s="3">
        <f t="shared" si="11"/>
        <v>8.5148238805290766E-2</v>
      </c>
      <c r="R181" s="3">
        <f t="shared" si="12"/>
        <v>0.15224540703538547</v>
      </c>
      <c r="S181" s="3"/>
    </row>
    <row r="182" spans="1:19" x14ac:dyDescent="0.35">
      <c r="A182" s="3" t="s">
        <v>123</v>
      </c>
      <c r="B182" s="3">
        <v>3429.14</v>
      </c>
      <c r="C182" s="3">
        <v>297.87</v>
      </c>
      <c r="D182" s="3">
        <v>891.58</v>
      </c>
      <c r="E182" s="3">
        <v>0</v>
      </c>
      <c r="F182" s="3">
        <v>1189.45</v>
      </c>
      <c r="G182" s="3">
        <v>3.47</v>
      </c>
      <c r="H182" s="8"/>
      <c r="I182" s="14" t="s">
        <v>144</v>
      </c>
      <c r="J182" s="3">
        <v>461.1</v>
      </c>
      <c r="K182" s="3">
        <f>46.11%*1000</f>
        <v>461.1</v>
      </c>
      <c r="L182" s="28">
        <f t="shared" si="9"/>
        <v>0.84895757514539882</v>
      </c>
      <c r="M182" s="34">
        <f t="shared" si="10"/>
        <v>6459.9869876382563</v>
      </c>
      <c r="N182" s="11">
        <f t="shared" si="14"/>
        <v>0.8686434499612149</v>
      </c>
      <c r="O182" s="11">
        <f t="shared" si="15"/>
        <v>2.6000104982590386</v>
      </c>
      <c r="P182" s="3">
        <f t="shared" si="16"/>
        <v>0.12730008420413291</v>
      </c>
      <c r="Q182" s="3">
        <f t="shared" si="11"/>
        <v>0.11057838432343117</v>
      </c>
      <c r="R182" s="3">
        <f t="shared" si="12"/>
        <v>0.33098155536000518</v>
      </c>
      <c r="S182" s="3"/>
    </row>
    <row r="183" spans="1:19" x14ac:dyDescent="0.35">
      <c r="A183" s="35" t="s">
        <v>88</v>
      </c>
      <c r="B183" s="35">
        <v>1991.6</v>
      </c>
      <c r="C183" s="35">
        <v>213.39</v>
      </c>
      <c r="D183" s="35">
        <v>543.71</v>
      </c>
      <c r="E183" s="35">
        <v>0</v>
      </c>
      <c r="F183" s="35">
        <v>757.09</v>
      </c>
      <c r="G183" s="35">
        <v>3.8</v>
      </c>
      <c r="H183" s="36"/>
      <c r="I183" s="35"/>
      <c r="J183" s="35">
        <v>0</v>
      </c>
      <c r="K183" s="40"/>
      <c r="L183" s="37" t="e">
        <f t="shared" si="9"/>
        <v>#DIV/0!</v>
      </c>
      <c r="M183" s="38" t="e">
        <f t="shared" si="10"/>
        <v>#DIV/0!</v>
      </c>
      <c r="N183" s="39">
        <f t="shared" si="14"/>
        <v>1.0714500903795943</v>
      </c>
      <c r="O183" s="39">
        <f t="shared" si="15"/>
        <v>2.7300160674834304</v>
      </c>
      <c r="P183" s="35" t="e">
        <f t="shared" si="16"/>
        <v>#DIV/0!</v>
      </c>
      <c r="Q183" s="35" t="e">
        <f t="shared" si="11"/>
        <v>#DIV/0!</v>
      </c>
      <c r="R183" s="35" t="e">
        <f t="shared" si="12"/>
        <v>#DIV/0!</v>
      </c>
      <c r="S183" s="3"/>
    </row>
    <row r="184" spans="1:19" x14ac:dyDescent="0.35">
      <c r="A184" s="3" t="s">
        <v>89</v>
      </c>
      <c r="B184" s="3">
        <v>36.85</v>
      </c>
      <c r="C184" s="3">
        <v>3</v>
      </c>
      <c r="D184" s="3">
        <v>10.81</v>
      </c>
      <c r="E184" s="3">
        <v>0</v>
      </c>
      <c r="F184" s="3">
        <v>13.81</v>
      </c>
      <c r="G184" s="3">
        <v>3.75</v>
      </c>
      <c r="H184" s="8"/>
      <c r="I184" s="3"/>
      <c r="J184" s="3"/>
      <c r="K184" s="3"/>
      <c r="L184" s="28" t="e">
        <f t="shared" si="9"/>
        <v>#DIV/0!</v>
      </c>
      <c r="M184" s="34" t="e">
        <f t="shared" si="10"/>
        <v>#DIV/0!</v>
      </c>
      <c r="N184" s="11">
        <f t="shared" si="14"/>
        <v>0.81411126187245575</v>
      </c>
      <c r="O184" s="11">
        <f t="shared" si="15"/>
        <v>2.9335142469470825</v>
      </c>
      <c r="P184" s="3" t="e">
        <f t="shared" si="16"/>
        <v>#DIV/0!</v>
      </c>
      <c r="Q184" s="3" t="e">
        <f t="shared" si="11"/>
        <v>#DIV/0!</v>
      </c>
      <c r="R184" s="3" t="e">
        <f t="shared" si="12"/>
        <v>#DIV/0!</v>
      </c>
      <c r="S184" s="3"/>
    </row>
    <row r="185" spans="1:19" x14ac:dyDescent="0.35">
      <c r="A185" s="3" t="s">
        <v>90</v>
      </c>
      <c r="B185" s="3">
        <v>1218.1400000000001</v>
      </c>
      <c r="C185" s="3">
        <v>125.15</v>
      </c>
      <c r="D185" s="3">
        <v>371.53</v>
      </c>
      <c r="E185" s="3">
        <v>0</v>
      </c>
      <c r="F185" s="3">
        <v>496.68</v>
      </c>
      <c r="G185" s="3">
        <v>4.08</v>
      </c>
      <c r="H185" s="8"/>
      <c r="I185" s="3" t="s">
        <v>143</v>
      </c>
      <c r="J185" s="3">
        <v>193.66200000000001</v>
      </c>
      <c r="K185" s="3"/>
      <c r="L185" s="28">
        <f t="shared" si="9"/>
        <v>0.71804007820620874</v>
      </c>
      <c r="M185" s="34">
        <f t="shared" si="10"/>
        <v>6462.2899691214589</v>
      </c>
      <c r="N185" s="11">
        <f t="shared" si="14"/>
        <v>1.0273860147437897</v>
      </c>
      <c r="O185" s="11">
        <f t="shared" si="15"/>
        <v>3.0499778350600093</v>
      </c>
      <c r="P185" s="3">
        <f t="shared" si="16"/>
        <v>6.5421533143842789E-2</v>
      </c>
      <c r="Q185" s="3">
        <f t="shared" si="11"/>
        <v>6.7213168215081387E-2</v>
      </c>
      <c r="R185" s="3">
        <f t="shared" si="12"/>
        <v>0.19953422602436427</v>
      </c>
      <c r="S185" s="3"/>
    </row>
    <row r="186" spans="1:19" x14ac:dyDescent="0.35">
      <c r="A186" s="3" t="s">
        <v>91</v>
      </c>
      <c r="B186" s="3">
        <v>1145.8699999999999</v>
      </c>
      <c r="C186" s="3">
        <v>191.06</v>
      </c>
      <c r="D186" s="3">
        <v>349.49</v>
      </c>
      <c r="E186" s="3">
        <v>0</v>
      </c>
      <c r="F186" s="3">
        <v>540.54999999999995</v>
      </c>
      <c r="G186" s="3">
        <v>4.72</v>
      </c>
      <c r="H186" s="8"/>
      <c r="I186" s="3" t="s">
        <v>143</v>
      </c>
      <c r="J186" s="3">
        <v>193.66200000000001</v>
      </c>
      <c r="K186" s="3"/>
      <c r="L186" s="28">
        <f t="shared" si="9"/>
        <v>0.67544008440257131</v>
      </c>
      <c r="M186" s="34">
        <f t="shared" si="10"/>
        <v>9865.6422013611354</v>
      </c>
      <c r="N186" s="11">
        <f t="shared" si="14"/>
        <v>1.6673793711328511</v>
      </c>
      <c r="O186" s="11">
        <f t="shared" si="15"/>
        <v>3.0499969455522882</v>
      </c>
      <c r="P186" s="3">
        <f t="shared" si="16"/>
        <v>6.5421533143842789E-2</v>
      </c>
      <c r="Q186" s="3">
        <f t="shared" si="11"/>
        <v>0.10908251479192756</v>
      </c>
      <c r="R186" s="3">
        <f t="shared" si="12"/>
        <v>0.1995354762620683</v>
      </c>
      <c r="S186" s="3"/>
    </row>
    <row r="187" spans="1:19" x14ac:dyDescent="0.35">
      <c r="A187" s="3" t="s">
        <v>92</v>
      </c>
      <c r="B187" s="3">
        <v>550.07000000000005</v>
      </c>
      <c r="C187" s="3">
        <v>127.68</v>
      </c>
      <c r="D187" s="3">
        <v>167.77</v>
      </c>
      <c r="E187" s="3">
        <v>0</v>
      </c>
      <c r="F187" s="3">
        <v>295.45</v>
      </c>
      <c r="G187" s="3">
        <v>5.37</v>
      </c>
      <c r="H187" s="8"/>
      <c r="I187" s="3" t="s">
        <v>143</v>
      </c>
      <c r="J187" s="3">
        <v>96.831000000000003</v>
      </c>
      <c r="K187" s="3"/>
      <c r="L187" s="28">
        <f t="shared" si="9"/>
        <v>0.64848425602786086</v>
      </c>
      <c r="M187" s="34">
        <f t="shared" si="10"/>
        <v>13185.85990023856</v>
      </c>
      <c r="N187" s="11">
        <f t="shared" si="14"/>
        <v>2.3211591252022465</v>
      </c>
      <c r="O187" s="11">
        <f t="shared" si="15"/>
        <v>3.0499754576690243</v>
      </c>
      <c r="P187" s="3">
        <f t="shared" si="16"/>
        <v>3.2710766571921394E-2</v>
      </c>
      <c r="Q187" s="3">
        <f t="shared" si="11"/>
        <v>7.5926894320775956E-2</v>
      </c>
      <c r="R187" s="3">
        <f t="shared" si="12"/>
        <v>9.9767035245900582E-2</v>
      </c>
      <c r="S187" s="3"/>
    </row>
    <row r="188" spans="1:19" x14ac:dyDescent="0.35">
      <c r="A188" s="35" t="s">
        <v>93</v>
      </c>
      <c r="B188" s="35">
        <v>154.63</v>
      </c>
      <c r="C188" s="35">
        <v>23.43</v>
      </c>
      <c r="D188" s="35">
        <v>47.93</v>
      </c>
      <c r="E188" s="35">
        <v>0</v>
      </c>
      <c r="F188" s="35">
        <v>71.36</v>
      </c>
      <c r="G188" s="35">
        <v>4.62</v>
      </c>
      <c r="H188" s="36"/>
      <c r="I188" s="35"/>
      <c r="J188" s="35">
        <v>0</v>
      </c>
      <c r="K188" s="35"/>
      <c r="L188" s="37" t="e">
        <f t="shared" si="9"/>
        <v>#DIV/0!</v>
      </c>
      <c r="M188" s="38" t="e">
        <f t="shared" si="10"/>
        <v>#DIV/0!</v>
      </c>
      <c r="N188" s="39">
        <f t="shared" si="14"/>
        <v>1.5152299036409493</v>
      </c>
      <c r="O188" s="39">
        <f t="shared" si="15"/>
        <v>3.099657246329949</v>
      </c>
      <c r="P188" s="35" t="e">
        <f t="shared" si="16"/>
        <v>#DIV/0!</v>
      </c>
      <c r="Q188" s="35" t="e">
        <f t="shared" si="11"/>
        <v>#DIV/0!</v>
      </c>
      <c r="R188" s="35" t="e">
        <f t="shared" si="12"/>
        <v>#DIV/0!</v>
      </c>
      <c r="S188" s="35"/>
    </row>
    <row r="189" spans="1:19" x14ac:dyDescent="0.35">
      <c r="A189" s="3" t="s">
        <v>94</v>
      </c>
      <c r="B189" s="3">
        <v>225.5</v>
      </c>
      <c r="C189" s="3">
        <v>22.52</v>
      </c>
      <c r="D189" s="3">
        <v>78.25</v>
      </c>
      <c r="E189" s="3">
        <v>0</v>
      </c>
      <c r="F189" s="3">
        <v>100.77</v>
      </c>
      <c r="G189" s="3">
        <v>4.47</v>
      </c>
      <c r="H189" s="8"/>
      <c r="I189" s="3" t="s">
        <v>143</v>
      </c>
      <c r="J189" s="3">
        <v>53.487000000000002</v>
      </c>
      <c r="K189" s="3"/>
      <c r="L189" s="28">
        <f t="shared" si="9"/>
        <v>0.48127599477293714</v>
      </c>
      <c r="M189" s="34">
        <f t="shared" si="10"/>
        <v>4210.368874679828</v>
      </c>
      <c r="N189" s="11">
        <f t="shared" si="14"/>
        <v>0.99866962305986695</v>
      </c>
      <c r="O189" s="11">
        <f t="shared" si="15"/>
        <v>3.4700665188470063</v>
      </c>
      <c r="P189" s="3">
        <f t="shared" si="16"/>
        <v>1.8068601704333939E-2</v>
      </c>
      <c r="Q189" s="3">
        <f t="shared" si="11"/>
        <v>1.8044563653286043E-2</v>
      </c>
      <c r="R189" s="3">
        <f t="shared" si="12"/>
        <v>6.2699249816591154E-2</v>
      </c>
      <c r="S189" s="3"/>
    </row>
    <row r="190" spans="1:19" x14ac:dyDescent="0.35">
      <c r="A190" s="3" t="s">
        <v>95</v>
      </c>
      <c r="B190" s="3">
        <v>415.29</v>
      </c>
      <c r="C190" s="3">
        <v>38.770000000000003</v>
      </c>
      <c r="D190" s="3">
        <v>144.11000000000001</v>
      </c>
      <c r="E190" s="3">
        <v>0</v>
      </c>
      <c r="F190" s="3">
        <v>182.88</v>
      </c>
      <c r="G190" s="3">
        <v>4.4000000000000004</v>
      </c>
      <c r="H190" s="8"/>
      <c r="I190" s="3" t="s">
        <v>143</v>
      </c>
      <c r="J190" s="3">
        <v>94.08</v>
      </c>
      <c r="K190" s="3"/>
      <c r="L190" s="28">
        <f t="shared" si="9"/>
        <v>0.50390661401546921</v>
      </c>
      <c r="M190" s="34">
        <f t="shared" si="10"/>
        <v>4120.9608843537417</v>
      </c>
      <c r="N190" s="11">
        <f t="shared" si="14"/>
        <v>0.93356449709841316</v>
      </c>
      <c r="O190" s="11">
        <f t="shared" si="15"/>
        <v>3.4701052276722293</v>
      </c>
      <c r="P190" s="3">
        <f t="shared" si="16"/>
        <v>3.1781443123445642E-2</v>
      </c>
      <c r="Q190" s="3">
        <f t="shared" si="11"/>
        <v>2.9670026966601353E-2</v>
      </c>
      <c r="R190" s="3">
        <f t="shared" si="12"/>
        <v>0.11028495192563635</v>
      </c>
      <c r="S190" s="3"/>
    </row>
    <row r="191" spans="1:19" x14ac:dyDescent="0.35">
      <c r="A191" s="3" t="s">
        <v>124</v>
      </c>
      <c r="B191" s="3">
        <v>2822.55</v>
      </c>
      <c r="C191" s="32">
        <f>1130.61-D191</f>
        <v>396.75272082948015</v>
      </c>
      <c r="D191" s="33">
        <f>$O$181*B191/10</f>
        <v>733.85727917051975</v>
      </c>
      <c r="E191" s="6">
        <v>0</v>
      </c>
      <c r="F191" s="3">
        <v>1130.6099999999999</v>
      </c>
      <c r="G191" s="3">
        <v>4.01</v>
      </c>
      <c r="H191" s="8"/>
      <c r="I191" s="14" t="s">
        <v>144</v>
      </c>
      <c r="J191" s="3">
        <v>1040</v>
      </c>
      <c r="K191" s="3"/>
      <c r="L191" s="28">
        <f t="shared" si="9"/>
        <v>0.30981625395152795</v>
      </c>
      <c r="M191" s="34">
        <f t="shared" si="10"/>
        <v>3814.9300079757709</v>
      </c>
      <c r="N191" s="11">
        <f t="shared" si="14"/>
        <v>1.4056534723192862</v>
      </c>
      <c r="O191" s="11">
        <f t="shared" si="15"/>
        <v>2.5999797316983568</v>
      </c>
      <c r="P191" s="3">
        <f t="shared" si="16"/>
        <v>0.28712228924809852</v>
      </c>
      <c r="Q191" s="3">
        <f t="shared" si="11"/>
        <v>0.40359444286185214</v>
      </c>
      <c r="R191" s="3">
        <f t="shared" si="12"/>
        <v>0.74651213256388915</v>
      </c>
      <c r="S191" s="3"/>
    </row>
    <row r="192" spans="1:19" x14ac:dyDescent="0.35">
      <c r="A192" s="3" t="s">
        <v>130</v>
      </c>
      <c r="B192" s="3">
        <v>3454.48</v>
      </c>
      <c r="C192" s="32">
        <f>1394.99-D192</f>
        <v>496.83220164426609</v>
      </c>
      <c r="D192" s="33">
        <f>$O$181*B192/10</f>
        <v>898.15779835573392</v>
      </c>
      <c r="E192" s="6">
        <v>0</v>
      </c>
      <c r="F192" s="3">
        <v>1394.99</v>
      </c>
      <c r="G192" s="3">
        <v>4.04</v>
      </c>
      <c r="H192" s="8"/>
      <c r="I192" s="3" t="s">
        <v>144</v>
      </c>
      <c r="J192" s="3">
        <v>800</v>
      </c>
      <c r="K192" s="3"/>
      <c r="L192" s="28">
        <f t="shared" si="9"/>
        <v>0.4929337899543379</v>
      </c>
      <c r="M192" s="34">
        <f t="shared" si="10"/>
        <v>6210.4025205533262</v>
      </c>
      <c r="N192" s="11">
        <f t="shared" si="14"/>
        <v>1.4382257290366887</v>
      </c>
      <c r="O192" s="11">
        <f t="shared" si="15"/>
        <v>2.5999797316983564</v>
      </c>
      <c r="P192" s="3">
        <f t="shared" si="16"/>
        <v>0.22086329942161423</v>
      </c>
      <c r="Q192" s="3">
        <f t="shared" si="11"/>
        <v>0.3176512798280996</v>
      </c>
      <c r="R192" s="3">
        <f t="shared" si="12"/>
        <v>0.57424010197222231</v>
      </c>
      <c r="S192" s="3"/>
    </row>
    <row r="193" spans="1:19" x14ac:dyDescent="0.35">
      <c r="A193" s="3" t="s">
        <v>131</v>
      </c>
      <c r="B193" s="3">
        <v>3142.2</v>
      </c>
      <c r="C193" s="32">
        <f>1268.89-D193</f>
        <v>451.92436870574238</v>
      </c>
      <c r="D193" s="33">
        <f>$O$181*B193/10</f>
        <v>816.96563129425772</v>
      </c>
      <c r="E193" s="6">
        <v>0</v>
      </c>
      <c r="F193" s="3">
        <v>1268.8800000000001</v>
      </c>
      <c r="G193" s="3">
        <v>4.04</v>
      </c>
      <c r="H193" s="8"/>
      <c r="I193" s="3" t="s">
        <v>144</v>
      </c>
      <c r="J193" s="3">
        <v>800</v>
      </c>
      <c r="K193" s="3"/>
      <c r="L193" s="28">
        <f t="shared" si="9"/>
        <v>0.44837328767123286</v>
      </c>
      <c r="M193" s="34">
        <f t="shared" si="10"/>
        <v>5649.0546088217798</v>
      </c>
      <c r="N193" s="11">
        <f t="shared" si="14"/>
        <v>1.4382418964602584</v>
      </c>
      <c r="O193" s="11">
        <f t="shared" si="15"/>
        <v>2.5999797316983568</v>
      </c>
      <c r="P193" s="3">
        <f t="shared" si="16"/>
        <v>0.22086329942161423</v>
      </c>
      <c r="Q193" s="3">
        <f t="shared" si="11"/>
        <v>0.31765485061861232</v>
      </c>
      <c r="R193" s="3">
        <f t="shared" si="12"/>
        <v>0.57424010197222242</v>
      </c>
      <c r="S193" s="3"/>
    </row>
    <row r="194" spans="1:19" x14ac:dyDescent="0.35">
      <c r="A194" s="3" t="s">
        <v>177</v>
      </c>
      <c r="B194" s="3">
        <v>1089.74</v>
      </c>
      <c r="C194" s="32">
        <f>444.62-D194</f>
        <v>161.28980871790327</v>
      </c>
      <c r="D194" s="33">
        <f>$O$181*B194/10</f>
        <v>283.33019128209673</v>
      </c>
      <c r="E194" s="6">
        <v>0</v>
      </c>
      <c r="F194" s="3">
        <v>444.61</v>
      </c>
      <c r="G194" s="3">
        <v>4.08</v>
      </c>
      <c r="H194" s="8"/>
      <c r="I194" s="14" t="s">
        <v>143</v>
      </c>
      <c r="J194" s="3">
        <v>400</v>
      </c>
      <c r="K194" s="3"/>
      <c r="L194" s="28">
        <f t="shared" si="9"/>
        <v>0.31099885844748859</v>
      </c>
      <c r="M194" s="34">
        <f t="shared" si="10"/>
        <v>4032.2452179475813</v>
      </c>
      <c r="N194" s="11">
        <f t="shared" si="14"/>
        <v>1.4800760614266086</v>
      </c>
      <c r="O194" s="11">
        <f t="shared" si="15"/>
        <v>2.5999797316983568</v>
      </c>
      <c r="P194" s="3">
        <f t="shared" si="16"/>
        <v>0.13512518334798315</v>
      </c>
      <c r="Q194" s="3">
        <f t="shared" si="11"/>
        <v>0.19999554916923126</v>
      </c>
      <c r="R194" s="3">
        <f t="shared" si="12"/>
        <v>0.35132273794678048</v>
      </c>
      <c r="S194" s="3"/>
    </row>
    <row r="195" spans="1:19" x14ac:dyDescent="0.35">
      <c r="A195" s="3" t="s">
        <v>132</v>
      </c>
      <c r="B195" s="3">
        <v>195.67</v>
      </c>
      <c r="C195" s="3">
        <v>0</v>
      </c>
      <c r="D195" s="3">
        <v>79.83</v>
      </c>
      <c r="E195" s="3">
        <v>0</v>
      </c>
      <c r="F195" s="3">
        <v>79.83</v>
      </c>
      <c r="G195" s="3">
        <v>4.08</v>
      </c>
      <c r="H195" s="8"/>
      <c r="I195" s="3"/>
      <c r="J195" s="3"/>
      <c r="K195" s="3"/>
      <c r="L195" s="3"/>
      <c r="M195" s="34"/>
      <c r="N195" s="11">
        <f t="shared" si="14"/>
        <v>0</v>
      </c>
      <c r="O195" s="11">
        <f t="shared" si="15"/>
        <v>4.0798282823120564</v>
      </c>
      <c r="P195" s="3" t="e">
        <f t="shared" si="16"/>
        <v>#DIV/0!</v>
      </c>
      <c r="Q195" s="3" t="e">
        <f t="shared" si="11"/>
        <v>#DIV/0!</v>
      </c>
      <c r="R195" s="3" t="e">
        <f t="shared" si="12"/>
        <v>#DIV/0!</v>
      </c>
      <c r="S195" s="3"/>
    </row>
    <row r="196" spans="1:19" x14ac:dyDescent="0.35">
      <c r="A196" s="3" t="s">
        <v>126</v>
      </c>
      <c r="B196" s="3">
        <v>-3161.89</v>
      </c>
      <c r="C196" s="3">
        <v>0</v>
      </c>
      <c r="D196" s="3">
        <v>-1290.05</v>
      </c>
      <c r="E196" s="3">
        <v>0</v>
      </c>
      <c r="F196" s="3">
        <v>-1290.05</v>
      </c>
      <c r="G196" s="3">
        <v>4.08</v>
      </c>
      <c r="H196" s="8"/>
      <c r="I196" s="3"/>
      <c r="J196" s="3"/>
      <c r="K196" s="3"/>
      <c r="L196" s="3"/>
      <c r="M196" s="34"/>
      <c r="N196" s="11">
        <f t="shared" si="14"/>
        <v>0</v>
      </c>
      <c r="O196" s="11">
        <f t="shared" si="15"/>
        <v>4.0799964578147883</v>
      </c>
      <c r="P196" s="3" t="e">
        <f t="shared" si="16"/>
        <v>#DIV/0!</v>
      </c>
      <c r="Q196" s="3" t="e">
        <f t="shared" si="11"/>
        <v>#DIV/0!</v>
      </c>
      <c r="R196" s="3" t="e">
        <f t="shared" si="12"/>
        <v>#DIV/0!</v>
      </c>
      <c r="S196" s="3"/>
    </row>
    <row r="197" spans="1:19" x14ac:dyDescent="0.35">
      <c r="A197" s="3" t="s">
        <v>127</v>
      </c>
      <c r="B197" s="3">
        <v>3161.89</v>
      </c>
      <c r="C197" s="3">
        <v>0</v>
      </c>
      <c r="D197" s="3">
        <v>1290.05</v>
      </c>
      <c r="E197" s="3">
        <v>0</v>
      </c>
      <c r="F197" s="3">
        <v>1290.05</v>
      </c>
      <c r="G197" s="3">
        <v>4.08</v>
      </c>
      <c r="H197" s="8"/>
      <c r="I197" s="3"/>
      <c r="J197" s="3"/>
      <c r="K197" s="3"/>
      <c r="L197" s="3"/>
      <c r="M197" s="34"/>
      <c r="N197" s="11">
        <f t="shared" si="14"/>
        <v>0</v>
      </c>
      <c r="O197" s="11">
        <f t="shared" si="15"/>
        <v>4.0799964578147883</v>
      </c>
      <c r="P197" s="3" t="e">
        <f t="shared" si="16"/>
        <v>#DIV/0!</v>
      </c>
      <c r="Q197" s="3" t="e">
        <f t="shared" si="11"/>
        <v>#DIV/0!</v>
      </c>
      <c r="R197" s="3" t="e">
        <f t="shared" si="12"/>
        <v>#DIV/0!</v>
      </c>
      <c r="S197" s="3"/>
    </row>
    <row r="198" spans="1:19" x14ac:dyDescent="0.35">
      <c r="A198" s="3" t="s">
        <v>133</v>
      </c>
      <c r="B198" s="3">
        <v>0</v>
      </c>
      <c r="C198" s="3">
        <v>378.22</v>
      </c>
      <c r="D198" s="3">
        <v>0</v>
      </c>
      <c r="E198" s="3">
        <v>0</v>
      </c>
      <c r="F198" s="3">
        <v>378.22</v>
      </c>
      <c r="G198" s="3" t="s">
        <v>129</v>
      </c>
      <c r="H198" s="8"/>
      <c r="I198" s="3"/>
      <c r="J198" s="3"/>
      <c r="K198" s="3"/>
      <c r="L198" s="3"/>
      <c r="M198" s="34"/>
      <c r="N198" s="11"/>
      <c r="O198" s="11"/>
      <c r="P198" s="3" t="e">
        <f t="shared" si="16"/>
        <v>#DIV/0!</v>
      </c>
      <c r="Q198" s="3" t="e">
        <f t="shared" si="11"/>
        <v>#DIV/0!</v>
      </c>
      <c r="R198" s="3" t="e">
        <f t="shared" si="12"/>
        <v>#DIV/0!</v>
      </c>
      <c r="S198" s="3"/>
    </row>
    <row r="199" spans="1:19" x14ac:dyDescent="0.35">
      <c r="A199" s="3" t="s">
        <v>128</v>
      </c>
      <c r="B199" s="3">
        <v>56583.519999999997</v>
      </c>
      <c r="C199" s="3">
        <v>6412.88</v>
      </c>
      <c r="D199" s="3">
        <v>15048.25</v>
      </c>
      <c r="E199" s="3">
        <v>29.66</v>
      </c>
      <c r="F199" s="3">
        <v>21490.79</v>
      </c>
      <c r="G199" s="3">
        <v>3.8</v>
      </c>
      <c r="H199" s="8"/>
      <c r="I199" s="3"/>
      <c r="J199" s="3">
        <f>SUM(J146:J198)</f>
        <v>14232.824376678142</v>
      </c>
      <c r="K199" s="3"/>
      <c r="L199" s="3"/>
      <c r="M199" s="34">
        <f>C199/J199*10^7/10^3</f>
        <v>4505.6974148491036</v>
      </c>
      <c r="N199" s="11">
        <f>C199/$B199*10</f>
        <v>1.1333476602374686</v>
      </c>
      <c r="O199" s="11">
        <f>D199/$B199*10</f>
        <v>2.6594757625541856</v>
      </c>
      <c r="P199" s="3" t="e">
        <f t="shared" si="16"/>
        <v>#DIV/0!</v>
      </c>
      <c r="Q199" s="3" t="e">
        <f t="shared" si="11"/>
        <v>#DIV/0!</v>
      </c>
      <c r="R199" s="3" t="e">
        <f t="shared" si="12"/>
        <v>#DIV/0!</v>
      </c>
      <c r="S199" s="3"/>
    </row>
    <row r="201" spans="1:19" x14ac:dyDescent="0.35">
      <c r="A201" s="2" t="s">
        <v>107</v>
      </c>
      <c r="B201" s="2" t="s">
        <v>106</v>
      </c>
      <c r="C201" s="2" t="s">
        <v>105</v>
      </c>
    </row>
    <row r="202" spans="1:19" ht="43.5" x14ac:dyDescent="0.35">
      <c r="A202" s="3" t="s">
        <v>103</v>
      </c>
      <c r="B202" s="4" t="s">
        <v>104</v>
      </c>
      <c r="C202" s="5">
        <v>42826</v>
      </c>
      <c r="D202" s="5">
        <v>42856</v>
      </c>
      <c r="E202" s="5">
        <v>42887</v>
      </c>
      <c r="F202" s="5">
        <v>42917</v>
      </c>
      <c r="G202" s="5">
        <v>42948</v>
      </c>
      <c r="H202" s="5">
        <v>42979</v>
      </c>
      <c r="I202" s="5">
        <v>43009</v>
      </c>
      <c r="J202" s="5">
        <v>43040</v>
      </c>
      <c r="K202" s="5"/>
      <c r="L202" s="5"/>
      <c r="M202" s="5">
        <v>43070</v>
      </c>
      <c r="N202" s="5">
        <v>43101</v>
      </c>
      <c r="O202" s="5">
        <v>43132</v>
      </c>
      <c r="P202" s="5">
        <v>43160</v>
      </c>
      <c r="Q202" s="3" t="s">
        <v>41</v>
      </c>
    </row>
    <row r="203" spans="1:19" x14ac:dyDescent="0.35">
      <c r="A203" s="3" t="s">
        <v>51</v>
      </c>
      <c r="B203" s="3">
        <v>6.6</v>
      </c>
      <c r="C203" s="3">
        <v>29.75</v>
      </c>
      <c r="D203" s="3">
        <v>28.86</v>
      </c>
      <c r="E203" s="3">
        <v>26.23</v>
      </c>
      <c r="F203" s="3">
        <v>26.86</v>
      </c>
      <c r="G203" s="3">
        <v>25.21</v>
      </c>
      <c r="H203" s="3">
        <v>33.11</v>
      </c>
      <c r="I203" s="3">
        <v>28.26</v>
      </c>
      <c r="J203" s="3">
        <v>28.01</v>
      </c>
      <c r="K203" s="3"/>
      <c r="L203" s="3"/>
      <c r="M203" s="3">
        <v>27.87</v>
      </c>
      <c r="N203" s="3">
        <v>26.22</v>
      </c>
      <c r="O203" s="3">
        <v>28.85</v>
      </c>
      <c r="P203" s="3">
        <v>29.75</v>
      </c>
      <c r="Q203" s="3">
        <v>338.98</v>
      </c>
    </row>
    <row r="204" spans="1:19" x14ac:dyDescent="0.35">
      <c r="A204" s="3" t="s">
        <v>52</v>
      </c>
      <c r="B204" s="3">
        <v>4.5999999999999996</v>
      </c>
      <c r="C204" s="3">
        <v>9.32</v>
      </c>
      <c r="D204" s="3">
        <v>1.99</v>
      </c>
      <c r="E204" s="3">
        <v>0</v>
      </c>
      <c r="F204" s="3">
        <v>0</v>
      </c>
      <c r="G204" s="3">
        <v>0</v>
      </c>
      <c r="H204" s="3">
        <v>0</v>
      </c>
      <c r="I204" s="3">
        <v>3.28</v>
      </c>
      <c r="J204" s="3">
        <v>5.65</v>
      </c>
      <c r="K204" s="3"/>
      <c r="L204" s="3"/>
      <c r="M204" s="3">
        <v>16.489999999999998</v>
      </c>
      <c r="N204" s="3">
        <v>22.47</v>
      </c>
      <c r="O204" s="3">
        <v>22.58</v>
      </c>
      <c r="P204" s="3">
        <v>18.59</v>
      </c>
      <c r="Q204" s="3">
        <v>100.37</v>
      </c>
    </row>
    <row r="205" spans="1:19" x14ac:dyDescent="0.35">
      <c r="A205" s="3" t="s">
        <v>53</v>
      </c>
      <c r="B205" s="3">
        <v>6.39</v>
      </c>
      <c r="C205" s="3">
        <v>2.48</v>
      </c>
      <c r="D205" s="3">
        <v>1.98</v>
      </c>
      <c r="E205" s="3">
        <v>2.73</v>
      </c>
      <c r="F205" s="3">
        <v>3.89</v>
      </c>
      <c r="G205" s="3">
        <v>3.79</v>
      </c>
      <c r="H205" s="3">
        <v>3.17</v>
      </c>
      <c r="I205" s="3">
        <v>3.07</v>
      </c>
      <c r="J205" s="3">
        <v>3.55</v>
      </c>
      <c r="K205" s="3"/>
      <c r="L205" s="3"/>
      <c r="M205" s="3">
        <v>2.66</v>
      </c>
      <c r="N205" s="3">
        <v>2.56</v>
      </c>
      <c r="O205" s="3">
        <v>2.33</v>
      </c>
      <c r="P205" s="3">
        <v>1.76</v>
      </c>
      <c r="Q205" s="3">
        <v>33.97</v>
      </c>
    </row>
    <row r="206" spans="1:19" x14ac:dyDescent="0.35">
      <c r="A206" s="3" t="s">
        <v>54</v>
      </c>
      <c r="B206" s="3">
        <v>4.3600000000000003</v>
      </c>
      <c r="C206" s="3">
        <v>259.2</v>
      </c>
      <c r="D206" s="3">
        <v>669.6</v>
      </c>
      <c r="E206" s="3">
        <v>1792.8</v>
      </c>
      <c r="F206" s="3">
        <v>1718.64</v>
      </c>
      <c r="G206" s="3">
        <v>1406.16</v>
      </c>
      <c r="H206" s="3">
        <v>259.2</v>
      </c>
      <c r="I206" s="3">
        <v>0</v>
      </c>
      <c r="J206" s="3">
        <v>0</v>
      </c>
      <c r="K206" s="3"/>
      <c r="L206" s="3"/>
      <c r="M206" s="3">
        <v>0</v>
      </c>
      <c r="N206" s="3">
        <v>0</v>
      </c>
      <c r="O206" s="3">
        <v>40.32</v>
      </c>
      <c r="P206" s="3">
        <v>44.64</v>
      </c>
      <c r="Q206" s="3">
        <v>6190.56</v>
      </c>
    </row>
    <row r="207" spans="1:19" x14ac:dyDescent="0.35">
      <c r="A207" s="3" t="s">
        <v>55</v>
      </c>
      <c r="B207" s="3">
        <v>3.18</v>
      </c>
      <c r="C207" s="3">
        <v>4.55</v>
      </c>
      <c r="D207" s="3">
        <v>3.66</v>
      </c>
      <c r="E207" s="3">
        <v>4.2300000000000004</v>
      </c>
      <c r="F207" s="3">
        <v>4.9000000000000004</v>
      </c>
      <c r="G207" s="3">
        <v>4.9800000000000004</v>
      </c>
      <c r="H207" s="3">
        <v>4.9400000000000004</v>
      </c>
      <c r="I207" s="3">
        <v>12.49</v>
      </c>
      <c r="J207" s="3">
        <v>12.98</v>
      </c>
      <c r="K207" s="3"/>
      <c r="L207" s="3"/>
      <c r="M207" s="3">
        <v>12.24</v>
      </c>
      <c r="N207" s="3">
        <v>11.28</v>
      </c>
      <c r="O207" s="3">
        <v>10.96</v>
      </c>
      <c r="P207" s="3">
        <v>10.81</v>
      </c>
      <c r="Q207" s="3">
        <v>98.02</v>
      </c>
    </row>
    <row r="208" spans="1:19" x14ac:dyDescent="0.35">
      <c r="A208" s="3" t="s">
        <v>56</v>
      </c>
      <c r="B208" s="3">
        <v>1.81</v>
      </c>
      <c r="C208" s="3">
        <v>0</v>
      </c>
      <c r="D208" s="3">
        <v>0</v>
      </c>
      <c r="E208" s="3">
        <v>0</v>
      </c>
      <c r="F208" s="3">
        <v>0.35</v>
      </c>
      <c r="G208" s="3">
        <v>2.89</v>
      </c>
      <c r="H208" s="3">
        <v>3.54</v>
      </c>
      <c r="I208" s="3">
        <v>2.79</v>
      </c>
      <c r="J208" s="3">
        <v>1.04</v>
      </c>
      <c r="K208" s="3"/>
      <c r="L208" s="3"/>
      <c r="M208" s="3">
        <v>0.26</v>
      </c>
      <c r="N208" s="3">
        <v>0</v>
      </c>
      <c r="O208" s="3">
        <v>0</v>
      </c>
      <c r="P208" s="3">
        <v>0</v>
      </c>
      <c r="Q208" s="3">
        <v>10.87</v>
      </c>
    </row>
    <row r="209" spans="1:17" x14ac:dyDescent="0.35">
      <c r="A209" s="3" t="s">
        <v>57</v>
      </c>
      <c r="B209" s="3">
        <v>5.31</v>
      </c>
      <c r="C209" s="3">
        <v>375.53800000000001</v>
      </c>
      <c r="D209" s="3">
        <v>335.79599999999999</v>
      </c>
      <c r="E209" s="3">
        <v>215.66900000000001</v>
      </c>
      <c r="F209" s="3">
        <v>168.851</v>
      </c>
      <c r="G209" s="3">
        <v>173.45760000000001</v>
      </c>
      <c r="H209" s="3">
        <v>204.14</v>
      </c>
      <c r="I209" s="3">
        <v>238.26599999999999</v>
      </c>
      <c r="J209" s="3">
        <v>296.83300000000003</v>
      </c>
      <c r="K209" s="3"/>
      <c r="L209" s="3"/>
      <c r="M209" s="3">
        <v>354.54</v>
      </c>
      <c r="N209" s="3">
        <v>392.82100000000003</v>
      </c>
      <c r="O209" s="3">
        <v>378.91</v>
      </c>
      <c r="P209" s="3">
        <v>408.86399999999998</v>
      </c>
      <c r="Q209" s="3">
        <v>3543.69</v>
      </c>
    </row>
    <row r="210" spans="1:17" x14ac:dyDescent="0.35">
      <c r="A210" s="3" t="s">
        <v>58</v>
      </c>
      <c r="B210" s="3">
        <v>2.16</v>
      </c>
      <c r="C210" s="3">
        <v>9.76</v>
      </c>
      <c r="D210" s="3">
        <v>10.07</v>
      </c>
      <c r="E210" s="3">
        <v>9.76</v>
      </c>
      <c r="F210" s="3">
        <v>10.07</v>
      </c>
      <c r="G210" s="3">
        <v>10.07</v>
      </c>
      <c r="H210" s="3">
        <v>9.76</v>
      </c>
      <c r="I210" s="3">
        <v>10.07</v>
      </c>
      <c r="J210" s="3">
        <v>9.42</v>
      </c>
      <c r="K210" s="3"/>
      <c r="L210" s="3"/>
      <c r="M210" s="3">
        <v>4.75</v>
      </c>
      <c r="N210" s="3">
        <v>6.83</v>
      </c>
      <c r="O210" s="3">
        <v>9.3699999999999992</v>
      </c>
      <c r="P210" s="3">
        <v>10.07</v>
      </c>
      <c r="Q210" s="3">
        <v>109.99</v>
      </c>
    </row>
    <row r="211" spans="1:17" x14ac:dyDescent="0.35">
      <c r="A211" s="3" t="s">
        <v>59</v>
      </c>
      <c r="B211" s="3">
        <v>3.13</v>
      </c>
      <c r="C211" s="3">
        <v>33.46</v>
      </c>
      <c r="D211" s="3">
        <v>34.42</v>
      </c>
      <c r="E211" s="3">
        <v>33.46</v>
      </c>
      <c r="F211" s="3">
        <v>34.42</v>
      </c>
      <c r="G211" s="3">
        <v>34.42</v>
      </c>
      <c r="H211" s="3">
        <v>33.46</v>
      </c>
      <c r="I211" s="3">
        <v>34.42</v>
      </c>
      <c r="J211" s="3">
        <v>33.46</v>
      </c>
      <c r="K211" s="3"/>
      <c r="L211" s="3"/>
      <c r="M211" s="3">
        <v>22.71</v>
      </c>
      <c r="N211" s="3">
        <v>34.42</v>
      </c>
      <c r="O211" s="3">
        <v>32.49</v>
      </c>
      <c r="P211" s="3">
        <v>34.42</v>
      </c>
      <c r="Q211" s="3">
        <v>395.59</v>
      </c>
    </row>
    <row r="212" spans="1:17" x14ac:dyDescent="0.35">
      <c r="A212" s="3" t="s">
        <v>60</v>
      </c>
      <c r="B212" s="3">
        <v>3.13</v>
      </c>
      <c r="C212" s="3">
        <v>33.54</v>
      </c>
      <c r="D212" s="3">
        <v>34.57</v>
      </c>
      <c r="E212" s="3">
        <v>22.71</v>
      </c>
      <c r="F212" s="3">
        <v>34.57</v>
      </c>
      <c r="G212" s="3">
        <v>34.57</v>
      </c>
      <c r="H212" s="3">
        <v>33.54</v>
      </c>
      <c r="I212" s="3">
        <v>34.57</v>
      </c>
      <c r="J212" s="3">
        <v>33.54</v>
      </c>
      <c r="K212" s="3"/>
      <c r="L212" s="3"/>
      <c r="M212" s="3">
        <v>34.57</v>
      </c>
      <c r="N212" s="3">
        <v>34.57</v>
      </c>
      <c r="O212" s="3">
        <v>31.75</v>
      </c>
      <c r="P212" s="3">
        <v>34.57</v>
      </c>
      <c r="Q212" s="3">
        <v>397.04</v>
      </c>
    </row>
    <row r="213" spans="1:17" x14ac:dyDescent="0.35">
      <c r="A213" s="3" t="s">
        <v>78</v>
      </c>
      <c r="B213" s="3">
        <v>0</v>
      </c>
      <c r="C213" s="3">
        <v>12</v>
      </c>
      <c r="D213" s="3">
        <v>12.31</v>
      </c>
      <c r="E213" s="3">
        <v>9.98</v>
      </c>
      <c r="F213" s="3">
        <v>11.55</v>
      </c>
      <c r="G213" s="3">
        <v>13.05</v>
      </c>
      <c r="H213" s="3">
        <v>12.86</v>
      </c>
      <c r="I213" s="3">
        <v>13.1</v>
      </c>
      <c r="J213" s="3">
        <v>11.44</v>
      </c>
      <c r="K213" s="3"/>
      <c r="L213" s="3"/>
      <c r="M213" s="3">
        <v>11.33</v>
      </c>
      <c r="N213" s="3">
        <v>12.58</v>
      </c>
      <c r="O213" s="3">
        <v>11.83</v>
      </c>
      <c r="P213" s="3">
        <v>12.02</v>
      </c>
      <c r="Q213" s="3">
        <v>144.05000000000001</v>
      </c>
    </row>
    <row r="214" spans="1:17" x14ac:dyDescent="0.35">
      <c r="A214" s="3" t="s">
        <v>79</v>
      </c>
      <c r="B214" s="3">
        <v>0</v>
      </c>
      <c r="C214" s="3">
        <v>1.2</v>
      </c>
      <c r="D214" s="3">
        <v>0.21</v>
      </c>
      <c r="E214" s="3">
        <v>0.01</v>
      </c>
      <c r="F214" s="3">
        <v>2.86</v>
      </c>
      <c r="G214" s="3">
        <v>10.02</v>
      </c>
      <c r="H214" s="3">
        <v>10.15</v>
      </c>
      <c r="I214" s="3">
        <v>9.27</v>
      </c>
      <c r="J214" s="3">
        <v>8.31</v>
      </c>
      <c r="K214" s="3"/>
      <c r="L214" s="3"/>
      <c r="M214" s="3">
        <v>6.58</v>
      </c>
      <c r="N214" s="3">
        <v>6.44</v>
      </c>
      <c r="O214" s="3">
        <v>4.5</v>
      </c>
      <c r="P214" s="3">
        <v>4.3</v>
      </c>
      <c r="Q214" s="3">
        <v>63.84</v>
      </c>
    </row>
    <row r="215" spans="1:17" x14ac:dyDescent="0.35">
      <c r="A215" s="3" t="s">
        <v>61</v>
      </c>
      <c r="B215" s="3">
        <v>0</v>
      </c>
      <c r="C215" s="3">
        <v>38.83</v>
      </c>
      <c r="D215" s="3">
        <v>30.35</v>
      </c>
      <c r="E215" s="3">
        <v>28.21</v>
      </c>
      <c r="F215" s="3">
        <v>36.32</v>
      </c>
      <c r="G215" s="3">
        <v>32.89</v>
      </c>
      <c r="H215" s="3">
        <v>26.23</v>
      </c>
      <c r="I215" s="3">
        <v>32.19</v>
      </c>
      <c r="J215" s="3">
        <v>28.77</v>
      </c>
      <c r="K215" s="3"/>
      <c r="L215" s="3"/>
      <c r="M215" s="3">
        <v>35.75</v>
      </c>
      <c r="N215" s="3">
        <v>46.83</v>
      </c>
      <c r="O215" s="3">
        <v>50.23</v>
      </c>
      <c r="P215" s="3">
        <v>64.180000000000007</v>
      </c>
      <c r="Q215" s="3">
        <v>450.78</v>
      </c>
    </row>
    <row r="216" spans="1:17" x14ac:dyDescent="0.35">
      <c r="A216" s="3" t="s">
        <v>62</v>
      </c>
      <c r="B216" s="3">
        <v>0</v>
      </c>
      <c r="C216" s="3">
        <v>102.43</v>
      </c>
      <c r="D216" s="3">
        <v>82.61</v>
      </c>
      <c r="E216" s="3">
        <v>68.31</v>
      </c>
      <c r="F216" s="3">
        <v>83.75</v>
      </c>
      <c r="G216" s="3">
        <v>88.3</v>
      </c>
      <c r="H216" s="3">
        <v>88.91</v>
      </c>
      <c r="I216" s="3">
        <v>93.86</v>
      </c>
      <c r="J216" s="3">
        <v>76.36</v>
      </c>
      <c r="K216" s="3"/>
      <c r="L216" s="3"/>
      <c r="M216" s="3">
        <v>79.900000000000006</v>
      </c>
      <c r="N216" s="3">
        <v>101.25</v>
      </c>
      <c r="O216" s="3">
        <v>106.34</v>
      </c>
      <c r="P216" s="3">
        <v>121.34</v>
      </c>
      <c r="Q216" s="3">
        <v>1093.3599999999999</v>
      </c>
    </row>
    <row r="217" spans="1:17" x14ac:dyDescent="0.35">
      <c r="A217" s="3" t="s">
        <v>63</v>
      </c>
      <c r="B217" s="3">
        <v>0</v>
      </c>
      <c r="C217" s="3">
        <v>9.24</v>
      </c>
      <c r="D217" s="3">
        <v>7.88</v>
      </c>
      <c r="E217" s="3">
        <v>5.23</v>
      </c>
      <c r="F217" s="3">
        <v>6.94</v>
      </c>
      <c r="G217" s="3">
        <v>7.28</v>
      </c>
      <c r="H217" s="3">
        <v>7.47</v>
      </c>
      <c r="I217" s="3">
        <v>9.1999999999999993</v>
      </c>
      <c r="J217" s="3">
        <v>7.65</v>
      </c>
      <c r="K217" s="3"/>
      <c r="L217" s="3"/>
      <c r="M217" s="3">
        <v>8.81</v>
      </c>
      <c r="N217" s="3">
        <v>10.64</v>
      </c>
      <c r="O217" s="3">
        <v>11.4</v>
      </c>
      <c r="P217" s="3">
        <v>13.13</v>
      </c>
      <c r="Q217" s="3">
        <v>104.87</v>
      </c>
    </row>
    <row r="218" spans="1:17" x14ac:dyDescent="0.35">
      <c r="A218" s="3" t="s">
        <v>64</v>
      </c>
      <c r="B218" s="3">
        <v>0</v>
      </c>
      <c r="C218" s="3">
        <v>57.92</v>
      </c>
      <c r="D218" s="3">
        <v>20.149999999999999</v>
      </c>
      <c r="E218" s="3">
        <v>11.05</v>
      </c>
      <c r="F218" s="3">
        <v>21.46</v>
      </c>
      <c r="G218" s="3">
        <v>239.4</v>
      </c>
      <c r="H218" s="3">
        <v>230.88</v>
      </c>
      <c r="I218" s="3">
        <v>113.36</v>
      </c>
      <c r="J218" s="3">
        <v>63.4</v>
      </c>
      <c r="K218" s="3"/>
      <c r="L218" s="3"/>
      <c r="M218" s="3">
        <v>30.93</v>
      </c>
      <c r="N218" s="3">
        <v>44.76</v>
      </c>
      <c r="O218" s="3">
        <v>56.42</v>
      </c>
      <c r="P218" s="3">
        <v>83.97</v>
      </c>
      <c r="Q218" s="3">
        <v>973.68</v>
      </c>
    </row>
    <row r="219" spans="1:17" x14ac:dyDescent="0.35">
      <c r="A219" s="3" t="s">
        <v>65</v>
      </c>
      <c r="B219" s="3">
        <v>0</v>
      </c>
      <c r="C219" s="3">
        <v>2.13</v>
      </c>
      <c r="D219" s="3">
        <v>0</v>
      </c>
      <c r="E219" s="3">
        <v>0</v>
      </c>
      <c r="F219" s="3">
        <v>0.38</v>
      </c>
      <c r="G219" s="3">
        <v>12.4</v>
      </c>
      <c r="H219" s="3">
        <v>24.92</v>
      </c>
      <c r="I219" s="3">
        <v>29.54</v>
      </c>
      <c r="J219" s="3">
        <v>23.75</v>
      </c>
      <c r="K219" s="3"/>
      <c r="L219" s="3"/>
      <c r="M219" s="3">
        <v>16.670000000000002</v>
      </c>
      <c r="N219" s="3">
        <v>11.09</v>
      </c>
      <c r="O219" s="3">
        <v>5.7</v>
      </c>
      <c r="P219" s="3">
        <v>3.54</v>
      </c>
      <c r="Q219" s="3">
        <v>130.13</v>
      </c>
    </row>
    <row r="220" spans="1:17" x14ac:dyDescent="0.35">
      <c r="A220" s="3" t="s">
        <v>66</v>
      </c>
      <c r="B220" s="3">
        <v>0</v>
      </c>
      <c r="C220" s="3">
        <v>0.03</v>
      </c>
      <c r="D220" s="3">
        <v>0.08</v>
      </c>
      <c r="E220" s="3">
        <v>7.0000000000000007E-2</v>
      </c>
      <c r="F220" s="3">
        <v>7.0000000000000007E-2</v>
      </c>
      <c r="G220" s="3">
        <v>1.42</v>
      </c>
      <c r="H220" s="3">
        <v>1.18</v>
      </c>
      <c r="I220" s="3">
        <v>1.21</v>
      </c>
      <c r="J220" s="3">
        <v>0.97</v>
      </c>
      <c r="K220" s="3"/>
      <c r="L220" s="3"/>
      <c r="M220" s="3">
        <v>0.59</v>
      </c>
      <c r="N220" s="3">
        <v>0.2</v>
      </c>
      <c r="O220" s="3">
        <v>0.33</v>
      </c>
      <c r="P220" s="3">
        <v>0.26</v>
      </c>
      <c r="Q220" s="3">
        <v>6.4</v>
      </c>
    </row>
    <row r="221" spans="1:17" x14ac:dyDescent="0.35">
      <c r="A221" s="3" t="s">
        <v>80</v>
      </c>
      <c r="B221" s="3">
        <v>0</v>
      </c>
      <c r="C221" s="3">
        <v>0.13</v>
      </c>
      <c r="D221" s="3">
        <v>0</v>
      </c>
      <c r="E221" s="3">
        <v>7.0000000000000007E-2</v>
      </c>
      <c r="F221" s="3">
        <v>0.37</v>
      </c>
      <c r="G221" s="3">
        <v>0.28999999999999998</v>
      </c>
      <c r="H221" s="3">
        <v>0.32</v>
      </c>
      <c r="I221" s="3">
        <v>7.0000000000000007E-2</v>
      </c>
      <c r="J221" s="3">
        <v>0.05</v>
      </c>
      <c r="K221" s="3"/>
      <c r="L221" s="3"/>
      <c r="M221" s="3">
        <v>0.27</v>
      </c>
      <c r="N221" s="3">
        <v>0.38</v>
      </c>
      <c r="O221" s="3">
        <v>0.27</v>
      </c>
      <c r="P221" s="3">
        <v>0.36</v>
      </c>
      <c r="Q221" s="3">
        <v>2.59</v>
      </c>
    </row>
    <row r="222" spans="1:17" x14ac:dyDescent="0.35">
      <c r="A222" s="3" t="s">
        <v>67</v>
      </c>
      <c r="B222" s="3">
        <v>0</v>
      </c>
      <c r="C222" s="3">
        <v>4.95</v>
      </c>
      <c r="D222" s="3">
        <v>4.95</v>
      </c>
      <c r="E222" s="3">
        <v>4.95</v>
      </c>
      <c r="F222" s="3">
        <v>10.89</v>
      </c>
      <c r="G222" s="3">
        <v>17.82</v>
      </c>
      <c r="H222" s="3">
        <v>17.82</v>
      </c>
      <c r="I222" s="3">
        <v>17.82</v>
      </c>
      <c r="J222" s="3">
        <v>24.75</v>
      </c>
      <c r="K222" s="3"/>
      <c r="L222" s="3"/>
      <c r="M222" s="3">
        <v>24.75</v>
      </c>
      <c r="N222" s="3">
        <v>24.75</v>
      </c>
      <c r="O222" s="3">
        <v>14.85</v>
      </c>
      <c r="P222" s="3">
        <v>4.95</v>
      </c>
      <c r="Q222" s="3">
        <v>173.25</v>
      </c>
    </row>
    <row r="223" spans="1:17" x14ac:dyDescent="0.35">
      <c r="A223" s="3" t="s">
        <v>68</v>
      </c>
      <c r="B223" s="3">
        <v>1.63</v>
      </c>
      <c r="C223" s="3">
        <v>125.71</v>
      </c>
      <c r="D223" s="3">
        <v>129.87</v>
      </c>
      <c r="E223" s="3">
        <v>125.71</v>
      </c>
      <c r="F223" s="3">
        <v>105.64</v>
      </c>
      <c r="G223" s="3">
        <v>115.56</v>
      </c>
      <c r="H223" s="3">
        <v>125.71</v>
      </c>
      <c r="I223" s="3">
        <v>117.9</v>
      </c>
      <c r="J223" s="3">
        <v>99.35</v>
      </c>
      <c r="K223" s="3"/>
      <c r="L223" s="3"/>
      <c r="M223" s="3">
        <v>130.04</v>
      </c>
      <c r="N223" s="3">
        <v>130.04</v>
      </c>
      <c r="O223" s="3">
        <v>117.46</v>
      </c>
      <c r="P223" s="3">
        <v>130.04</v>
      </c>
      <c r="Q223" s="3">
        <v>1453.02</v>
      </c>
    </row>
    <row r="224" spans="1:17" x14ac:dyDescent="0.35">
      <c r="A224" s="3" t="s">
        <v>69</v>
      </c>
      <c r="B224" s="3">
        <v>1.9</v>
      </c>
      <c r="C224" s="3">
        <v>141.07</v>
      </c>
      <c r="D224" s="3">
        <v>145.77000000000001</v>
      </c>
      <c r="E224" s="3">
        <v>141.07</v>
      </c>
      <c r="F224" s="3">
        <v>145.77000000000001</v>
      </c>
      <c r="G224" s="3">
        <v>145.77000000000001</v>
      </c>
      <c r="H224" s="3">
        <v>141.07</v>
      </c>
      <c r="I224" s="3">
        <v>145.77000000000001</v>
      </c>
      <c r="J224" s="3">
        <v>141.07</v>
      </c>
      <c r="K224" s="3"/>
      <c r="L224" s="3"/>
      <c r="M224" s="3">
        <v>145.77000000000001</v>
      </c>
      <c r="N224" s="3">
        <v>145.77000000000001</v>
      </c>
      <c r="O224" s="3">
        <v>131.66</v>
      </c>
      <c r="P224" s="3">
        <v>145.77000000000001</v>
      </c>
      <c r="Q224" s="3">
        <v>1716.32</v>
      </c>
    </row>
    <row r="225" spans="1:17" x14ac:dyDescent="0.35">
      <c r="A225" s="3" t="s">
        <v>70</v>
      </c>
      <c r="B225" s="3">
        <v>2.02</v>
      </c>
      <c r="C225" s="3">
        <v>135.94999999999999</v>
      </c>
      <c r="D225" s="3">
        <v>140.47999999999999</v>
      </c>
      <c r="E225" s="3">
        <v>101.96</v>
      </c>
      <c r="F225" s="3">
        <v>140.47999999999999</v>
      </c>
      <c r="G225" s="3">
        <v>140.47999999999999</v>
      </c>
      <c r="H225" s="3">
        <v>135.94999999999999</v>
      </c>
      <c r="I225" s="3">
        <v>140.47999999999999</v>
      </c>
      <c r="J225" s="3">
        <v>135.94999999999999</v>
      </c>
      <c r="K225" s="3"/>
      <c r="L225" s="3"/>
      <c r="M225" s="3">
        <v>140.47999999999999</v>
      </c>
      <c r="N225" s="3">
        <v>140.47999999999999</v>
      </c>
      <c r="O225" s="3">
        <v>126.89</v>
      </c>
      <c r="P225" s="3">
        <v>140.47999999999999</v>
      </c>
      <c r="Q225" s="3">
        <v>1620.08</v>
      </c>
    </row>
    <row r="226" spans="1:17" x14ac:dyDescent="0.35">
      <c r="A226" s="3" t="s">
        <v>71</v>
      </c>
      <c r="B226" s="3">
        <v>2.02</v>
      </c>
      <c r="C226" s="3">
        <v>138.19</v>
      </c>
      <c r="D226" s="3">
        <v>142.80000000000001</v>
      </c>
      <c r="E226" s="3">
        <v>82.92</v>
      </c>
      <c r="F226" s="3">
        <v>128.97999999999999</v>
      </c>
      <c r="G226" s="3">
        <v>142.80000000000001</v>
      </c>
      <c r="H226" s="3">
        <v>138.19</v>
      </c>
      <c r="I226" s="3">
        <v>142.80000000000001</v>
      </c>
      <c r="J226" s="3">
        <v>138.19</v>
      </c>
      <c r="K226" s="3"/>
      <c r="L226" s="3"/>
      <c r="M226" s="3">
        <v>142.80000000000001</v>
      </c>
      <c r="N226" s="3">
        <v>142.80000000000001</v>
      </c>
      <c r="O226" s="3">
        <v>128.97999999999999</v>
      </c>
      <c r="P226" s="3">
        <v>142.80000000000001</v>
      </c>
      <c r="Q226" s="3">
        <v>1612.24</v>
      </c>
    </row>
    <row r="227" spans="1:17" x14ac:dyDescent="0.35">
      <c r="A227" s="3" t="s">
        <v>72</v>
      </c>
      <c r="B227" s="3">
        <v>2.09</v>
      </c>
      <c r="C227" s="3">
        <v>47.64</v>
      </c>
      <c r="D227" s="3">
        <v>48.7</v>
      </c>
      <c r="E227" s="3">
        <v>47.08</v>
      </c>
      <c r="F227" s="3">
        <v>48.12</v>
      </c>
      <c r="G227" s="3">
        <v>48.65</v>
      </c>
      <c r="H227" s="3">
        <v>47.08</v>
      </c>
      <c r="I227" s="3">
        <v>48.92</v>
      </c>
      <c r="J227" s="3">
        <v>48.18</v>
      </c>
      <c r="K227" s="3"/>
      <c r="L227" s="3"/>
      <c r="M227" s="3">
        <v>49.79</v>
      </c>
      <c r="N227" s="3">
        <v>49.79</v>
      </c>
      <c r="O227" s="3">
        <v>44.99</v>
      </c>
      <c r="P227" s="3">
        <v>49.81</v>
      </c>
      <c r="Q227" s="3">
        <v>578.77</v>
      </c>
    </row>
    <row r="228" spans="1:17" x14ac:dyDescent="0.35">
      <c r="A228" s="3" t="s">
        <v>73</v>
      </c>
      <c r="B228" s="3">
        <v>2.09</v>
      </c>
      <c r="C228" s="3">
        <v>8.19</v>
      </c>
      <c r="D228" s="3">
        <v>8.4600000000000009</v>
      </c>
      <c r="E228" s="3">
        <v>8.19</v>
      </c>
      <c r="F228" s="3">
        <v>8.4600000000000009</v>
      </c>
      <c r="G228" s="3">
        <v>8.4600000000000009</v>
      </c>
      <c r="H228" s="3">
        <v>8.19</v>
      </c>
      <c r="I228" s="3">
        <v>8.36</v>
      </c>
      <c r="J228" s="3">
        <v>8.19</v>
      </c>
      <c r="K228" s="3"/>
      <c r="L228" s="3"/>
      <c r="M228" s="3">
        <v>8.4600000000000009</v>
      </c>
      <c r="N228" s="3">
        <v>8.4600000000000009</v>
      </c>
      <c r="O228" s="3">
        <v>7.64</v>
      </c>
      <c r="P228" s="3">
        <v>8.4600000000000009</v>
      </c>
      <c r="Q228" s="3">
        <v>99.55</v>
      </c>
    </row>
    <row r="229" spans="1:17" x14ac:dyDescent="0.35">
      <c r="A229" s="3" t="s">
        <v>74</v>
      </c>
      <c r="B229" s="3">
        <v>2.1</v>
      </c>
      <c r="C229" s="3">
        <v>28.48</v>
      </c>
      <c r="D229" s="3">
        <v>29.43</v>
      </c>
      <c r="E229" s="3">
        <v>28.48</v>
      </c>
      <c r="F229" s="3">
        <v>29.43</v>
      </c>
      <c r="G229" s="3">
        <v>29.43</v>
      </c>
      <c r="H229" s="3">
        <v>28.48</v>
      </c>
      <c r="I229" s="3">
        <v>29.43</v>
      </c>
      <c r="J229" s="3">
        <v>28.48</v>
      </c>
      <c r="K229" s="3"/>
      <c r="L229" s="3"/>
      <c r="M229" s="3">
        <v>29.43</v>
      </c>
      <c r="N229" s="3">
        <v>29.43</v>
      </c>
      <c r="O229" s="3">
        <v>26.58</v>
      </c>
      <c r="P229" s="3">
        <v>29.43</v>
      </c>
      <c r="Q229" s="3">
        <v>346.49</v>
      </c>
    </row>
    <row r="230" spans="1:17" x14ac:dyDescent="0.35">
      <c r="A230" s="3" t="s">
        <v>75</v>
      </c>
      <c r="B230" s="3">
        <v>2.12</v>
      </c>
      <c r="C230" s="3">
        <v>138.19</v>
      </c>
      <c r="D230" s="3">
        <v>142.80000000000001</v>
      </c>
      <c r="E230" s="3">
        <v>138.19</v>
      </c>
      <c r="F230" s="3">
        <v>50.67</v>
      </c>
      <c r="G230" s="3">
        <v>142.80000000000001</v>
      </c>
      <c r="H230" s="3">
        <v>138.19</v>
      </c>
      <c r="I230" s="3">
        <v>142.80000000000001</v>
      </c>
      <c r="J230" s="3">
        <v>138.19</v>
      </c>
      <c r="K230" s="3"/>
      <c r="L230" s="3"/>
      <c r="M230" s="3">
        <v>142.80000000000001</v>
      </c>
      <c r="N230" s="3">
        <v>142.80000000000001</v>
      </c>
      <c r="O230" s="3">
        <v>128.97999999999999</v>
      </c>
      <c r="P230" s="3">
        <v>142.80000000000001</v>
      </c>
      <c r="Q230" s="3">
        <v>1589.2</v>
      </c>
    </row>
    <row r="231" spans="1:17" x14ac:dyDescent="0.35">
      <c r="A231" s="3" t="s">
        <v>76</v>
      </c>
      <c r="B231" s="3">
        <v>2.12</v>
      </c>
      <c r="C231" s="3">
        <v>192.41</v>
      </c>
      <c r="D231" s="3">
        <v>196.73</v>
      </c>
      <c r="E231" s="3">
        <v>171.43</v>
      </c>
      <c r="F231" s="3">
        <v>165.13</v>
      </c>
      <c r="G231" s="3">
        <v>164.13</v>
      </c>
      <c r="H231" s="3">
        <v>182.17</v>
      </c>
      <c r="I231" s="3">
        <v>198.61</v>
      </c>
      <c r="J231" s="3">
        <v>194.93</v>
      </c>
      <c r="K231" s="3"/>
      <c r="L231" s="3"/>
      <c r="M231" s="3">
        <v>200.38</v>
      </c>
      <c r="N231" s="3">
        <v>201.75</v>
      </c>
      <c r="O231" s="3">
        <v>182.6</v>
      </c>
      <c r="P231" s="3">
        <v>202.79</v>
      </c>
      <c r="Q231" s="3">
        <v>2253.0700000000002</v>
      </c>
    </row>
    <row r="232" spans="1:17" x14ac:dyDescent="0.35">
      <c r="A232" s="3" t="s">
        <v>81</v>
      </c>
      <c r="B232" s="3">
        <v>2.14</v>
      </c>
      <c r="C232" s="3">
        <v>46.3</v>
      </c>
      <c r="D232" s="3">
        <v>47.68</v>
      </c>
      <c r="E232" s="3">
        <v>45.49</v>
      </c>
      <c r="F232" s="3">
        <v>42.05</v>
      </c>
      <c r="G232" s="3">
        <v>33.49</v>
      </c>
      <c r="H232" s="3">
        <v>45.72</v>
      </c>
      <c r="I232" s="3">
        <v>41.36</v>
      </c>
      <c r="J232" s="3">
        <v>44.86</v>
      </c>
      <c r="K232" s="3"/>
      <c r="L232" s="3"/>
      <c r="M232" s="3">
        <v>46.36</v>
      </c>
      <c r="N232" s="3">
        <v>46.59</v>
      </c>
      <c r="O232" s="3">
        <v>42.05</v>
      </c>
      <c r="P232" s="3">
        <v>46.59</v>
      </c>
      <c r="Q232" s="3">
        <v>528.53</v>
      </c>
    </row>
    <row r="233" spans="1:17" x14ac:dyDescent="0.35">
      <c r="A233" s="3" t="s">
        <v>77</v>
      </c>
      <c r="B233" s="3">
        <v>2.2999999999999998</v>
      </c>
      <c r="C233" s="3">
        <v>213.07</v>
      </c>
      <c r="D233" s="3">
        <v>220.18</v>
      </c>
      <c r="E233" s="3">
        <v>213.07</v>
      </c>
      <c r="F233" s="3">
        <v>220.18</v>
      </c>
      <c r="G233" s="3">
        <v>220.18</v>
      </c>
      <c r="H233" s="3">
        <v>213.07</v>
      </c>
      <c r="I233" s="3">
        <v>220.18</v>
      </c>
      <c r="J233" s="3">
        <v>213.07</v>
      </c>
      <c r="K233" s="3"/>
      <c r="L233" s="3"/>
      <c r="M233" s="3">
        <v>220.18</v>
      </c>
      <c r="N233" s="3">
        <v>220.18</v>
      </c>
      <c r="O233" s="3">
        <v>198.87</v>
      </c>
      <c r="P233" s="3">
        <v>220.18</v>
      </c>
      <c r="Q233" s="3">
        <v>2592.4</v>
      </c>
    </row>
    <row r="234" spans="1:17" x14ac:dyDescent="0.35">
      <c r="A234" s="3" t="s">
        <v>82</v>
      </c>
      <c r="B234" s="3">
        <v>2.3199999999999998</v>
      </c>
      <c r="C234" s="3">
        <v>68.66</v>
      </c>
      <c r="D234" s="3">
        <v>71.099999999999994</v>
      </c>
      <c r="E234" s="3">
        <v>68.66</v>
      </c>
      <c r="F234" s="3">
        <v>70.84</v>
      </c>
      <c r="G234" s="3">
        <v>70.84</v>
      </c>
      <c r="H234" s="3">
        <v>68.53</v>
      </c>
      <c r="I234" s="3">
        <v>69.430000000000007</v>
      </c>
      <c r="J234" s="3">
        <v>50.22</v>
      </c>
      <c r="K234" s="3"/>
      <c r="L234" s="3"/>
      <c r="M234" s="3">
        <v>52.52</v>
      </c>
      <c r="N234" s="3">
        <v>71.099999999999994</v>
      </c>
      <c r="O234" s="3">
        <v>64.05</v>
      </c>
      <c r="P234" s="3">
        <v>71.099999999999994</v>
      </c>
      <c r="Q234" s="3">
        <v>797.04</v>
      </c>
    </row>
    <row r="235" spans="1:17" x14ac:dyDescent="0.35">
      <c r="A235" s="3" t="s">
        <v>83</v>
      </c>
      <c r="B235" s="3">
        <v>2.34</v>
      </c>
      <c r="C235" s="3">
        <v>138.19</v>
      </c>
      <c r="D235" s="3">
        <v>142.80000000000001</v>
      </c>
      <c r="E235" s="3">
        <v>138.19</v>
      </c>
      <c r="F235" s="3">
        <v>142.80000000000001</v>
      </c>
      <c r="G235" s="3">
        <v>142.80000000000001</v>
      </c>
      <c r="H235" s="3">
        <v>138.19</v>
      </c>
      <c r="I235" s="3">
        <v>142.80000000000001</v>
      </c>
      <c r="J235" s="3">
        <v>69.099999999999994</v>
      </c>
      <c r="K235" s="3"/>
      <c r="L235" s="3"/>
      <c r="M235" s="3">
        <v>138.19</v>
      </c>
      <c r="N235" s="3">
        <v>142.80000000000001</v>
      </c>
      <c r="O235" s="3">
        <v>128.97999999999999</v>
      </c>
      <c r="P235" s="3">
        <v>142.80000000000001</v>
      </c>
      <c r="Q235" s="3">
        <v>1607.63</v>
      </c>
    </row>
    <row r="236" spans="1:17" x14ac:dyDescent="0.35">
      <c r="A236" s="3" t="s">
        <v>84</v>
      </c>
      <c r="B236" s="3">
        <v>2.34</v>
      </c>
      <c r="C236" s="3">
        <v>2.29</v>
      </c>
      <c r="D236" s="3">
        <v>2.36</v>
      </c>
      <c r="E236" s="3">
        <v>2.29</v>
      </c>
      <c r="F236" s="3">
        <v>2.36</v>
      </c>
      <c r="G236" s="3">
        <v>2.36</v>
      </c>
      <c r="H236" s="3">
        <v>2.29</v>
      </c>
      <c r="I236" s="3">
        <v>2.3199999999999998</v>
      </c>
      <c r="J236" s="3">
        <v>2.29</v>
      </c>
      <c r="K236" s="3"/>
      <c r="L236" s="3"/>
      <c r="M236" s="3">
        <v>2.36</v>
      </c>
      <c r="N236" s="3">
        <v>2.36</v>
      </c>
      <c r="O236" s="3">
        <v>2.14</v>
      </c>
      <c r="P236" s="3">
        <v>2.36</v>
      </c>
      <c r="Q236" s="3">
        <v>27.79</v>
      </c>
    </row>
    <row r="237" spans="1:17" x14ac:dyDescent="0.35">
      <c r="A237" s="3" t="s">
        <v>85</v>
      </c>
      <c r="B237" s="3">
        <v>2.59</v>
      </c>
      <c r="C237" s="3">
        <v>343.54</v>
      </c>
      <c r="D237" s="3">
        <v>355</v>
      </c>
      <c r="E237" s="3">
        <v>286.27999999999997</v>
      </c>
      <c r="F237" s="3">
        <v>295.83</v>
      </c>
      <c r="G237" s="3">
        <v>326.37</v>
      </c>
      <c r="H237" s="3">
        <v>314.91000000000003</v>
      </c>
      <c r="I237" s="3">
        <v>326.37</v>
      </c>
      <c r="J237" s="3">
        <v>314.91000000000003</v>
      </c>
      <c r="K237" s="3"/>
      <c r="L237" s="3"/>
      <c r="M237" s="3">
        <v>355</v>
      </c>
      <c r="N237" s="3">
        <v>355</v>
      </c>
      <c r="O237" s="3">
        <v>320.64</v>
      </c>
      <c r="P237" s="3">
        <v>355</v>
      </c>
      <c r="Q237" s="3">
        <v>3948.84</v>
      </c>
    </row>
    <row r="238" spans="1:17" x14ac:dyDescent="0.35">
      <c r="A238" s="3" t="s">
        <v>86</v>
      </c>
      <c r="B238" s="3">
        <v>2.6</v>
      </c>
      <c r="C238" s="3">
        <v>134.49</v>
      </c>
      <c r="D238" s="3">
        <v>138.88999999999999</v>
      </c>
      <c r="E238" s="3">
        <v>134.49</v>
      </c>
      <c r="F238" s="3">
        <v>138.88999999999999</v>
      </c>
      <c r="G238" s="3">
        <v>82.05</v>
      </c>
      <c r="H238" s="3">
        <v>134.49</v>
      </c>
      <c r="I238" s="3">
        <v>138.88999999999999</v>
      </c>
      <c r="J238" s="3">
        <v>134.49</v>
      </c>
      <c r="K238" s="3"/>
      <c r="L238" s="3"/>
      <c r="M238" s="3">
        <v>138.88999999999999</v>
      </c>
      <c r="N238" s="3">
        <v>138.88999999999999</v>
      </c>
      <c r="O238" s="3">
        <v>125.48</v>
      </c>
      <c r="P238" s="3">
        <v>138.88999999999999</v>
      </c>
      <c r="Q238" s="3">
        <v>1578.82</v>
      </c>
    </row>
    <row r="239" spans="1:17" x14ac:dyDescent="0.35">
      <c r="A239" s="3" t="s">
        <v>87</v>
      </c>
      <c r="B239" s="3">
        <v>2.6</v>
      </c>
      <c r="C239" s="3">
        <v>292.51</v>
      </c>
      <c r="D239" s="3">
        <v>302.08999999999997</v>
      </c>
      <c r="E239" s="3">
        <v>292.51</v>
      </c>
      <c r="F239" s="3">
        <v>302.08999999999997</v>
      </c>
      <c r="G239" s="3">
        <v>302.08999999999997</v>
      </c>
      <c r="H239" s="3">
        <v>292.51</v>
      </c>
      <c r="I239" s="3">
        <v>270.74</v>
      </c>
      <c r="J239" s="3">
        <v>195.44</v>
      </c>
      <c r="K239" s="3"/>
      <c r="L239" s="3"/>
      <c r="M239" s="3">
        <v>302.08999999999997</v>
      </c>
      <c r="N239" s="3">
        <v>302.08999999999997</v>
      </c>
      <c r="O239" s="3">
        <v>272.92</v>
      </c>
      <c r="P239" s="3">
        <v>302.08999999999997</v>
      </c>
      <c r="Q239" s="3">
        <v>3429.14</v>
      </c>
    </row>
    <row r="240" spans="1:17" x14ac:dyDescent="0.35">
      <c r="A240" s="3" t="s">
        <v>88</v>
      </c>
      <c r="B240" s="3">
        <v>2.73</v>
      </c>
      <c r="C240" s="3">
        <v>183.47</v>
      </c>
      <c r="D240" s="3">
        <v>189.58</v>
      </c>
      <c r="E240" s="3">
        <v>65.19</v>
      </c>
      <c r="F240" s="3">
        <v>189.58</v>
      </c>
      <c r="G240" s="3">
        <v>174.29</v>
      </c>
      <c r="H240" s="3">
        <v>152.88999999999999</v>
      </c>
      <c r="I240" s="3">
        <v>151.36000000000001</v>
      </c>
      <c r="J240" s="3">
        <v>175.83</v>
      </c>
      <c r="K240" s="3"/>
      <c r="L240" s="3"/>
      <c r="M240" s="3">
        <v>166.65</v>
      </c>
      <c r="N240" s="3">
        <v>181.94</v>
      </c>
      <c r="O240" s="3">
        <v>171.23</v>
      </c>
      <c r="P240" s="3">
        <v>189.58</v>
      </c>
      <c r="Q240" s="3">
        <v>1991.6</v>
      </c>
    </row>
    <row r="241" spans="1:17" x14ac:dyDescent="0.35">
      <c r="A241" s="3" t="s">
        <v>89</v>
      </c>
      <c r="B241" s="3">
        <v>2.93</v>
      </c>
      <c r="C241" s="3">
        <v>3.35</v>
      </c>
      <c r="D241" s="3">
        <v>3.35</v>
      </c>
      <c r="E241" s="3">
        <v>0</v>
      </c>
      <c r="F241" s="3">
        <v>3.35</v>
      </c>
      <c r="G241" s="3">
        <v>3.35</v>
      </c>
      <c r="H241" s="3">
        <v>3.35</v>
      </c>
      <c r="I241" s="3">
        <v>3.35</v>
      </c>
      <c r="J241" s="3">
        <v>3.35</v>
      </c>
      <c r="K241" s="3"/>
      <c r="L241" s="3"/>
      <c r="M241" s="3">
        <v>3.35</v>
      </c>
      <c r="N241" s="3">
        <v>3.35</v>
      </c>
      <c r="O241" s="3">
        <v>3.35</v>
      </c>
      <c r="P241" s="3">
        <v>3.35</v>
      </c>
      <c r="Q241" s="3">
        <v>36.85</v>
      </c>
    </row>
    <row r="242" spans="1:17" x14ac:dyDescent="0.35">
      <c r="A242" s="3" t="s">
        <v>90</v>
      </c>
      <c r="B242" s="3">
        <v>3.05</v>
      </c>
      <c r="C242" s="3">
        <v>114.2</v>
      </c>
      <c r="D242" s="3">
        <v>118.01</v>
      </c>
      <c r="E242" s="3">
        <v>0</v>
      </c>
      <c r="F242" s="3">
        <v>89.45</v>
      </c>
      <c r="G242" s="3">
        <v>118.01</v>
      </c>
      <c r="H242" s="3">
        <v>85.65</v>
      </c>
      <c r="I242" s="3">
        <v>118.01</v>
      </c>
      <c r="J242" s="3">
        <v>114.2</v>
      </c>
      <c r="K242" s="3"/>
      <c r="L242" s="3"/>
      <c r="M242" s="3">
        <v>118.01</v>
      </c>
      <c r="N242" s="3">
        <v>118.01</v>
      </c>
      <c r="O242" s="3">
        <v>106.59</v>
      </c>
      <c r="P242" s="3">
        <v>118.01</v>
      </c>
      <c r="Q242" s="3">
        <v>1218.1400000000001</v>
      </c>
    </row>
    <row r="243" spans="1:17" x14ac:dyDescent="0.35">
      <c r="A243" s="3" t="s">
        <v>91</v>
      </c>
      <c r="B243" s="3">
        <v>3.05</v>
      </c>
      <c r="C243" s="3">
        <v>114.2</v>
      </c>
      <c r="D243" s="3">
        <v>118.01</v>
      </c>
      <c r="E243" s="3">
        <v>0</v>
      </c>
      <c r="F243" s="3">
        <v>74.28</v>
      </c>
      <c r="G243" s="3">
        <v>118.01</v>
      </c>
      <c r="H243" s="3">
        <v>85.65</v>
      </c>
      <c r="I243" s="3">
        <v>60.91</v>
      </c>
      <c r="J243" s="3">
        <v>114.2</v>
      </c>
      <c r="K243" s="3"/>
      <c r="L243" s="3"/>
      <c r="M243" s="3">
        <v>118.01</v>
      </c>
      <c r="N243" s="3">
        <v>118.01</v>
      </c>
      <c r="O243" s="3">
        <v>106.59</v>
      </c>
      <c r="P243" s="3">
        <v>118.01</v>
      </c>
      <c r="Q243" s="3">
        <v>1145.8699999999999</v>
      </c>
    </row>
    <row r="244" spans="1:17" x14ac:dyDescent="0.35">
      <c r="A244" s="3" t="s">
        <v>92</v>
      </c>
      <c r="B244" s="3">
        <v>3.05</v>
      </c>
      <c r="C244" s="3">
        <v>57.1</v>
      </c>
      <c r="D244" s="3">
        <v>59</v>
      </c>
      <c r="E244" s="3">
        <v>0</v>
      </c>
      <c r="F244" s="3">
        <v>0</v>
      </c>
      <c r="G244" s="3">
        <v>30.45</v>
      </c>
      <c r="H244" s="3">
        <v>57.1</v>
      </c>
      <c r="I244" s="3">
        <v>59</v>
      </c>
      <c r="J244" s="3">
        <v>57.1</v>
      </c>
      <c r="K244" s="3"/>
      <c r="L244" s="3"/>
      <c r="M244" s="3">
        <v>59</v>
      </c>
      <c r="N244" s="3">
        <v>59</v>
      </c>
      <c r="O244" s="3">
        <v>53.29</v>
      </c>
      <c r="P244" s="3">
        <v>59</v>
      </c>
      <c r="Q244" s="3">
        <v>550.07000000000005</v>
      </c>
    </row>
    <row r="245" spans="1:17" x14ac:dyDescent="0.35">
      <c r="A245" s="3" t="s">
        <v>93</v>
      </c>
      <c r="B245" s="3">
        <v>3.1</v>
      </c>
      <c r="C245" s="3">
        <v>16.05</v>
      </c>
      <c r="D245" s="3">
        <v>16.59</v>
      </c>
      <c r="E245" s="3">
        <v>0</v>
      </c>
      <c r="F245" s="3">
        <v>0</v>
      </c>
      <c r="G245" s="3">
        <v>16.59</v>
      </c>
      <c r="H245" s="3">
        <v>16.05</v>
      </c>
      <c r="I245" s="3">
        <v>16.59</v>
      </c>
      <c r="J245" s="3">
        <v>8.0299999999999994</v>
      </c>
      <c r="K245" s="3"/>
      <c r="L245" s="3"/>
      <c r="M245" s="3">
        <v>16.59</v>
      </c>
      <c r="N245" s="3">
        <v>16.59</v>
      </c>
      <c r="O245" s="3">
        <v>14.98</v>
      </c>
      <c r="P245" s="3">
        <v>16.59</v>
      </c>
      <c r="Q245" s="3">
        <v>154.63</v>
      </c>
    </row>
    <row r="246" spans="1:17" x14ac:dyDescent="0.35">
      <c r="A246" s="3" t="s">
        <v>94</v>
      </c>
      <c r="B246" s="3">
        <v>3.47</v>
      </c>
      <c r="C246" s="3">
        <v>25.09</v>
      </c>
      <c r="D246" s="3">
        <v>26.04</v>
      </c>
      <c r="E246" s="3">
        <v>0</v>
      </c>
      <c r="F246" s="3">
        <v>0</v>
      </c>
      <c r="G246" s="3">
        <v>20.41</v>
      </c>
      <c r="H246" s="3">
        <v>17.07</v>
      </c>
      <c r="I246" s="3">
        <v>23.11</v>
      </c>
      <c r="J246" s="3">
        <v>22.31</v>
      </c>
      <c r="K246" s="3"/>
      <c r="L246" s="3"/>
      <c r="M246" s="3">
        <v>16.36</v>
      </c>
      <c r="N246" s="3">
        <v>25.96</v>
      </c>
      <c r="O246" s="3">
        <v>23.34</v>
      </c>
      <c r="P246" s="3">
        <v>25.81</v>
      </c>
      <c r="Q246" s="3">
        <v>225.5</v>
      </c>
    </row>
    <row r="247" spans="1:17" x14ac:dyDescent="0.35">
      <c r="A247" s="3" t="s">
        <v>95</v>
      </c>
      <c r="B247" s="3">
        <v>3.47</v>
      </c>
      <c r="C247" s="3">
        <v>46.1</v>
      </c>
      <c r="D247" s="3">
        <v>47.7</v>
      </c>
      <c r="E247" s="3">
        <v>0</v>
      </c>
      <c r="F247" s="3">
        <v>0</v>
      </c>
      <c r="G247" s="3">
        <v>35.380000000000003</v>
      </c>
      <c r="H247" s="3">
        <v>43.74</v>
      </c>
      <c r="I247" s="3">
        <v>32.799999999999997</v>
      </c>
      <c r="J247" s="3">
        <v>31.3</v>
      </c>
      <c r="K247" s="3"/>
      <c r="L247" s="3"/>
      <c r="M247" s="3">
        <v>40.520000000000003</v>
      </c>
      <c r="N247" s="3">
        <v>47.6</v>
      </c>
      <c r="O247" s="3">
        <v>42.77</v>
      </c>
      <c r="P247" s="3">
        <v>47.38</v>
      </c>
      <c r="Q247" s="3">
        <v>415.29</v>
      </c>
    </row>
    <row r="248" spans="1:17" x14ac:dyDescent="0.35">
      <c r="A248" s="3" t="s">
        <v>97</v>
      </c>
      <c r="B248" s="3">
        <v>4.01</v>
      </c>
      <c r="C248" s="3">
        <v>278.54000000000002</v>
      </c>
      <c r="D248" s="3">
        <v>287.83999999999997</v>
      </c>
      <c r="E248" s="3">
        <v>0</v>
      </c>
      <c r="F248" s="3">
        <v>0</v>
      </c>
      <c r="G248" s="3">
        <v>287.83999999999997</v>
      </c>
      <c r="H248" s="3">
        <v>278.54000000000002</v>
      </c>
      <c r="I248" s="3">
        <v>287.83999999999997</v>
      </c>
      <c r="J248" s="3">
        <v>278.54000000000002</v>
      </c>
      <c r="K248" s="3"/>
      <c r="L248" s="3"/>
      <c r="M248" s="3">
        <v>287.83999999999997</v>
      </c>
      <c r="N248" s="3">
        <v>287.83999999999997</v>
      </c>
      <c r="O248" s="3">
        <v>259.94</v>
      </c>
      <c r="P248" s="3">
        <v>287.83999999999997</v>
      </c>
      <c r="Q248" s="3">
        <v>2822.55</v>
      </c>
    </row>
    <row r="249" spans="1:17" x14ac:dyDescent="0.35">
      <c r="A249" s="3" t="s">
        <v>98</v>
      </c>
      <c r="B249" s="3">
        <v>4.04</v>
      </c>
      <c r="C249" s="3">
        <v>426.24</v>
      </c>
      <c r="D249" s="3">
        <v>180.77</v>
      </c>
      <c r="E249" s="3">
        <v>0</v>
      </c>
      <c r="F249" s="3">
        <v>0</v>
      </c>
      <c r="G249" s="3">
        <v>82</v>
      </c>
      <c r="H249" s="3">
        <v>440.45</v>
      </c>
      <c r="I249" s="3">
        <v>440.45</v>
      </c>
      <c r="J249" s="3">
        <v>426.24</v>
      </c>
      <c r="K249" s="3"/>
      <c r="L249" s="3"/>
      <c r="M249" s="3">
        <v>288.58999999999997</v>
      </c>
      <c r="N249" s="3">
        <v>303.06</v>
      </c>
      <c r="O249" s="3">
        <v>426.24</v>
      </c>
      <c r="P249" s="3">
        <v>440.45</v>
      </c>
      <c r="Q249" s="3">
        <v>3454.48</v>
      </c>
    </row>
    <row r="250" spans="1:17" x14ac:dyDescent="0.35">
      <c r="A250" s="3" t="s">
        <v>99</v>
      </c>
      <c r="B250" s="3">
        <v>4.04</v>
      </c>
      <c r="C250" s="3">
        <v>426.24</v>
      </c>
      <c r="D250" s="3">
        <v>180.77</v>
      </c>
      <c r="E250" s="3">
        <v>0</v>
      </c>
      <c r="F250" s="3">
        <v>0</v>
      </c>
      <c r="G250" s="3">
        <v>0</v>
      </c>
      <c r="H250" s="3">
        <v>227</v>
      </c>
      <c r="I250" s="3">
        <v>440.45</v>
      </c>
      <c r="J250" s="3">
        <v>409.41</v>
      </c>
      <c r="K250" s="3"/>
      <c r="L250" s="3"/>
      <c r="M250" s="3">
        <v>288.58999999999997</v>
      </c>
      <c r="N250" s="3">
        <v>303.06</v>
      </c>
      <c r="O250" s="3">
        <v>426.24</v>
      </c>
      <c r="P250" s="3">
        <v>440.45</v>
      </c>
      <c r="Q250" s="3">
        <v>3142.2</v>
      </c>
    </row>
    <row r="251" spans="1:17" x14ac:dyDescent="0.35">
      <c r="A251" s="3" t="s">
        <v>100</v>
      </c>
      <c r="B251" s="3">
        <v>4.08</v>
      </c>
      <c r="C251" s="3">
        <v>58.8</v>
      </c>
      <c r="D251" s="3">
        <v>0</v>
      </c>
      <c r="E251" s="3">
        <v>0</v>
      </c>
      <c r="F251" s="3">
        <v>0</v>
      </c>
      <c r="G251" s="3">
        <v>0</v>
      </c>
      <c r="H251" s="3">
        <v>103.59</v>
      </c>
      <c r="I251" s="3">
        <v>371.77</v>
      </c>
      <c r="J251" s="3">
        <v>0</v>
      </c>
      <c r="K251" s="3"/>
      <c r="L251" s="3"/>
      <c r="M251" s="3">
        <v>0</v>
      </c>
      <c r="N251" s="3">
        <v>0</v>
      </c>
      <c r="O251" s="3">
        <v>335.79</v>
      </c>
      <c r="P251" s="3">
        <v>219.79</v>
      </c>
      <c r="Q251" s="3">
        <v>1089.74</v>
      </c>
    </row>
    <row r="252" spans="1:17" x14ac:dyDescent="0.35">
      <c r="A252" s="3" t="s">
        <v>96</v>
      </c>
      <c r="B252" s="3">
        <v>4.08</v>
      </c>
      <c r="C252" s="3">
        <v>0</v>
      </c>
      <c r="D252" s="3">
        <v>0</v>
      </c>
      <c r="E252" s="3">
        <v>0</v>
      </c>
      <c r="F252" s="3">
        <v>0</v>
      </c>
      <c r="G252" s="3">
        <v>0</v>
      </c>
      <c r="H252" s="3">
        <v>0</v>
      </c>
      <c r="I252" s="3">
        <v>101.88</v>
      </c>
      <c r="J252" s="3">
        <v>0</v>
      </c>
      <c r="K252" s="3"/>
      <c r="L252" s="3"/>
      <c r="M252" s="3">
        <v>0</v>
      </c>
      <c r="N252" s="3">
        <v>0</v>
      </c>
      <c r="O252" s="3">
        <v>93.79</v>
      </c>
      <c r="P252" s="3">
        <v>0</v>
      </c>
      <c r="Q252" s="3">
        <v>195.67</v>
      </c>
    </row>
    <row r="253" spans="1:17" x14ac:dyDescent="0.35">
      <c r="A253" s="3" t="s">
        <v>101</v>
      </c>
      <c r="B253" s="3"/>
      <c r="C253" s="3">
        <v>4930.68</v>
      </c>
      <c r="D253" s="3">
        <v>4772.26</v>
      </c>
      <c r="E253" s="3">
        <v>4326.66</v>
      </c>
      <c r="F253" s="3">
        <v>4571.5200000000004</v>
      </c>
      <c r="G253" s="3">
        <v>5122.9799999999996</v>
      </c>
      <c r="H253" s="3">
        <v>4671.43</v>
      </c>
      <c r="I253" s="3">
        <v>4981.49</v>
      </c>
      <c r="J253" s="3">
        <v>4267.33</v>
      </c>
      <c r="K253" s="3"/>
      <c r="L253" s="3"/>
      <c r="M253" s="3">
        <v>4340.71</v>
      </c>
      <c r="N253" s="3">
        <v>4524.79</v>
      </c>
      <c r="O253" s="3">
        <v>4934.5</v>
      </c>
      <c r="P253" s="3">
        <v>5139.16</v>
      </c>
      <c r="Q253" s="3">
        <v>56583.519999999997</v>
      </c>
    </row>
    <row r="254" spans="1:17" x14ac:dyDescent="0.35">
      <c r="A254" t="s">
        <v>102</v>
      </c>
    </row>
    <row r="256" spans="1:17" x14ac:dyDescent="0.35">
      <c r="A256" s="2" t="s">
        <v>112</v>
      </c>
      <c r="B256" s="2" t="s">
        <v>114</v>
      </c>
      <c r="C256" s="2" t="s">
        <v>113</v>
      </c>
    </row>
    <row r="257" spans="1:7" ht="43.5" x14ac:dyDescent="0.35">
      <c r="A257" s="3" t="s">
        <v>108</v>
      </c>
      <c r="B257" s="4" t="s">
        <v>115</v>
      </c>
      <c r="C257" s="4" t="s">
        <v>117</v>
      </c>
      <c r="D257" s="4" t="s">
        <v>116</v>
      </c>
      <c r="E257" s="4" t="s">
        <v>118</v>
      </c>
      <c r="F257" s="4" t="s">
        <v>119</v>
      </c>
      <c r="G257" s="4" t="s">
        <v>120</v>
      </c>
    </row>
    <row r="258" spans="1:7" x14ac:dyDescent="0.35">
      <c r="A258" s="3" t="s">
        <v>51</v>
      </c>
      <c r="B258" s="3">
        <v>285.33</v>
      </c>
      <c r="C258" s="3">
        <v>0</v>
      </c>
      <c r="D258" s="3">
        <v>188.32</v>
      </c>
      <c r="E258" s="3">
        <v>0</v>
      </c>
      <c r="F258" s="3">
        <v>188.32</v>
      </c>
      <c r="G258" s="3">
        <v>6.6</v>
      </c>
    </row>
    <row r="259" spans="1:7" x14ac:dyDescent="0.35">
      <c r="A259" s="3" t="s">
        <v>52</v>
      </c>
      <c r="B259" s="3">
        <v>56.96</v>
      </c>
      <c r="C259" s="3">
        <v>0</v>
      </c>
      <c r="D259" s="3">
        <v>26.2</v>
      </c>
      <c r="E259" s="3">
        <v>0</v>
      </c>
      <c r="F259" s="3">
        <v>26.2</v>
      </c>
      <c r="G259" s="3">
        <v>4.5999999999999996</v>
      </c>
    </row>
    <row r="260" spans="1:7" x14ac:dyDescent="0.35">
      <c r="A260" s="3" t="s">
        <v>53</v>
      </c>
      <c r="B260" s="3">
        <v>11.76</v>
      </c>
      <c r="C260" s="3">
        <v>0</v>
      </c>
      <c r="D260" s="3">
        <v>7.52</v>
      </c>
      <c r="E260" s="3">
        <v>0</v>
      </c>
      <c r="F260" s="3">
        <v>7.52</v>
      </c>
      <c r="G260" s="3">
        <v>6.39</v>
      </c>
    </row>
    <row r="261" spans="1:7" x14ac:dyDescent="0.35">
      <c r="A261" s="3" t="s">
        <v>54</v>
      </c>
      <c r="B261" s="3">
        <v>6190.56</v>
      </c>
      <c r="C261" s="3">
        <v>0</v>
      </c>
      <c r="D261" s="3">
        <v>2699.08</v>
      </c>
      <c r="E261" s="3">
        <v>0</v>
      </c>
      <c r="F261" s="3">
        <v>2699.08</v>
      </c>
      <c r="G261" s="3">
        <v>4.3600000000000003</v>
      </c>
    </row>
    <row r="262" spans="1:7" x14ac:dyDescent="0.35">
      <c r="A262" s="3" t="s">
        <v>55</v>
      </c>
      <c r="B262" s="3">
        <v>75.59</v>
      </c>
      <c r="C262" s="3">
        <v>0</v>
      </c>
      <c r="D262" s="3">
        <v>24.04</v>
      </c>
      <c r="E262" s="3">
        <v>0</v>
      </c>
      <c r="F262" s="3">
        <v>24.04</v>
      </c>
      <c r="G262" s="3">
        <v>3.18</v>
      </c>
    </row>
    <row r="263" spans="1:7" x14ac:dyDescent="0.35">
      <c r="A263" s="3" t="s">
        <v>56</v>
      </c>
      <c r="B263" s="3">
        <v>5.44</v>
      </c>
      <c r="C263" s="3">
        <v>0</v>
      </c>
      <c r="D263" s="3">
        <v>0.98</v>
      </c>
      <c r="E263" s="3">
        <v>0</v>
      </c>
      <c r="F263" s="3">
        <v>0.98</v>
      </c>
      <c r="G263" s="3">
        <v>1.81</v>
      </c>
    </row>
    <row r="264" spans="1:7" x14ac:dyDescent="0.35">
      <c r="A264" s="3" t="s">
        <v>57</v>
      </c>
      <c r="B264" s="3">
        <v>2708.18</v>
      </c>
      <c r="C264" s="3">
        <v>0</v>
      </c>
      <c r="D264" s="3">
        <v>1463.8</v>
      </c>
      <c r="E264" s="3">
        <v>0</v>
      </c>
      <c r="F264" s="3">
        <v>1463.8</v>
      </c>
      <c r="G264" s="3">
        <v>5.41</v>
      </c>
    </row>
    <row r="265" spans="1:7" x14ac:dyDescent="0.35">
      <c r="A265" s="3" t="s">
        <v>58</v>
      </c>
      <c r="B265" s="3">
        <v>72.3</v>
      </c>
      <c r="C265" s="3">
        <v>0</v>
      </c>
      <c r="D265" s="3">
        <v>15.62</v>
      </c>
      <c r="E265" s="3">
        <v>0</v>
      </c>
      <c r="F265" s="3">
        <v>15.62</v>
      </c>
      <c r="G265" s="3">
        <v>2.16</v>
      </c>
    </row>
    <row r="266" spans="1:7" x14ac:dyDescent="0.35">
      <c r="A266" s="3" t="s">
        <v>59</v>
      </c>
      <c r="B266" s="3">
        <v>260.04000000000002</v>
      </c>
      <c r="C266" s="3">
        <v>0</v>
      </c>
      <c r="D266" s="3">
        <v>81.39</v>
      </c>
      <c r="E266" s="3">
        <v>0</v>
      </c>
      <c r="F266" s="3">
        <v>81.39</v>
      </c>
      <c r="G266" s="3">
        <v>3.13</v>
      </c>
    </row>
    <row r="267" spans="1:7" x14ac:dyDescent="0.35">
      <c r="A267" s="3" t="s">
        <v>109</v>
      </c>
      <c r="B267" s="3">
        <v>260.99</v>
      </c>
      <c r="C267" s="3">
        <v>0</v>
      </c>
      <c r="D267" s="3">
        <v>81.69</v>
      </c>
      <c r="E267" s="3">
        <v>0</v>
      </c>
      <c r="F267" s="3">
        <v>81.69</v>
      </c>
      <c r="G267" s="3">
        <v>3.13</v>
      </c>
    </row>
    <row r="268" spans="1:7" x14ac:dyDescent="0.35">
      <c r="A268" s="3" t="s">
        <v>110</v>
      </c>
      <c r="B268" s="3">
        <v>94.69</v>
      </c>
      <c r="C268" s="3">
        <v>15.67</v>
      </c>
      <c r="D268" s="3">
        <v>0</v>
      </c>
      <c r="E268" s="3">
        <v>0</v>
      </c>
      <c r="F268" s="3">
        <v>15.67</v>
      </c>
      <c r="G268" s="3">
        <v>1.1499999999999999</v>
      </c>
    </row>
    <row r="269" spans="1:7" x14ac:dyDescent="0.35">
      <c r="A269" s="3" t="s">
        <v>79</v>
      </c>
      <c r="B269" s="3">
        <v>41.96</v>
      </c>
      <c r="C269" s="3"/>
      <c r="D269" s="3"/>
      <c r="E269" s="3"/>
      <c r="F269" s="3"/>
      <c r="G269" s="3"/>
    </row>
    <row r="270" spans="1:7" x14ac:dyDescent="0.35">
      <c r="A270" s="3" t="s">
        <v>61</v>
      </c>
      <c r="B270" s="3">
        <v>296.31</v>
      </c>
      <c r="C270" s="3">
        <v>110.89</v>
      </c>
      <c r="D270" s="3">
        <v>0</v>
      </c>
      <c r="E270" s="3">
        <v>0</v>
      </c>
      <c r="F270" s="3">
        <v>110.89</v>
      </c>
      <c r="G270" s="3">
        <v>1.02</v>
      </c>
    </row>
    <row r="271" spans="1:7" x14ac:dyDescent="0.35">
      <c r="A271" s="3" t="s">
        <v>62</v>
      </c>
      <c r="B271" s="3">
        <v>718.71</v>
      </c>
      <c r="C271" s="3"/>
      <c r="D271" s="3"/>
      <c r="E271" s="3"/>
      <c r="F271" s="3"/>
      <c r="G271" s="3"/>
    </row>
    <row r="272" spans="1:7" x14ac:dyDescent="0.35">
      <c r="A272" s="3" t="s">
        <v>111</v>
      </c>
      <c r="B272" s="3">
        <v>68.94</v>
      </c>
      <c r="C272" s="3"/>
      <c r="D272" s="3"/>
      <c r="E272" s="3"/>
      <c r="F272" s="3"/>
      <c r="G272" s="3"/>
    </row>
    <row r="273" spans="1:7" x14ac:dyDescent="0.35">
      <c r="A273" s="3" t="s">
        <v>64</v>
      </c>
      <c r="B273" s="3">
        <v>640.04</v>
      </c>
      <c r="C273" s="3">
        <v>111.02</v>
      </c>
      <c r="D273" s="3">
        <v>0</v>
      </c>
      <c r="E273" s="3">
        <v>0</v>
      </c>
      <c r="F273" s="3">
        <v>111.02</v>
      </c>
      <c r="G273" s="3">
        <v>1.73</v>
      </c>
    </row>
    <row r="274" spans="1:7" x14ac:dyDescent="0.35">
      <c r="A274" s="3" t="s">
        <v>65</v>
      </c>
      <c r="B274" s="3">
        <v>85.54</v>
      </c>
      <c r="C274" s="3">
        <v>11.66</v>
      </c>
      <c r="D274" s="3">
        <v>0</v>
      </c>
      <c r="E274" s="3">
        <v>0</v>
      </c>
      <c r="F274" s="3">
        <v>11.66</v>
      </c>
      <c r="G274" s="3">
        <v>1.36</v>
      </c>
    </row>
    <row r="275" spans="1:7" x14ac:dyDescent="0.35">
      <c r="A275" s="3" t="s">
        <v>66</v>
      </c>
      <c r="B275" s="3">
        <v>4.2</v>
      </c>
      <c r="C275" s="3">
        <v>6.86</v>
      </c>
      <c r="D275" s="3">
        <v>0</v>
      </c>
      <c r="E275" s="3">
        <v>0</v>
      </c>
      <c r="F275" s="3">
        <v>6.86</v>
      </c>
      <c r="G275" s="3">
        <v>16.32</v>
      </c>
    </row>
    <row r="276" spans="1:7" x14ac:dyDescent="0.35">
      <c r="A276" s="3" t="s">
        <v>80</v>
      </c>
      <c r="B276" s="3">
        <v>1.71</v>
      </c>
      <c r="C276" s="3">
        <v>0.51</v>
      </c>
      <c r="D276" s="3">
        <v>0</v>
      </c>
      <c r="E276" s="3">
        <v>0</v>
      </c>
      <c r="F276" s="3">
        <v>0.51</v>
      </c>
      <c r="G276" s="3">
        <v>2.97</v>
      </c>
    </row>
    <row r="277" spans="1:7" x14ac:dyDescent="0.35">
      <c r="A277" s="3" t="s">
        <v>67</v>
      </c>
      <c r="B277" s="3">
        <v>113.88</v>
      </c>
      <c r="C277" s="3">
        <v>31.72</v>
      </c>
      <c r="D277" s="3">
        <v>0</v>
      </c>
      <c r="E277" s="3">
        <v>0</v>
      </c>
      <c r="F277" s="3">
        <v>31.72</v>
      </c>
      <c r="G277" s="3">
        <v>2.79</v>
      </c>
    </row>
    <row r="278" spans="1:7" x14ac:dyDescent="0.35">
      <c r="A278" s="3" t="s">
        <v>68</v>
      </c>
      <c r="B278" s="3">
        <v>955.13</v>
      </c>
      <c r="C278" s="3">
        <v>60.91</v>
      </c>
      <c r="D278" s="3">
        <v>155.69</v>
      </c>
      <c r="E278" s="3">
        <v>3.14</v>
      </c>
      <c r="F278" s="3">
        <v>219.74</v>
      </c>
      <c r="G278" s="3">
        <v>2.2999999999999998</v>
      </c>
    </row>
    <row r="279" spans="1:7" x14ac:dyDescent="0.35">
      <c r="A279" s="3" t="s">
        <v>69</v>
      </c>
      <c r="B279" s="3">
        <v>1128.21</v>
      </c>
      <c r="C279" s="3">
        <v>200.82</v>
      </c>
      <c r="D279" s="3">
        <v>214.36</v>
      </c>
      <c r="E279" s="3">
        <v>0</v>
      </c>
      <c r="F279" s="3">
        <v>415.18</v>
      </c>
      <c r="G279" s="3">
        <v>3.68</v>
      </c>
    </row>
    <row r="280" spans="1:7" x14ac:dyDescent="0.35">
      <c r="A280" s="3" t="s">
        <v>70</v>
      </c>
      <c r="B280" s="3">
        <v>1064.94</v>
      </c>
      <c r="C280" s="3">
        <v>68.849999999999994</v>
      </c>
      <c r="D280" s="3">
        <v>215.12</v>
      </c>
      <c r="E280" s="3">
        <v>2.46</v>
      </c>
      <c r="F280" s="3">
        <v>286.43</v>
      </c>
      <c r="G280" s="3">
        <v>2.69</v>
      </c>
    </row>
    <row r="281" spans="1:7" x14ac:dyDescent="0.35">
      <c r="A281" s="3" t="s">
        <v>71</v>
      </c>
      <c r="B281" s="3">
        <v>1059.79</v>
      </c>
      <c r="C281" s="3">
        <v>165.65</v>
      </c>
      <c r="D281" s="3">
        <v>214.08</v>
      </c>
      <c r="E281" s="3">
        <v>0</v>
      </c>
      <c r="F281" s="3">
        <v>379.73</v>
      </c>
      <c r="G281" s="3">
        <v>3.58</v>
      </c>
    </row>
    <row r="282" spans="1:7" x14ac:dyDescent="0.35">
      <c r="A282" s="3" t="s">
        <v>72</v>
      </c>
      <c r="B282" s="3">
        <v>380.45</v>
      </c>
      <c r="C282" s="3">
        <v>26.72</v>
      </c>
      <c r="D282" s="3">
        <v>79.510000000000005</v>
      </c>
      <c r="E282" s="3">
        <v>1.32</v>
      </c>
      <c r="F282" s="3">
        <v>107.56</v>
      </c>
      <c r="G282" s="3">
        <v>2.83</v>
      </c>
    </row>
    <row r="283" spans="1:7" x14ac:dyDescent="0.35">
      <c r="A283" s="3" t="s">
        <v>73</v>
      </c>
      <c r="B283" s="3">
        <v>65.44</v>
      </c>
      <c r="C283" s="3">
        <v>2.79</v>
      </c>
      <c r="D283" s="3">
        <v>13.68</v>
      </c>
      <c r="E283" s="3">
        <v>0</v>
      </c>
      <c r="F283" s="3">
        <v>16.47</v>
      </c>
      <c r="G283" s="3">
        <v>2.52</v>
      </c>
    </row>
    <row r="284" spans="1:7" x14ac:dyDescent="0.35">
      <c r="A284" s="3" t="s">
        <v>74</v>
      </c>
      <c r="B284" s="3">
        <v>227.76</v>
      </c>
      <c r="C284" s="3">
        <v>17.18</v>
      </c>
      <c r="D284" s="3">
        <v>47.83</v>
      </c>
      <c r="E284" s="3">
        <v>0</v>
      </c>
      <c r="F284" s="3">
        <v>65.010000000000005</v>
      </c>
      <c r="G284" s="3">
        <v>2.85</v>
      </c>
    </row>
    <row r="285" spans="1:7" x14ac:dyDescent="0.35">
      <c r="A285" s="3" t="s">
        <v>75</v>
      </c>
      <c r="B285" s="3">
        <v>1044.6500000000001</v>
      </c>
      <c r="C285" s="3">
        <v>165.54</v>
      </c>
      <c r="D285" s="3">
        <v>221.47</v>
      </c>
      <c r="E285" s="3">
        <v>0</v>
      </c>
      <c r="F285" s="3">
        <v>387.01</v>
      </c>
      <c r="G285" s="3">
        <v>3.7</v>
      </c>
    </row>
    <row r="286" spans="1:7" x14ac:dyDescent="0.35">
      <c r="A286" s="3" t="s">
        <v>76</v>
      </c>
      <c r="B286" s="3">
        <v>1481.04</v>
      </c>
      <c r="C286" s="3">
        <v>97.62</v>
      </c>
      <c r="D286" s="3">
        <v>313.98</v>
      </c>
      <c r="E286" s="3">
        <v>4.1399999999999997</v>
      </c>
      <c r="F286" s="3">
        <v>415.74</v>
      </c>
      <c r="G286" s="3">
        <v>2.81</v>
      </c>
    </row>
    <row r="287" spans="1:7" x14ac:dyDescent="0.35">
      <c r="A287" s="3" t="s">
        <v>81</v>
      </c>
      <c r="B287" s="3">
        <v>347.42</v>
      </c>
      <c r="C287" s="3">
        <v>50.71</v>
      </c>
      <c r="D287" s="3">
        <v>74.349999999999994</v>
      </c>
      <c r="E287" s="3">
        <v>0</v>
      </c>
      <c r="F287" s="3">
        <v>125.06</v>
      </c>
      <c r="G287" s="3">
        <v>3.6</v>
      </c>
    </row>
    <row r="288" spans="1:7" x14ac:dyDescent="0.35">
      <c r="A288" s="3" t="s">
        <v>77</v>
      </c>
      <c r="B288" s="3">
        <v>1704.09</v>
      </c>
      <c r="C288" s="3">
        <v>233.46</v>
      </c>
      <c r="D288" s="3">
        <v>391.94</v>
      </c>
      <c r="E288" s="3">
        <v>0</v>
      </c>
      <c r="F288" s="3">
        <v>625.4</v>
      </c>
      <c r="G288" s="3">
        <v>3.67</v>
      </c>
    </row>
    <row r="289" spans="1:7" x14ac:dyDescent="0.35">
      <c r="A289" s="3" t="s">
        <v>82</v>
      </c>
      <c r="B289" s="3">
        <v>523.92999999999995</v>
      </c>
      <c r="C289" s="3">
        <v>88.39</v>
      </c>
      <c r="D289" s="3">
        <v>121.55</v>
      </c>
      <c r="E289" s="3">
        <v>0</v>
      </c>
      <c r="F289" s="3">
        <v>209.94</v>
      </c>
      <c r="G289" s="3">
        <v>4.01</v>
      </c>
    </row>
    <row r="290" spans="1:7" x14ac:dyDescent="0.35">
      <c r="A290" s="3" t="s">
        <v>83</v>
      </c>
      <c r="B290" s="3">
        <v>1056.76</v>
      </c>
      <c r="C290" s="3">
        <v>138.41</v>
      </c>
      <c r="D290" s="3">
        <v>247.28</v>
      </c>
      <c r="E290" s="3">
        <v>1.86</v>
      </c>
      <c r="F290" s="3">
        <v>387.55</v>
      </c>
      <c r="G290" s="3">
        <v>3.67</v>
      </c>
    </row>
    <row r="291" spans="1:7" x14ac:dyDescent="0.35">
      <c r="A291" s="3" t="s">
        <v>84</v>
      </c>
      <c r="B291" s="3">
        <v>18.27</v>
      </c>
      <c r="C291" s="3">
        <v>0.69</v>
      </c>
      <c r="D291" s="3">
        <v>4.2699999999999996</v>
      </c>
      <c r="E291" s="3">
        <v>0</v>
      </c>
      <c r="F291" s="3">
        <v>4.96</v>
      </c>
      <c r="G291" s="3">
        <v>2.72</v>
      </c>
    </row>
    <row r="292" spans="1:7" x14ac:dyDescent="0.35">
      <c r="A292" s="3" t="s">
        <v>121</v>
      </c>
      <c r="B292" s="3">
        <v>2595.7399999999998</v>
      </c>
      <c r="C292" s="3">
        <v>204.13</v>
      </c>
      <c r="D292" s="3">
        <v>672.3</v>
      </c>
      <c r="E292" s="3">
        <v>3.84</v>
      </c>
      <c r="F292" s="3">
        <v>880.27</v>
      </c>
      <c r="G292" s="3">
        <v>3.39</v>
      </c>
    </row>
    <row r="293" spans="1:7" x14ac:dyDescent="0.35">
      <c r="A293" s="3" t="s">
        <v>122</v>
      </c>
      <c r="B293" s="3">
        <v>1037.82</v>
      </c>
      <c r="C293" s="3">
        <v>150.91</v>
      </c>
      <c r="D293" s="3">
        <v>269.83</v>
      </c>
      <c r="E293" s="3">
        <v>2.73</v>
      </c>
      <c r="F293" s="3">
        <v>423.48</v>
      </c>
      <c r="G293" s="3">
        <v>4.08</v>
      </c>
    </row>
    <row r="294" spans="1:7" x14ac:dyDescent="0.35">
      <c r="A294" s="3" t="s">
        <v>123</v>
      </c>
      <c r="B294" s="3">
        <v>2254.12</v>
      </c>
      <c r="C294" s="3">
        <v>195.8</v>
      </c>
      <c r="D294" s="3">
        <v>586.07000000000005</v>
      </c>
      <c r="E294" s="3">
        <v>0</v>
      </c>
      <c r="F294" s="3">
        <v>781.87</v>
      </c>
      <c r="G294" s="3">
        <v>3.47</v>
      </c>
    </row>
    <row r="295" spans="1:7" x14ac:dyDescent="0.35">
      <c r="A295" s="3" t="s">
        <v>88</v>
      </c>
      <c r="B295" s="3">
        <v>1309.1600000000001</v>
      </c>
      <c r="C295" s="3">
        <v>140.27000000000001</v>
      </c>
      <c r="D295" s="3">
        <v>357.4</v>
      </c>
      <c r="E295" s="3">
        <v>0</v>
      </c>
      <c r="F295" s="3">
        <v>497.67</v>
      </c>
      <c r="G295" s="3">
        <v>3.8</v>
      </c>
    </row>
    <row r="296" spans="1:7" x14ac:dyDescent="0.35">
      <c r="A296" s="3" t="s">
        <v>89</v>
      </c>
      <c r="B296" s="3">
        <v>0</v>
      </c>
      <c r="C296" s="3">
        <v>0</v>
      </c>
      <c r="D296" s="3">
        <v>0</v>
      </c>
      <c r="E296" s="3">
        <v>0</v>
      </c>
      <c r="F296" s="3">
        <v>0</v>
      </c>
      <c r="G296" s="3">
        <v>0</v>
      </c>
    </row>
    <row r="297" spans="1:7" x14ac:dyDescent="0.35">
      <c r="A297" s="3" t="s">
        <v>90</v>
      </c>
      <c r="B297" s="3">
        <v>800.73</v>
      </c>
      <c r="C297" s="3">
        <v>82.27</v>
      </c>
      <c r="D297" s="3">
        <v>244.22</v>
      </c>
      <c r="E297" s="3">
        <v>0</v>
      </c>
      <c r="F297" s="3">
        <v>326.49</v>
      </c>
      <c r="G297" s="3">
        <v>4.08</v>
      </c>
    </row>
    <row r="298" spans="1:7" x14ac:dyDescent="0.35">
      <c r="A298" s="3" t="s">
        <v>91</v>
      </c>
      <c r="B298" s="3">
        <v>753.22</v>
      </c>
      <c r="C298" s="3">
        <v>125.59</v>
      </c>
      <c r="D298" s="3">
        <v>229.73</v>
      </c>
      <c r="E298" s="3">
        <v>0</v>
      </c>
      <c r="F298" s="3">
        <v>355.32</v>
      </c>
      <c r="G298" s="3">
        <v>4.72</v>
      </c>
    </row>
    <row r="299" spans="1:7" x14ac:dyDescent="0.35">
      <c r="A299" s="3" t="s">
        <v>92</v>
      </c>
      <c r="B299" s="3">
        <v>361.58</v>
      </c>
      <c r="C299" s="3">
        <v>83.93</v>
      </c>
      <c r="D299" s="3">
        <v>110.28</v>
      </c>
      <c r="E299" s="3">
        <v>0</v>
      </c>
      <c r="F299" s="3">
        <v>194.21</v>
      </c>
      <c r="G299" s="3">
        <v>5.37</v>
      </c>
    </row>
    <row r="300" spans="1:7" x14ac:dyDescent="0.35">
      <c r="A300" s="3" t="s">
        <v>93</v>
      </c>
      <c r="B300" s="3">
        <v>101.64</v>
      </c>
      <c r="C300" s="3">
        <v>15.4</v>
      </c>
      <c r="D300" s="3">
        <v>31.51</v>
      </c>
      <c r="E300" s="3">
        <v>0</v>
      </c>
      <c r="F300" s="3">
        <v>46.91</v>
      </c>
      <c r="G300" s="3">
        <v>4.62</v>
      </c>
    </row>
    <row r="301" spans="1:7" x14ac:dyDescent="0.35">
      <c r="A301" s="3" t="s">
        <v>94</v>
      </c>
      <c r="B301" s="3">
        <v>148.22999999999999</v>
      </c>
      <c r="C301" s="3">
        <v>14.8</v>
      </c>
      <c r="D301" s="3">
        <v>51.44</v>
      </c>
      <c r="E301" s="3">
        <v>0</v>
      </c>
      <c r="F301" s="3">
        <v>66.239999999999995</v>
      </c>
      <c r="G301" s="3">
        <v>4.47</v>
      </c>
    </row>
    <row r="302" spans="1:7" x14ac:dyDescent="0.35">
      <c r="A302" s="3" t="s">
        <v>95</v>
      </c>
      <c r="B302" s="3">
        <v>272.99</v>
      </c>
      <c r="C302" s="3">
        <v>25.49</v>
      </c>
      <c r="D302" s="3">
        <v>94.73</v>
      </c>
      <c r="E302" s="3">
        <v>0</v>
      </c>
      <c r="F302" s="3">
        <v>120.21</v>
      </c>
      <c r="G302" s="3">
        <v>4.4000000000000004</v>
      </c>
    </row>
    <row r="303" spans="1:7" x14ac:dyDescent="0.35">
      <c r="A303" s="3" t="s">
        <v>124</v>
      </c>
      <c r="B303" s="3">
        <v>1855.38</v>
      </c>
      <c r="C303" s="800">
        <v>743.2</v>
      </c>
      <c r="D303" s="801"/>
      <c r="E303" s="3">
        <v>0</v>
      </c>
      <c r="F303" s="3">
        <v>743.2</v>
      </c>
      <c r="G303" s="3">
        <v>4.01</v>
      </c>
    </row>
    <row r="304" spans="1:7" x14ac:dyDescent="0.35">
      <c r="A304" s="3" t="s">
        <v>130</v>
      </c>
      <c r="B304" s="3">
        <v>2270.77</v>
      </c>
      <c r="C304" s="800">
        <v>916.98</v>
      </c>
      <c r="D304" s="801"/>
      <c r="E304" s="3">
        <v>0</v>
      </c>
      <c r="F304" s="3">
        <v>916.98</v>
      </c>
      <c r="G304" s="3">
        <v>4.04</v>
      </c>
    </row>
    <row r="305" spans="1:7" x14ac:dyDescent="0.35">
      <c r="A305" s="3" t="s">
        <v>131</v>
      </c>
      <c r="B305" s="3">
        <v>2065.5</v>
      </c>
      <c r="C305" s="800">
        <v>834.09</v>
      </c>
      <c r="D305" s="801"/>
      <c r="E305" s="3">
        <v>0</v>
      </c>
      <c r="F305" s="3">
        <v>834.09</v>
      </c>
      <c r="G305" s="3">
        <v>4.04</v>
      </c>
    </row>
    <row r="306" spans="1:7" x14ac:dyDescent="0.35">
      <c r="A306" s="3" t="s">
        <v>125</v>
      </c>
      <c r="B306" s="3">
        <v>716.33</v>
      </c>
      <c r="C306" s="800">
        <v>292.26</v>
      </c>
      <c r="D306" s="801"/>
      <c r="E306" s="3">
        <v>0</v>
      </c>
      <c r="F306" s="3">
        <v>292.26</v>
      </c>
      <c r="G306" s="3">
        <v>4.08</v>
      </c>
    </row>
    <row r="307" spans="1:7" x14ac:dyDescent="0.35">
      <c r="A307" s="3" t="s">
        <v>132</v>
      </c>
      <c r="B307" s="3">
        <v>128.62</v>
      </c>
      <c r="C307" s="3">
        <v>0</v>
      </c>
      <c r="D307" s="3">
        <v>52.48</v>
      </c>
      <c r="E307" s="3">
        <v>0</v>
      </c>
      <c r="F307" s="3">
        <v>52.48</v>
      </c>
      <c r="G307" s="3">
        <v>4.08</v>
      </c>
    </row>
    <row r="308" spans="1:7" x14ac:dyDescent="0.35">
      <c r="A308" s="3" t="s">
        <v>126</v>
      </c>
      <c r="B308" s="3">
        <v>-2903.53</v>
      </c>
      <c r="C308" s="3">
        <v>0</v>
      </c>
      <c r="D308" s="3">
        <v>-1184.6400000000001</v>
      </c>
      <c r="E308" s="3">
        <v>0</v>
      </c>
      <c r="F308" s="3">
        <v>-1184.6400000000001</v>
      </c>
      <c r="G308" s="3">
        <v>4.08</v>
      </c>
    </row>
    <row r="309" spans="1:7" x14ac:dyDescent="0.35">
      <c r="A309" s="3" t="s">
        <v>127</v>
      </c>
      <c r="B309" s="3">
        <v>258.36</v>
      </c>
      <c r="C309" s="3">
        <v>0</v>
      </c>
      <c r="D309" s="3">
        <v>105.41</v>
      </c>
      <c r="E309" s="3">
        <v>0</v>
      </c>
      <c r="F309" s="3">
        <v>105.41</v>
      </c>
      <c r="G309" s="3">
        <v>4.08</v>
      </c>
    </row>
    <row r="310" spans="1:7" x14ac:dyDescent="0.35">
      <c r="A310" s="3" t="s">
        <v>133</v>
      </c>
      <c r="B310" s="3" t="s">
        <v>129</v>
      </c>
      <c r="C310" s="3">
        <v>248.62</v>
      </c>
      <c r="D310" s="3">
        <v>0</v>
      </c>
      <c r="E310" s="3">
        <v>0</v>
      </c>
      <c r="F310" s="3">
        <v>248.62</v>
      </c>
      <c r="G310" s="3" t="s">
        <v>129</v>
      </c>
    </row>
    <row r="311" spans="1:7" x14ac:dyDescent="0.35">
      <c r="A311" s="3" t="s">
        <v>128</v>
      </c>
      <c r="B311" s="3">
        <v>37077.660000000003</v>
      </c>
      <c r="C311" s="3">
        <v>4213.4799999999996</v>
      </c>
      <c r="D311" s="3">
        <v>9990.84</v>
      </c>
      <c r="E311" s="3">
        <v>19.5</v>
      </c>
      <c r="F311" s="3">
        <v>14223.81</v>
      </c>
      <c r="G311" s="3">
        <v>3.84</v>
      </c>
    </row>
    <row r="314" spans="1:7" x14ac:dyDescent="0.35">
      <c r="A314" s="2" t="s">
        <v>134</v>
      </c>
      <c r="B314" s="2" t="s">
        <v>135</v>
      </c>
      <c r="C314" s="2" t="s">
        <v>136</v>
      </c>
    </row>
    <row r="315" spans="1:7" ht="43.5" x14ac:dyDescent="0.35">
      <c r="A315" s="3" t="s">
        <v>108</v>
      </c>
      <c r="B315" s="4" t="s">
        <v>115</v>
      </c>
      <c r="C315" s="4" t="s">
        <v>117</v>
      </c>
      <c r="D315" s="4" t="s">
        <v>116</v>
      </c>
      <c r="E315" s="4" t="s">
        <v>118</v>
      </c>
      <c r="F315" s="4" t="s">
        <v>119</v>
      </c>
      <c r="G315" s="4" t="s">
        <v>120</v>
      </c>
    </row>
    <row r="316" spans="1:7" x14ac:dyDescent="0.35">
      <c r="A316" s="3" t="s">
        <v>51</v>
      </c>
      <c r="B316" s="3">
        <v>53.65</v>
      </c>
      <c r="C316" s="3">
        <v>0</v>
      </c>
      <c r="D316" s="3">
        <v>35.409999999999997</v>
      </c>
      <c r="E316" s="3">
        <v>0</v>
      </c>
      <c r="F316" s="3">
        <v>35.409999999999997</v>
      </c>
      <c r="G316" s="3">
        <v>6.6</v>
      </c>
    </row>
    <row r="317" spans="1:7" x14ac:dyDescent="0.35">
      <c r="A317" s="3" t="s">
        <v>52</v>
      </c>
      <c r="B317" s="3">
        <v>43.41</v>
      </c>
      <c r="C317" s="3">
        <v>0</v>
      </c>
      <c r="D317" s="3">
        <v>19.97</v>
      </c>
      <c r="E317" s="3">
        <v>0</v>
      </c>
      <c r="F317" s="3">
        <v>19.97</v>
      </c>
      <c r="G317" s="3">
        <v>4.5999999999999996</v>
      </c>
    </row>
    <row r="318" spans="1:7" x14ac:dyDescent="0.35">
      <c r="A318" s="3" t="s">
        <v>53</v>
      </c>
      <c r="B318" s="3">
        <v>22.21</v>
      </c>
      <c r="C318" s="3">
        <v>0</v>
      </c>
      <c r="D318" s="3">
        <v>14.19</v>
      </c>
      <c r="E318" s="3">
        <v>0</v>
      </c>
      <c r="F318" s="3">
        <v>14.19</v>
      </c>
      <c r="G318" s="3">
        <v>6.39</v>
      </c>
    </row>
    <row r="319" spans="1:7" x14ac:dyDescent="0.35">
      <c r="A319" s="3" t="s">
        <v>54</v>
      </c>
      <c r="B319" s="3">
        <v>0</v>
      </c>
      <c r="C319" s="3">
        <v>0</v>
      </c>
      <c r="D319" s="3">
        <v>0</v>
      </c>
      <c r="E319" s="3">
        <v>0</v>
      </c>
      <c r="F319" s="3">
        <v>0</v>
      </c>
      <c r="G319" s="3">
        <v>0</v>
      </c>
    </row>
    <row r="320" spans="1:7" x14ac:dyDescent="0.35">
      <c r="A320" s="3" t="s">
        <v>55</v>
      </c>
      <c r="B320" s="3">
        <v>22.43</v>
      </c>
      <c r="C320" s="3">
        <v>0</v>
      </c>
      <c r="D320" s="3">
        <v>7.13</v>
      </c>
      <c r="E320" s="3">
        <v>0</v>
      </c>
      <c r="F320" s="3">
        <v>7.13</v>
      </c>
      <c r="G320" s="3">
        <v>3.18</v>
      </c>
    </row>
    <row r="321" spans="1:7" x14ac:dyDescent="0.35">
      <c r="A321" s="3" t="s">
        <v>56</v>
      </c>
      <c r="B321" s="3">
        <v>5.44</v>
      </c>
      <c r="C321" s="3">
        <v>0</v>
      </c>
      <c r="D321" s="3">
        <v>0.98</v>
      </c>
      <c r="E321" s="3">
        <v>0</v>
      </c>
      <c r="F321" s="3">
        <v>0.98</v>
      </c>
      <c r="G321" s="3">
        <v>1.81</v>
      </c>
    </row>
    <row r="322" spans="1:7" x14ac:dyDescent="0.35">
      <c r="A322" s="3" t="s">
        <v>57</v>
      </c>
      <c r="B322" s="3">
        <v>835.51</v>
      </c>
      <c r="C322" s="3">
        <v>0</v>
      </c>
      <c r="D322" s="3">
        <v>417.9</v>
      </c>
      <c r="E322" s="3">
        <v>0</v>
      </c>
      <c r="F322" s="3">
        <v>417.9</v>
      </c>
      <c r="G322" s="3">
        <v>5</v>
      </c>
    </row>
    <row r="323" spans="1:7" x14ac:dyDescent="0.35">
      <c r="A323" s="3" t="s">
        <v>58</v>
      </c>
      <c r="B323" s="3">
        <v>37.69</v>
      </c>
      <c r="C323" s="3">
        <v>0</v>
      </c>
      <c r="D323" s="3">
        <v>8.14</v>
      </c>
      <c r="E323" s="3">
        <v>0</v>
      </c>
      <c r="F323" s="3">
        <v>8.14</v>
      </c>
      <c r="G323" s="3">
        <v>2.16</v>
      </c>
    </row>
    <row r="324" spans="1:7" x14ac:dyDescent="0.35">
      <c r="A324" s="3" t="s">
        <v>59</v>
      </c>
      <c r="B324" s="3">
        <v>135.55000000000001</v>
      </c>
      <c r="C324" s="3">
        <v>0</v>
      </c>
      <c r="D324" s="3">
        <v>42.43</v>
      </c>
      <c r="E324" s="3">
        <v>0</v>
      </c>
      <c r="F324" s="3">
        <v>42.43</v>
      </c>
      <c r="G324" s="3">
        <v>3.13</v>
      </c>
    </row>
    <row r="325" spans="1:7" x14ac:dyDescent="0.35">
      <c r="A325" s="3" t="s">
        <v>109</v>
      </c>
      <c r="B325" s="3">
        <v>136.05000000000001</v>
      </c>
      <c r="C325" s="3">
        <v>0</v>
      </c>
      <c r="D325" s="3">
        <v>42.58</v>
      </c>
      <c r="E325" s="3">
        <v>0</v>
      </c>
      <c r="F325" s="3">
        <v>42.58</v>
      </c>
      <c r="G325" s="3">
        <v>3.13</v>
      </c>
    </row>
    <row r="326" spans="1:7" x14ac:dyDescent="0.35">
      <c r="A326" s="3" t="s">
        <v>110</v>
      </c>
      <c r="B326" s="3">
        <v>49.36</v>
      </c>
      <c r="C326" s="3">
        <v>8.17</v>
      </c>
      <c r="D326" s="3">
        <v>0</v>
      </c>
      <c r="E326" s="3">
        <v>0</v>
      </c>
      <c r="F326" s="3">
        <v>8.17</v>
      </c>
      <c r="G326" s="3">
        <v>1.1499999999999999</v>
      </c>
    </row>
    <row r="327" spans="1:7" x14ac:dyDescent="0.35">
      <c r="A327" s="3" t="s">
        <v>79</v>
      </c>
      <c r="B327" s="3">
        <v>21.88</v>
      </c>
      <c r="C327" s="3"/>
      <c r="D327" s="3"/>
      <c r="E327" s="3"/>
      <c r="F327" s="3"/>
      <c r="G327" s="3"/>
    </row>
    <row r="328" spans="1:7" x14ac:dyDescent="0.35">
      <c r="A328" s="3" t="s">
        <v>61</v>
      </c>
      <c r="B328" s="3">
        <v>154.46</v>
      </c>
      <c r="C328" s="3">
        <v>57.8</v>
      </c>
      <c r="D328" s="3">
        <v>0</v>
      </c>
      <c r="E328" s="3">
        <v>0</v>
      </c>
      <c r="F328" s="3">
        <v>57.8</v>
      </c>
      <c r="G328" s="3">
        <v>1.02</v>
      </c>
    </row>
    <row r="329" spans="1:7" x14ac:dyDescent="0.35">
      <c r="A329" s="3" t="s">
        <v>62</v>
      </c>
      <c r="B329" s="3">
        <v>374.65</v>
      </c>
      <c r="C329" s="3"/>
      <c r="D329" s="3"/>
      <c r="E329" s="3"/>
      <c r="F329" s="3"/>
      <c r="G329" s="3"/>
    </row>
    <row r="330" spans="1:7" x14ac:dyDescent="0.35">
      <c r="A330" s="3" t="s">
        <v>111</v>
      </c>
      <c r="B330" s="3">
        <v>35.93</v>
      </c>
      <c r="C330" s="3"/>
      <c r="D330" s="3"/>
      <c r="E330" s="3"/>
      <c r="F330" s="3"/>
      <c r="G330" s="3"/>
    </row>
    <row r="331" spans="1:7" x14ac:dyDescent="0.35">
      <c r="A331" s="3" t="s">
        <v>64</v>
      </c>
      <c r="B331" s="3">
        <v>333.64</v>
      </c>
      <c r="C331" s="3">
        <v>57.87</v>
      </c>
      <c r="D331" s="3">
        <v>0</v>
      </c>
      <c r="E331" s="3">
        <v>0</v>
      </c>
      <c r="F331" s="3">
        <v>57.87</v>
      </c>
      <c r="G331" s="3">
        <v>1.73</v>
      </c>
    </row>
    <row r="332" spans="1:7" x14ac:dyDescent="0.35">
      <c r="A332" s="3" t="s">
        <v>65</v>
      </c>
      <c r="B332" s="3">
        <v>44.59</v>
      </c>
      <c r="C332" s="3">
        <v>6.08</v>
      </c>
      <c r="D332" s="3">
        <v>0</v>
      </c>
      <c r="E332" s="3">
        <v>0</v>
      </c>
      <c r="F332" s="3">
        <v>6.08</v>
      </c>
      <c r="G332" s="3">
        <v>1.36</v>
      </c>
    </row>
    <row r="333" spans="1:7" x14ac:dyDescent="0.35">
      <c r="A333" s="3" t="s">
        <v>66</v>
      </c>
      <c r="B333" s="3">
        <v>2.19</v>
      </c>
      <c r="C333" s="3">
        <v>3.58</v>
      </c>
      <c r="D333" s="3">
        <v>0</v>
      </c>
      <c r="E333" s="3">
        <v>0</v>
      </c>
      <c r="F333" s="3">
        <v>3.58</v>
      </c>
      <c r="G333" s="3">
        <v>16.32</v>
      </c>
    </row>
    <row r="334" spans="1:7" x14ac:dyDescent="0.35">
      <c r="A334" s="3" t="s">
        <v>80</v>
      </c>
      <c r="B334" s="3">
        <v>0.89</v>
      </c>
      <c r="C334" s="3">
        <v>0.26</v>
      </c>
      <c r="D334" s="3">
        <v>0</v>
      </c>
      <c r="E334" s="3">
        <v>0</v>
      </c>
      <c r="F334" s="3">
        <v>0.26</v>
      </c>
      <c r="G334" s="3">
        <v>2.97</v>
      </c>
    </row>
    <row r="335" spans="1:7" x14ac:dyDescent="0.35">
      <c r="A335" s="3" t="s">
        <v>67</v>
      </c>
      <c r="B335" s="3">
        <v>59.37</v>
      </c>
      <c r="C335" s="3">
        <v>16.54</v>
      </c>
      <c r="D335" s="3">
        <v>0</v>
      </c>
      <c r="E335" s="3">
        <v>0</v>
      </c>
      <c r="F335" s="3">
        <v>16.54</v>
      </c>
      <c r="G335" s="3">
        <v>2.79</v>
      </c>
    </row>
    <row r="336" spans="1:7" x14ac:dyDescent="0.35">
      <c r="A336" s="3" t="s">
        <v>68</v>
      </c>
      <c r="B336" s="3">
        <v>497.89</v>
      </c>
      <c r="C336" s="3">
        <v>31.75</v>
      </c>
      <c r="D336" s="3">
        <v>81.16</v>
      </c>
      <c r="E336" s="3">
        <v>1.64</v>
      </c>
      <c r="F336" s="3">
        <v>114.54</v>
      </c>
      <c r="G336" s="3">
        <v>2.2999999999999998</v>
      </c>
    </row>
    <row r="337" spans="1:7" x14ac:dyDescent="0.35">
      <c r="A337" s="3" t="s">
        <v>69</v>
      </c>
      <c r="B337" s="3">
        <v>588.11</v>
      </c>
      <c r="C337" s="3">
        <v>104.68</v>
      </c>
      <c r="D337" s="3">
        <v>111.74</v>
      </c>
      <c r="E337" s="3">
        <v>0</v>
      </c>
      <c r="F337" s="3">
        <v>216.43</v>
      </c>
      <c r="G337" s="3">
        <v>3.68</v>
      </c>
    </row>
    <row r="338" spans="1:7" x14ac:dyDescent="0.35">
      <c r="A338" s="3" t="s">
        <v>70</v>
      </c>
      <c r="B338" s="3">
        <v>555.13</v>
      </c>
      <c r="C338" s="3">
        <v>35.89</v>
      </c>
      <c r="D338" s="3">
        <v>112.14</v>
      </c>
      <c r="E338" s="3">
        <v>1.28</v>
      </c>
      <c r="F338" s="3">
        <v>149.31</v>
      </c>
      <c r="G338" s="3">
        <v>2.69</v>
      </c>
    </row>
    <row r="339" spans="1:7" x14ac:dyDescent="0.35">
      <c r="A339" s="3" t="s">
        <v>71</v>
      </c>
      <c r="B339" s="3">
        <v>552.45000000000005</v>
      </c>
      <c r="C339" s="3">
        <v>86.35</v>
      </c>
      <c r="D339" s="3">
        <v>111.59</v>
      </c>
      <c r="E339" s="3">
        <v>0</v>
      </c>
      <c r="F339" s="3">
        <v>197.94</v>
      </c>
      <c r="G339" s="3">
        <v>3.58</v>
      </c>
    </row>
    <row r="340" spans="1:7" x14ac:dyDescent="0.35">
      <c r="A340" s="3" t="s">
        <v>72</v>
      </c>
      <c r="B340" s="3">
        <v>198.32</v>
      </c>
      <c r="C340" s="3">
        <v>13.93</v>
      </c>
      <c r="D340" s="3">
        <v>41.45</v>
      </c>
      <c r="E340" s="3">
        <v>0.69</v>
      </c>
      <c r="F340" s="3">
        <v>56.07</v>
      </c>
      <c r="G340" s="3">
        <v>2.83</v>
      </c>
    </row>
    <row r="341" spans="1:7" x14ac:dyDescent="0.35">
      <c r="A341" s="3" t="s">
        <v>73</v>
      </c>
      <c r="B341" s="3">
        <v>34.11</v>
      </c>
      <c r="C341" s="3">
        <v>1.46</v>
      </c>
      <c r="D341" s="3">
        <v>7.13</v>
      </c>
      <c r="E341" s="3">
        <v>0</v>
      </c>
      <c r="F341" s="3">
        <v>8.59</v>
      </c>
      <c r="G341" s="3">
        <v>2.52</v>
      </c>
    </row>
    <row r="342" spans="1:7" x14ac:dyDescent="0.35">
      <c r="A342" s="3" t="s">
        <v>74</v>
      </c>
      <c r="B342" s="3">
        <v>118.73</v>
      </c>
      <c r="C342" s="3">
        <v>8.9600000000000009</v>
      </c>
      <c r="D342" s="3">
        <v>24.93</v>
      </c>
      <c r="E342" s="3">
        <v>0</v>
      </c>
      <c r="F342" s="3">
        <v>33.89</v>
      </c>
      <c r="G342" s="3">
        <v>2.85</v>
      </c>
    </row>
    <row r="343" spans="1:7" x14ac:dyDescent="0.35">
      <c r="A343" s="3" t="s">
        <v>75</v>
      </c>
      <c r="B343" s="3">
        <v>544.54999999999995</v>
      </c>
      <c r="C343" s="3">
        <v>86.29</v>
      </c>
      <c r="D343" s="3">
        <v>115.45</v>
      </c>
      <c r="E343" s="3">
        <v>0</v>
      </c>
      <c r="F343" s="3">
        <v>201.74</v>
      </c>
      <c r="G343" s="3">
        <v>3.7</v>
      </c>
    </row>
    <row r="344" spans="1:7" x14ac:dyDescent="0.35">
      <c r="A344" s="3" t="s">
        <v>76</v>
      </c>
      <c r="B344" s="3">
        <v>772.04</v>
      </c>
      <c r="C344" s="3">
        <v>50.88</v>
      </c>
      <c r="D344" s="3">
        <v>163.66999999999999</v>
      </c>
      <c r="E344" s="3">
        <v>2.16</v>
      </c>
      <c r="F344" s="3">
        <v>216.72</v>
      </c>
      <c r="G344" s="3">
        <v>2.81</v>
      </c>
    </row>
    <row r="345" spans="1:7" x14ac:dyDescent="0.35">
      <c r="A345" s="3" t="s">
        <v>81</v>
      </c>
      <c r="B345" s="3">
        <v>181.11</v>
      </c>
      <c r="C345" s="3">
        <v>26.43</v>
      </c>
      <c r="D345" s="3">
        <v>38.76</v>
      </c>
      <c r="E345" s="3">
        <v>0</v>
      </c>
      <c r="F345" s="3">
        <v>65.19</v>
      </c>
      <c r="G345" s="3">
        <v>3.6</v>
      </c>
    </row>
    <row r="346" spans="1:7" x14ac:dyDescent="0.35">
      <c r="A346" s="3" t="s">
        <v>77</v>
      </c>
      <c r="B346" s="3">
        <v>888.31</v>
      </c>
      <c r="C346" s="3">
        <v>121.7</v>
      </c>
      <c r="D346" s="3">
        <v>204.31</v>
      </c>
      <c r="E346" s="3">
        <v>0</v>
      </c>
      <c r="F346" s="3">
        <v>326.01</v>
      </c>
      <c r="G346" s="3">
        <v>3.67</v>
      </c>
    </row>
    <row r="347" spans="1:7" x14ac:dyDescent="0.35">
      <c r="A347" s="3" t="s">
        <v>82</v>
      </c>
      <c r="B347" s="3">
        <v>273.11</v>
      </c>
      <c r="C347" s="3">
        <v>46.07</v>
      </c>
      <c r="D347" s="3">
        <v>63.36</v>
      </c>
      <c r="E347" s="3">
        <v>0</v>
      </c>
      <c r="F347" s="3">
        <v>109.44</v>
      </c>
      <c r="G347" s="3">
        <v>4.01</v>
      </c>
    </row>
    <row r="348" spans="1:7" x14ac:dyDescent="0.35">
      <c r="A348" s="3" t="s">
        <v>83</v>
      </c>
      <c r="B348" s="3">
        <v>550.87</v>
      </c>
      <c r="C348" s="3">
        <v>72.150000000000006</v>
      </c>
      <c r="D348" s="3">
        <v>128.9</v>
      </c>
      <c r="E348" s="3">
        <v>0.97</v>
      </c>
      <c r="F348" s="3">
        <v>202.02</v>
      </c>
      <c r="G348" s="3">
        <v>3.67</v>
      </c>
    </row>
    <row r="349" spans="1:7" x14ac:dyDescent="0.35">
      <c r="A349" s="3" t="s">
        <v>84</v>
      </c>
      <c r="B349" s="3">
        <v>9.52</v>
      </c>
      <c r="C349" s="3">
        <v>0.36</v>
      </c>
      <c r="D349" s="3">
        <v>2.23</v>
      </c>
      <c r="E349" s="3">
        <v>0</v>
      </c>
      <c r="F349" s="3">
        <v>2.59</v>
      </c>
      <c r="G349" s="3">
        <v>2.72</v>
      </c>
    </row>
    <row r="350" spans="1:7" x14ac:dyDescent="0.35">
      <c r="A350" s="3" t="s">
        <v>121</v>
      </c>
      <c r="B350" s="3">
        <v>1353.11</v>
      </c>
      <c r="C350" s="3">
        <v>106.41</v>
      </c>
      <c r="D350" s="3">
        <v>350.45</v>
      </c>
      <c r="E350" s="3">
        <v>2</v>
      </c>
      <c r="F350" s="3">
        <v>458.87</v>
      </c>
      <c r="G350" s="3">
        <v>3.39</v>
      </c>
    </row>
    <row r="351" spans="1:7" x14ac:dyDescent="0.35">
      <c r="A351" s="3" t="s">
        <v>122</v>
      </c>
      <c r="B351" s="3">
        <v>541</v>
      </c>
      <c r="C351" s="3">
        <v>78.67</v>
      </c>
      <c r="D351" s="3">
        <v>140.66</v>
      </c>
      <c r="E351" s="3">
        <v>1.43</v>
      </c>
      <c r="F351" s="3">
        <v>220.75</v>
      </c>
      <c r="G351" s="3">
        <v>4.08</v>
      </c>
    </row>
    <row r="352" spans="1:7" x14ac:dyDescent="0.35">
      <c r="A352" s="3" t="s">
        <v>123</v>
      </c>
      <c r="B352" s="3">
        <v>1175.03</v>
      </c>
      <c r="C352" s="3">
        <v>102.07</v>
      </c>
      <c r="D352" s="3">
        <v>305.51</v>
      </c>
      <c r="E352" s="3">
        <v>0</v>
      </c>
      <c r="F352" s="3">
        <v>407.57</v>
      </c>
      <c r="G352" s="3">
        <v>3.47</v>
      </c>
    </row>
    <row r="353" spans="1:7" x14ac:dyDescent="0.35">
      <c r="A353" s="3" t="s">
        <v>88</v>
      </c>
      <c r="B353" s="3">
        <v>682.44</v>
      </c>
      <c r="C353" s="3">
        <v>73.12</v>
      </c>
      <c r="D353" s="3">
        <v>186.31</v>
      </c>
      <c r="E353" s="3">
        <v>0</v>
      </c>
      <c r="F353" s="3">
        <v>259.42</v>
      </c>
      <c r="G353" s="3">
        <v>3.8</v>
      </c>
    </row>
    <row r="354" spans="1:7" x14ac:dyDescent="0.35">
      <c r="A354" s="3" t="s">
        <v>89</v>
      </c>
      <c r="B354" s="3">
        <v>36.85</v>
      </c>
      <c r="C354" s="3">
        <v>3</v>
      </c>
      <c r="D354" s="3">
        <v>10.81</v>
      </c>
      <c r="E354" s="3">
        <v>0</v>
      </c>
      <c r="F354" s="3">
        <v>13.81</v>
      </c>
      <c r="G354" s="3">
        <v>3.75</v>
      </c>
    </row>
    <row r="355" spans="1:7" x14ac:dyDescent="0.35">
      <c r="A355" s="3" t="s">
        <v>90</v>
      </c>
      <c r="B355" s="3">
        <v>417.4</v>
      </c>
      <c r="C355" s="3">
        <v>42.88</v>
      </c>
      <c r="D355" s="3">
        <v>127.31</v>
      </c>
      <c r="E355" s="3">
        <v>0</v>
      </c>
      <c r="F355" s="3">
        <v>170.19</v>
      </c>
      <c r="G355" s="3">
        <v>4.08</v>
      </c>
    </row>
    <row r="356" spans="1:7" x14ac:dyDescent="0.35">
      <c r="A356" s="3" t="s">
        <v>91</v>
      </c>
      <c r="B356" s="3">
        <v>392.64</v>
      </c>
      <c r="C356" s="3">
        <v>65.47</v>
      </c>
      <c r="D356" s="3">
        <v>119.76</v>
      </c>
      <c r="E356" s="3">
        <v>0</v>
      </c>
      <c r="F356" s="3">
        <v>185.22</v>
      </c>
      <c r="G356" s="3">
        <v>4.72</v>
      </c>
    </row>
    <row r="357" spans="1:7" x14ac:dyDescent="0.35">
      <c r="A357" s="3" t="s">
        <v>92</v>
      </c>
      <c r="B357" s="3">
        <v>188.49</v>
      </c>
      <c r="C357" s="3">
        <v>43.75</v>
      </c>
      <c r="D357" s="3">
        <v>57.49</v>
      </c>
      <c r="E357" s="3">
        <v>0</v>
      </c>
      <c r="F357" s="3">
        <v>101.24</v>
      </c>
      <c r="G357" s="3">
        <v>5.37</v>
      </c>
    </row>
    <row r="358" spans="1:7" x14ac:dyDescent="0.35">
      <c r="A358" s="3" t="s">
        <v>93</v>
      </c>
      <c r="B358" s="3">
        <v>52.98</v>
      </c>
      <c r="C358" s="3">
        <v>8.0299999999999994</v>
      </c>
      <c r="D358" s="3">
        <v>16.43</v>
      </c>
      <c r="E358" s="3">
        <v>0</v>
      </c>
      <c r="F358" s="3">
        <v>24.45</v>
      </c>
      <c r="G358" s="3">
        <v>4.62</v>
      </c>
    </row>
    <row r="359" spans="1:7" x14ac:dyDescent="0.35">
      <c r="A359" s="3" t="s">
        <v>94</v>
      </c>
      <c r="B359" s="3">
        <v>77.27</v>
      </c>
      <c r="C359" s="3">
        <v>7.72</v>
      </c>
      <c r="D359" s="3">
        <v>26.81</v>
      </c>
      <c r="E359" s="3">
        <v>0</v>
      </c>
      <c r="F359" s="3">
        <v>34.53</v>
      </c>
      <c r="G359" s="3">
        <v>4.47</v>
      </c>
    </row>
    <row r="360" spans="1:7" x14ac:dyDescent="0.35">
      <c r="A360" s="3" t="s">
        <v>95</v>
      </c>
      <c r="B360" s="3">
        <v>142.30000000000001</v>
      </c>
      <c r="C360" s="3">
        <v>13.28</v>
      </c>
      <c r="D360" s="3">
        <v>49.38</v>
      </c>
      <c r="E360" s="3">
        <v>0</v>
      </c>
      <c r="F360" s="3">
        <v>62.66</v>
      </c>
      <c r="G360" s="3">
        <v>4.4000000000000004</v>
      </c>
    </row>
    <row r="361" spans="1:7" x14ac:dyDescent="0.35">
      <c r="A361" s="3" t="s">
        <v>124</v>
      </c>
      <c r="B361" s="3">
        <v>967.17</v>
      </c>
      <c r="C361" s="800">
        <v>387.41</v>
      </c>
      <c r="D361" s="801"/>
      <c r="E361" s="3">
        <v>0</v>
      </c>
      <c r="F361" s="3">
        <v>387.41</v>
      </c>
      <c r="G361" s="3">
        <v>4.01</v>
      </c>
    </row>
    <row r="362" spans="1:7" x14ac:dyDescent="0.35">
      <c r="A362" s="3" t="s">
        <v>130</v>
      </c>
      <c r="B362" s="3">
        <v>1183.71</v>
      </c>
      <c r="C362" s="800">
        <v>478</v>
      </c>
      <c r="D362" s="801"/>
      <c r="E362" s="3">
        <v>0</v>
      </c>
      <c r="F362" s="3">
        <v>478</v>
      </c>
      <c r="G362" s="3">
        <v>4.04</v>
      </c>
    </row>
    <row r="363" spans="1:7" x14ac:dyDescent="0.35">
      <c r="A363" s="3" t="s">
        <v>131</v>
      </c>
      <c r="B363" s="3">
        <v>1076.7</v>
      </c>
      <c r="C363" s="800">
        <v>434.79</v>
      </c>
      <c r="D363" s="801"/>
      <c r="E363" s="3">
        <v>0</v>
      </c>
      <c r="F363" s="3">
        <v>434.79</v>
      </c>
      <c r="G363" s="3">
        <v>4.04</v>
      </c>
    </row>
    <row r="364" spans="1:7" x14ac:dyDescent="0.35">
      <c r="A364" s="3" t="s">
        <v>125</v>
      </c>
      <c r="B364" s="3">
        <v>373.41</v>
      </c>
      <c r="C364" s="800">
        <v>152.35</v>
      </c>
      <c r="D364" s="801"/>
      <c r="E364" s="3">
        <v>0</v>
      </c>
      <c r="F364" s="3">
        <v>152.35</v>
      </c>
      <c r="G364" s="3">
        <v>4.08</v>
      </c>
    </row>
    <row r="365" spans="1:7" x14ac:dyDescent="0.35">
      <c r="A365" s="3" t="s">
        <v>132</v>
      </c>
      <c r="B365" s="3">
        <v>67.05</v>
      </c>
      <c r="C365" s="3">
        <v>0</v>
      </c>
      <c r="D365" s="3">
        <v>27.36</v>
      </c>
      <c r="E365" s="3">
        <v>0</v>
      </c>
      <c r="F365" s="3">
        <v>27.36</v>
      </c>
      <c r="G365" s="3">
        <v>4.08</v>
      </c>
    </row>
    <row r="366" spans="1:7" x14ac:dyDescent="0.35">
      <c r="A366" s="3" t="s">
        <v>126</v>
      </c>
      <c r="B366" s="3">
        <v>-258.36</v>
      </c>
      <c r="C366" s="3">
        <v>0</v>
      </c>
      <c r="D366" s="3">
        <v>-105.41</v>
      </c>
      <c r="E366" s="3">
        <v>0</v>
      </c>
      <c r="F366" s="3">
        <v>-105.41</v>
      </c>
      <c r="G366" s="3">
        <v>4.08</v>
      </c>
    </row>
    <row r="367" spans="1:7" x14ac:dyDescent="0.35">
      <c r="A367" s="3" t="s">
        <v>127</v>
      </c>
      <c r="B367" s="3">
        <v>2903.53</v>
      </c>
      <c r="C367" s="3">
        <v>0</v>
      </c>
      <c r="D367" s="3">
        <v>1184.6400000000001</v>
      </c>
      <c r="E367" s="3">
        <v>0</v>
      </c>
      <c r="F367" s="3">
        <v>1184.6400000000001</v>
      </c>
      <c r="G367" s="3">
        <v>4.08</v>
      </c>
    </row>
    <row r="368" spans="1:7" x14ac:dyDescent="0.35">
      <c r="A368" s="3" t="s">
        <v>133</v>
      </c>
      <c r="B368" s="3" t="s">
        <v>129</v>
      </c>
      <c r="C368" s="3">
        <v>129.6</v>
      </c>
      <c r="D368" s="3">
        <v>0</v>
      </c>
      <c r="E368" s="3">
        <v>0</v>
      </c>
      <c r="F368" s="3">
        <v>129.6</v>
      </c>
      <c r="G368" s="3" t="s">
        <v>129</v>
      </c>
    </row>
    <row r="369" spans="1:7" x14ac:dyDescent="0.35">
      <c r="A369" s="3" t="s">
        <v>128</v>
      </c>
      <c r="B369" s="3">
        <v>19505.86</v>
      </c>
      <c r="C369" s="3">
        <v>2199.4</v>
      </c>
      <c r="D369" s="3">
        <v>5057.41</v>
      </c>
      <c r="E369" s="3">
        <v>10.16</v>
      </c>
      <c r="F369" s="3">
        <v>7266.98</v>
      </c>
      <c r="G369" s="3">
        <v>3.73</v>
      </c>
    </row>
  </sheetData>
  <mergeCells count="18">
    <mergeCell ref="C361:D361"/>
    <mergeCell ref="C362:D362"/>
    <mergeCell ref="C363:D363"/>
    <mergeCell ref="C364:D364"/>
    <mergeCell ref="C303:D303"/>
    <mergeCell ref="C304:D304"/>
    <mergeCell ref="C305:D305"/>
    <mergeCell ref="C306:D306"/>
    <mergeCell ref="D156:D157"/>
    <mergeCell ref="F156:F157"/>
    <mergeCell ref="G156:G157"/>
    <mergeCell ref="C158:C160"/>
    <mergeCell ref="D158:D160"/>
    <mergeCell ref="E158:E160"/>
    <mergeCell ref="F158:F160"/>
    <mergeCell ref="G158:G160"/>
    <mergeCell ref="C156:C157"/>
    <mergeCell ref="E156:E157"/>
  </mergeCells>
  <hyperlinks>
    <hyperlink ref="S167" r:id="rId1"/>
  </hyperlinks>
  <pageMargins left="0.7" right="0.7" top="0.75" bottom="0.75" header="0.3" footer="0.3"/>
  <pageSetup orientation="portrait"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96"/>
  <sheetViews>
    <sheetView zoomScaleNormal="100" workbookViewId="0"/>
  </sheetViews>
  <sheetFormatPr defaultColWidth="8.7265625" defaultRowHeight="13" x14ac:dyDescent="0.3"/>
  <cols>
    <col min="1" max="1" width="12.453125" style="94" bestFit="1" customWidth="1"/>
    <col min="2" max="4" width="20" style="93" customWidth="1"/>
    <col min="5" max="5" width="15.26953125" style="93" customWidth="1"/>
    <col min="6" max="6" width="12.26953125" style="93" customWidth="1"/>
    <col min="7" max="7" width="11.54296875" style="93" customWidth="1"/>
    <col min="8" max="8" width="22.26953125" style="93" customWidth="1"/>
    <col min="9" max="9" width="12.26953125" style="93" customWidth="1"/>
    <col min="10" max="11" width="22.7265625" style="93" customWidth="1"/>
    <col min="12" max="12" width="27.7265625" style="93" customWidth="1"/>
    <col min="13" max="13" width="13.26953125" style="93" customWidth="1"/>
    <col min="14" max="14" width="25.26953125" style="93" customWidth="1"/>
    <col min="15" max="15" width="26.26953125" style="93" customWidth="1"/>
    <col min="16" max="16384" width="8.7265625" style="94"/>
  </cols>
  <sheetData>
    <row r="1" spans="1:22" s="93" customFormat="1" ht="14.5" x14ac:dyDescent="0.35">
      <c r="A1" s="46" t="s">
        <v>157</v>
      </c>
      <c r="B1" s="46" t="s">
        <v>180</v>
      </c>
      <c r="C1" s="46" t="s">
        <v>146</v>
      </c>
      <c r="D1" s="46" t="s">
        <v>703</v>
      </c>
      <c r="E1" s="46" t="s">
        <v>738</v>
      </c>
      <c r="F1" s="46" t="s">
        <v>737</v>
      </c>
      <c r="G1" s="46" t="s">
        <v>182</v>
      </c>
      <c r="H1" s="46" t="s">
        <v>142</v>
      </c>
      <c r="U1" s="94"/>
      <c r="V1" s="94"/>
    </row>
    <row r="2" spans="1:22" s="93" customFormat="1" x14ac:dyDescent="0.3">
      <c r="A2" s="95" t="s">
        <v>143</v>
      </c>
      <c r="B2" s="95" t="s">
        <v>739</v>
      </c>
      <c r="C2" s="97">
        <f>SUMIF($C$22:$C$89,$A2,$F$22:$F$89)</f>
        <v>14174.838259999999</v>
      </c>
      <c r="D2" s="97">
        <f>SUMIF($C$22:$C$89,$A2,$G$22:$G$89)</f>
        <v>90510.051463539698</v>
      </c>
      <c r="E2" s="97">
        <f>SUMIF($C$22:$C$89,$A2,$H$22:$H$89)</f>
        <v>11495.594783999999</v>
      </c>
      <c r="F2" s="97">
        <f>SUMIF($C$22:$C$89,$A2,$J$22:$J$89)</f>
        <v>20840.251270319033</v>
      </c>
      <c r="G2" s="96">
        <f>$E2/$C2*10^7/10^3</f>
        <v>8109.8595787434397</v>
      </c>
      <c r="H2" s="96">
        <f>$F2/$D2*10</f>
        <v>2.3025344625634361</v>
      </c>
      <c r="K2" s="727"/>
      <c r="L2" s="727"/>
      <c r="U2" s="94"/>
      <c r="V2" s="94"/>
    </row>
    <row r="3" spans="1:22" s="93" customFormat="1" x14ac:dyDescent="0.3">
      <c r="A3" s="95" t="s">
        <v>144</v>
      </c>
      <c r="B3" s="95" t="s">
        <v>739</v>
      </c>
      <c r="C3" s="97">
        <f>SUMIF($C$22:$C$89,$A3,$F$22:$F$89)</f>
        <v>8136.5403999999999</v>
      </c>
      <c r="D3" s="97">
        <f>SUMIF($C$22:$C$89,$A3,$G$22:$G$89)</f>
        <v>47769.141020072057</v>
      </c>
      <c r="E3" s="97">
        <f>SUMIF($C$22:$C$89,$A3,$H$22:$H$89)</f>
        <v>7559.0094786000009</v>
      </c>
      <c r="F3" s="97">
        <f>SUMIF($C$22:$C$89,$A3,$J$22:$J$89)</f>
        <v>9355.1122880556995</v>
      </c>
      <c r="G3" s="96">
        <f>$E3/$C3*10^7/10^3</f>
        <v>9290.2008802168548</v>
      </c>
      <c r="H3" s="96">
        <f>$F3/$D3*10</f>
        <v>1.9584007767953766</v>
      </c>
      <c r="K3" s="727"/>
      <c r="L3" s="727"/>
      <c r="U3" s="94"/>
      <c r="V3" s="94"/>
    </row>
    <row r="4" spans="1:22" s="93" customFormat="1" x14ac:dyDescent="0.3">
      <c r="A4" s="95" t="s">
        <v>1612</v>
      </c>
      <c r="B4" s="95" t="s">
        <v>739</v>
      </c>
      <c r="C4" s="97">
        <f>C2+C3</f>
        <v>22311.378659999998</v>
      </c>
      <c r="D4" s="97">
        <f>D2+D3</f>
        <v>138279.19248361175</v>
      </c>
      <c r="E4" s="97">
        <f>E2+E3</f>
        <v>19054.604262599998</v>
      </c>
      <c r="F4" s="97">
        <f>F2+F3</f>
        <v>30195.363558374731</v>
      </c>
      <c r="G4" s="96">
        <f>$E4/$C4*10^7/10^3</f>
        <v>8540.3078639695304</v>
      </c>
      <c r="H4" s="96">
        <f>$F4/$D4*10</f>
        <v>2.1836520025927513</v>
      </c>
      <c r="K4" s="727"/>
      <c r="L4" s="727"/>
      <c r="U4" s="94"/>
      <c r="V4" s="94"/>
    </row>
    <row r="5" spans="1:22" s="93" customFormat="1" x14ac:dyDescent="0.3">
      <c r="A5" s="95" t="s">
        <v>1613</v>
      </c>
      <c r="B5" s="95" t="s">
        <v>739</v>
      </c>
      <c r="C5" s="97">
        <f>SUMIF($C$22:$C$89,$A5,$F$22:$F$89)</f>
        <v>1756.69543817</v>
      </c>
      <c r="D5" s="97">
        <f>SUMIF($C$22:$C$89,$A5,$G$22:$G$89)</f>
        <v>7403.1481767984742</v>
      </c>
      <c r="E5" s="97">
        <f>SUMIF($C$22:$C$89,$A5,$H$22:$H$89)</f>
        <v>773</v>
      </c>
      <c r="F5" s="97">
        <f>SUMIF($C$22:$C$89,$A5,$J$22:$J$89)</f>
        <v>1554.2620852181412</v>
      </c>
      <c r="G5" s="96">
        <f>$E5/$C5*10^7/10^3</f>
        <v>4400.3074363604892</v>
      </c>
      <c r="H5" s="96">
        <f>$F5/$D5*10</f>
        <v>2.0994609969974816</v>
      </c>
      <c r="K5" s="727"/>
      <c r="L5" s="727"/>
      <c r="U5" s="94"/>
      <c r="V5" s="94"/>
    </row>
    <row r="6" spans="1:22" s="93" customFormat="1" x14ac:dyDescent="0.3">
      <c r="A6" s="95" t="s">
        <v>1614</v>
      </c>
      <c r="B6" s="95" t="s">
        <v>739</v>
      </c>
      <c r="C6" s="97">
        <f>SUMIF($C$22:$C$89,$A6,$F$22:$F$89)</f>
        <v>0</v>
      </c>
      <c r="D6" s="97">
        <f>SUMIF($C$22:$C$89,$A6,$G$22:$G$89)</f>
        <v>0</v>
      </c>
      <c r="E6" s="97">
        <f>SUMIF($C$22:$C$89,$A6,$H$22:$H$89)</f>
        <v>0</v>
      </c>
      <c r="F6" s="97">
        <f>SUMIF($C$22:$C$89,$A6,$J$22:$J$89)</f>
        <v>0</v>
      </c>
      <c r="G6" s="96">
        <v>0</v>
      </c>
      <c r="H6" s="96">
        <v>0</v>
      </c>
      <c r="K6" s="727"/>
      <c r="L6" s="727"/>
      <c r="U6" s="94"/>
      <c r="V6" s="94"/>
    </row>
    <row r="7" spans="1:22" s="93" customFormat="1" x14ac:dyDescent="0.3">
      <c r="A7" s="95" t="s">
        <v>1615</v>
      </c>
      <c r="B7" s="95" t="s">
        <v>739</v>
      </c>
      <c r="C7" s="97">
        <f>SUMIF($C$22:$C$89,$A7,$F$22:$F$89)</f>
        <v>765.26520000000005</v>
      </c>
      <c r="D7" s="97">
        <f>SUMIF($C$22:$C$89,$A7,$G$22:$G$89)</f>
        <v>5380.2434234880002</v>
      </c>
      <c r="E7" s="97">
        <f>SUMIF($C$22:$C$89,$A7,$H$22:$H$89)</f>
        <v>0</v>
      </c>
      <c r="F7" s="97">
        <f>SUMIF($C$22:$C$89,$A7,$J$22:$J$89)</f>
        <v>1377.9676681911469</v>
      </c>
      <c r="G7" s="96">
        <f>$E7/$C7*10^7/10^3</f>
        <v>0</v>
      </c>
      <c r="H7" s="96">
        <f>$F7/$D7*10</f>
        <v>2.5611623113100954</v>
      </c>
      <c r="K7" s="727"/>
      <c r="L7" s="727"/>
      <c r="U7" s="94"/>
      <c r="V7" s="94"/>
    </row>
    <row r="8" spans="1:22" s="93" customFormat="1" x14ac:dyDescent="0.3">
      <c r="A8" s="95" t="s">
        <v>1604</v>
      </c>
      <c r="B8" s="95" t="s">
        <v>739</v>
      </c>
      <c r="C8" s="97">
        <f>SUMIF($C$22:$C$89,$A8,$F$22:$F$89)</f>
        <v>3522.5</v>
      </c>
      <c r="D8" s="97">
        <f>SUMIF($C$22:$C$89,$A8,$G$22:$G$89)</f>
        <v>6266.2231359999996</v>
      </c>
      <c r="E8" s="97">
        <f>SUMIF($C$22:$C$89,$A8,$H$22:$H$89)</f>
        <v>345.23</v>
      </c>
      <c r="F8" s="97">
        <f>SUMIF($C$22:$C$89,$A8,$J$22:$J$89)</f>
        <v>535.91204119791769</v>
      </c>
      <c r="G8" s="96">
        <f>$E8/$C8*10^7/10^3</f>
        <v>980.07097232079491</v>
      </c>
      <c r="H8" s="96">
        <f>$F8/$D8*10</f>
        <v>0.8552393197092778</v>
      </c>
      <c r="K8" s="727"/>
      <c r="L8" s="727"/>
      <c r="U8" s="94"/>
      <c r="V8" s="94"/>
    </row>
    <row r="9" spans="1:22" s="93" customFormat="1" x14ac:dyDescent="0.3">
      <c r="A9" s="95" t="s">
        <v>1603</v>
      </c>
      <c r="B9" s="95" t="s">
        <v>739</v>
      </c>
      <c r="C9" s="97">
        <v>141.80000000000001</v>
      </c>
      <c r="D9" s="97">
        <v>543.91999999999996</v>
      </c>
      <c r="E9" s="97">
        <f>C9*G9/10^4</f>
        <v>11.953740000000002</v>
      </c>
      <c r="F9" s="97">
        <f>SUMIF($C$22:$C$89,$A9,$J$22:$J$89)</f>
        <v>0</v>
      </c>
      <c r="G9" s="96">
        <v>843</v>
      </c>
      <c r="H9" s="96">
        <f>$F9/$D9*10</f>
        <v>0</v>
      </c>
      <c r="K9" s="727"/>
      <c r="L9" s="727"/>
      <c r="U9" s="94"/>
      <c r="V9" s="94"/>
    </row>
    <row r="10" spans="1:22" s="93" customFormat="1" x14ac:dyDescent="0.3">
      <c r="A10" s="95" t="s">
        <v>1605</v>
      </c>
      <c r="B10" s="95" t="s">
        <v>739</v>
      </c>
      <c r="C10" s="97">
        <f>C93</f>
        <v>2300</v>
      </c>
      <c r="D10" s="97">
        <f>E93</f>
        <v>7495.0559999999996</v>
      </c>
      <c r="E10" s="97">
        <v>0</v>
      </c>
      <c r="F10" s="97">
        <f>G93</f>
        <v>4317.1522559999994</v>
      </c>
      <c r="G10" s="96">
        <v>0</v>
      </c>
      <c r="H10" s="96">
        <f>$F10/$D10*10</f>
        <v>5.76</v>
      </c>
      <c r="K10" s="727"/>
      <c r="L10" s="727"/>
      <c r="U10" s="94"/>
      <c r="V10" s="94"/>
    </row>
    <row r="11" spans="1:22" s="93" customFormat="1" x14ac:dyDescent="0.3">
      <c r="A11" s="95" t="s">
        <v>1636</v>
      </c>
      <c r="B11" s="95" t="s">
        <v>739</v>
      </c>
      <c r="C11" s="97">
        <f>SUMIF($C$22:$C$89,$A11,$F$22:$F$89)</f>
        <v>2395</v>
      </c>
      <c r="D11" s="97">
        <f>SUMIF($C$22:$C$89,$A11,$G$22:$G$89)</f>
        <v>3115.6458263302666</v>
      </c>
      <c r="E11" s="97">
        <f>SUMIF($C$22:$C$89,$A11,$H$22:$H$89)</f>
        <v>0</v>
      </c>
      <c r="F11" s="97">
        <f>SUMIF($C$22:$C$89,$A11,$J$22:$J$89)</f>
        <v>1361.5372261063264</v>
      </c>
      <c r="G11" s="96">
        <f>$E11/$C11*10^7/10^3</f>
        <v>0</v>
      </c>
      <c r="H11" s="96">
        <f>$F11/$D11*10</f>
        <v>4.37</v>
      </c>
      <c r="K11" s="727"/>
      <c r="L11" s="727"/>
      <c r="U11" s="94"/>
      <c r="V11" s="94"/>
    </row>
    <row r="12" spans="1:22" s="93" customFormat="1" x14ac:dyDescent="0.3">
      <c r="A12" s="95" t="s">
        <v>145</v>
      </c>
      <c r="B12" s="95" t="s">
        <v>739</v>
      </c>
      <c r="C12" s="97">
        <f>SUMIF($C$22:$C$89,$A12,$F$22:$F$89)</f>
        <v>0</v>
      </c>
      <c r="D12" s="97">
        <f>SUMIF($C$22:$C$89,$A12,$G$22:$G$89)</f>
        <v>0</v>
      </c>
      <c r="E12" s="97">
        <f>SUMIF($C$22:$C$89,$A12,$H$22:$H$89)</f>
        <v>0</v>
      </c>
      <c r="F12" s="97">
        <f>SUMIF($C$22:$C$89,$A12,$J$22:$J$89)</f>
        <v>0</v>
      </c>
      <c r="G12" s="96">
        <v>0</v>
      </c>
      <c r="H12" s="96">
        <v>0</v>
      </c>
      <c r="K12" s="727"/>
      <c r="L12" s="727"/>
      <c r="U12" s="94"/>
      <c r="V12" s="94"/>
    </row>
    <row r="13" spans="1:22" s="93" customFormat="1" x14ac:dyDescent="0.3">
      <c r="A13" s="95" t="s">
        <v>1606</v>
      </c>
      <c r="B13" s="95" t="s">
        <v>739</v>
      </c>
      <c r="C13" s="97">
        <f>C96</f>
        <v>3835</v>
      </c>
      <c r="D13" s="97">
        <f>E96</f>
        <v>5544.9445809645604</v>
      </c>
      <c r="E13" s="97">
        <v>0</v>
      </c>
      <c r="F13" s="97">
        <f>G96</f>
        <v>2830.0885552832151</v>
      </c>
      <c r="G13" s="96">
        <f>$E13/$C13*10^7/10^3</f>
        <v>0</v>
      </c>
      <c r="H13" s="96">
        <f>$F13/$D13*10</f>
        <v>5.1039077378676208</v>
      </c>
      <c r="K13" s="727"/>
      <c r="L13" s="727"/>
      <c r="U13" s="94"/>
      <c r="V13" s="94"/>
    </row>
    <row r="14" spans="1:22" s="93" customFormat="1" x14ac:dyDescent="0.3">
      <c r="A14" s="94"/>
      <c r="B14" s="94"/>
      <c r="C14" s="94"/>
      <c r="P14" s="94"/>
      <c r="Q14" s="94"/>
      <c r="R14" s="94"/>
    </row>
    <row r="15" spans="1:22" x14ac:dyDescent="0.3">
      <c r="A15" s="131" t="s">
        <v>49</v>
      </c>
      <c r="B15" s="132"/>
    </row>
    <row r="16" spans="1:22" x14ac:dyDescent="0.3">
      <c r="A16" s="131" t="s">
        <v>717</v>
      </c>
      <c r="B16" s="132" t="s">
        <v>718</v>
      </c>
    </row>
    <row r="17" spans="1:19" s="93" customFormat="1" x14ac:dyDescent="0.3">
      <c r="A17" s="131" t="s">
        <v>721</v>
      </c>
      <c r="B17" s="132" t="s">
        <v>719</v>
      </c>
      <c r="P17" s="94"/>
      <c r="Q17" s="94"/>
      <c r="R17" s="94"/>
    </row>
    <row r="18" spans="1:19" ht="14.5" x14ac:dyDescent="0.35">
      <c r="A18" s="131" t="s">
        <v>740</v>
      </c>
      <c r="B18" s="131" t="s">
        <v>741</v>
      </c>
      <c r="C18" s="94"/>
      <c r="D18" s="94"/>
      <c r="E18" s="94"/>
      <c r="F18" s="94"/>
      <c r="G18" s="94"/>
      <c r="H18" s="94"/>
      <c r="I18" s="94"/>
      <c r="J18" s="94"/>
      <c r="K18" s="94"/>
      <c r="L18" s="48"/>
      <c r="M18" s="48"/>
      <c r="N18" s="49"/>
      <c r="O18" s="48"/>
    </row>
    <row r="19" spans="1:19" ht="14.5" x14ac:dyDescent="0.35">
      <c r="A19" s="47"/>
      <c r="B19" s="130"/>
      <c r="C19" s="94"/>
      <c r="D19" s="94"/>
      <c r="E19" s="94"/>
      <c r="F19" s="94"/>
      <c r="G19" s="94"/>
      <c r="H19" s="94"/>
      <c r="I19" s="94"/>
      <c r="J19" s="94"/>
      <c r="K19" s="94"/>
      <c r="L19" s="48"/>
      <c r="M19" s="48"/>
      <c r="N19" s="49"/>
      <c r="O19" s="48"/>
    </row>
    <row r="20" spans="1:19" ht="14.5" x14ac:dyDescent="0.35">
      <c r="A20" s="128" t="s">
        <v>692</v>
      </c>
      <c r="B20" s="128"/>
      <c r="C20" s="129" t="s">
        <v>693</v>
      </c>
      <c r="D20" s="109" t="s">
        <v>694</v>
      </c>
      <c r="E20" s="128"/>
      <c r="F20" s="128"/>
      <c r="G20" s="128"/>
      <c r="H20" s="128"/>
      <c r="I20" s="128"/>
      <c r="J20" s="128"/>
      <c r="K20" s="128"/>
      <c r="L20" s="128"/>
      <c r="M20" s="128"/>
      <c r="N20" s="128"/>
      <c r="O20" s="128"/>
      <c r="P20" s="128"/>
      <c r="Q20" s="128"/>
      <c r="R20" s="128"/>
      <c r="S20" s="128"/>
    </row>
    <row r="21" spans="1:19" ht="72.5" x14ac:dyDescent="0.3">
      <c r="A21" s="110" t="s">
        <v>261</v>
      </c>
      <c r="B21" s="110" t="s">
        <v>262</v>
      </c>
      <c r="C21" s="110" t="s">
        <v>140</v>
      </c>
      <c r="D21" s="110" t="s">
        <v>265</v>
      </c>
      <c r="E21" s="110" t="s">
        <v>266</v>
      </c>
      <c r="F21" s="110" t="s">
        <v>267</v>
      </c>
      <c r="G21" s="111" t="s">
        <v>268</v>
      </c>
      <c r="H21" s="111" t="s">
        <v>722</v>
      </c>
      <c r="I21" s="111" t="s">
        <v>723</v>
      </c>
      <c r="J21" s="111" t="s">
        <v>270</v>
      </c>
      <c r="K21" s="111" t="s">
        <v>695</v>
      </c>
      <c r="L21" s="111" t="s">
        <v>271</v>
      </c>
      <c r="M21" s="111" t="s">
        <v>272</v>
      </c>
      <c r="N21" s="94"/>
      <c r="O21" s="94"/>
    </row>
    <row r="22" spans="1:19" ht="14.5" x14ac:dyDescent="0.35">
      <c r="A22" s="118"/>
      <c r="B22" s="118" t="s">
        <v>704</v>
      </c>
      <c r="C22" s="118" t="s">
        <v>143</v>
      </c>
      <c r="D22" s="133">
        <v>210</v>
      </c>
      <c r="E22" s="141">
        <v>1</v>
      </c>
      <c r="F22" s="114">
        <f t="shared" ref="F22:F38" si="0">D22*E22</f>
        <v>210</v>
      </c>
      <c r="G22" s="133">
        <v>1340</v>
      </c>
      <c r="H22" s="137">
        <v>118.83</v>
      </c>
      <c r="I22" s="133">
        <v>3.089</v>
      </c>
      <c r="J22" s="116">
        <f t="shared" ref="J22:J38" si="1">G22*I22/10</f>
        <v>413.92600000000004</v>
      </c>
      <c r="K22" s="118"/>
      <c r="L22" s="117">
        <f t="shared" ref="L22:L38" si="2">SUM(J22:K22)+H22</f>
        <v>532.75600000000009</v>
      </c>
      <c r="M22" s="116">
        <f t="shared" ref="M22:M58" si="3">IFERROR(L22/G22*10,0)</f>
        <v>3.9757910447761202</v>
      </c>
    </row>
    <row r="23" spans="1:19" ht="14.5" x14ac:dyDescent="0.35">
      <c r="A23" s="118"/>
      <c r="B23" s="118" t="s">
        <v>705</v>
      </c>
      <c r="C23" s="118" t="s">
        <v>143</v>
      </c>
      <c r="D23" s="133">
        <f>2*210+3*500</f>
        <v>1920</v>
      </c>
      <c r="E23" s="141">
        <v>1</v>
      </c>
      <c r="F23" s="114">
        <f t="shared" si="0"/>
        <v>1920</v>
      </c>
      <c r="G23" s="133">
        <v>12810</v>
      </c>
      <c r="H23" s="137">
        <v>783.53</v>
      </c>
      <c r="I23" s="133">
        <v>2.1059999999999999</v>
      </c>
      <c r="J23" s="116">
        <f t="shared" si="1"/>
        <v>2697.7859999999996</v>
      </c>
      <c r="K23" s="118"/>
      <c r="L23" s="117">
        <f t="shared" si="2"/>
        <v>3481.3159999999998</v>
      </c>
      <c r="M23" s="116">
        <f t="shared" si="3"/>
        <v>2.7176549570647928</v>
      </c>
    </row>
    <row r="24" spans="1:19" ht="14.5" x14ac:dyDescent="0.35">
      <c r="A24" s="118"/>
      <c r="B24" s="118" t="s">
        <v>706</v>
      </c>
      <c r="C24" s="118" t="s">
        <v>143</v>
      </c>
      <c r="D24" s="133">
        <f>4*210</f>
        <v>840</v>
      </c>
      <c r="E24" s="141">
        <v>1</v>
      </c>
      <c r="F24" s="114">
        <f t="shared" si="0"/>
        <v>840</v>
      </c>
      <c r="G24" s="133">
        <v>5825</v>
      </c>
      <c r="H24" s="137">
        <v>457.35</v>
      </c>
      <c r="I24" s="133">
        <v>2.6190000000000002</v>
      </c>
      <c r="J24" s="116">
        <f t="shared" si="1"/>
        <v>1525.5675000000001</v>
      </c>
      <c r="K24" s="118"/>
      <c r="L24" s="117">
        <f t="shared" si="2"/>
        <v>1982.9175</v>
      </c>
      <c r="M24" s="116">
        <f t="shared" si="3"/>
        <v>3.4041502145922746</v>
      </c>
    </row>
    <row r="25" spans="1:19" ht="14.5" x14ac:dyDescent="0.35">
      <c r="A25" s="118"/>
      <c r="B25" s="118" t="s">
        <v>707</v>
      </c>
      <c r="C25" s="118" t="s">
        <v>143</v>
      </c>
      <c r="D25" s="133">
        <f>2*210</f>
        <v>420</v>
      </c>
      <c r="E25" s="141">
        <v>1</v>
      </c>
      <c r="F25" s="114">
        <f t="shared" si="0"/>
        <v>420</v>
      </c>
      <c r="G25" s="133">
        <v>2649</v>
      </c>
      <c r="H25" s="137">
        <v>283.60000000000002</v>
      </c>
      <c r="I25" s="133">
        <v>2.5569999999999999</v>
      </c>
      <c r="J25" s="116">
        <f t="shared" si="1"/>
        <v>677.34929999999997</v>
      </c>
      <c r="K25" s="118"/>
      <c r="L25" s="117">
        <f t="shared" si="2"/>
        <v>960.94929999999999</v>
      </c>
      <c r="M25" s="116">
        <f t="shared" si="3"/>
        <v>3.627592676481691</v>
      </c>
    </row>
    <row r="26" spans="1:19" ht="14.5" x14ac:dyDescent="0.35">
      <c r="A26" s="118"/>
      <c r="B26" s="118" t="s">
        <v>708</v>
      </c>
      <c r="C26" s="118" t="s">
        <v>143</v>
      </c>
      <c r="D26" s="133">
        <f>3*210</f>
        <v>630</v>
      </c>
      <c r="E26" s="141">
        <v>1</v>
      </c>
      <c r="F26" s="114">
        <f t="shared" si="0"/>
        <v>630</v>
      </c>
      <c r="G26" s="133">
        <v>4415</v>
      </c>
      <c r="H26" s="137">
        <v>428.08</v>
      </c>
      <c r="I26" s="133">
        <v>3.4249999999999998</v>
      </c>
      <c r="J26" s="116">
        <f t="shared" si="1"/>
        <v>1512.1375</v>
      </c>
      <c r="K26" s="118"/>
      <c r="L26" s="117">
        <f t="shared" si="2"/>
        <v>1940.2175</v>
      </c>
      <c r="M26" s="116">
        <f t="shared" si="3"/>
        <v>4.3946036240090596</v>
      </c>
    </row>
    <row r="27" spans="1:19" ht="14.5" x14ac:dyDescent="0.35">
      <c r="A27" s="118"/>
      <c r="B27" s="118" t="s">
        <v>709</v>
      </c>
      <c r="C27" s="118" t="s">
        <v>1613</v>
      </c>
      <c r="D27" s="133">
        <v>672</v>
      </c>
      <c r="E27" s="141">
        <v>1</v>
      </c>
      <c r="F27" s="114">
        <f t="shared" si="0"/>
        <v>672</v>
      </c>
      <c r="G27" s="133">
        <v>3581</v>
      </c>
      <c r="H27" s="137">
        <v>148.04</v>
      </c>
      <c r="I27" s="133">
        <v>1.9410000000000001</v>
      </c>
      <c r="J27" s="116">
        <f t="shared" si="1"/>
        <v>695.07210000000009</v>
      </c>
      <c r="K27" s="118"/>
      <c r="L27" s="117">
        <f t="shared" si="2"/>
        <v>843.11210000000005</v>
      </c>
      <c r="M27" s="116">
        <f t="shared" si="3"/>
        <v>2.3544040770734433</v>
      </c>
    </row>
    <row r="28" spans="1:19" ht="14.5" x14ac:dyDescent="0.35">
      <c r="A28" s="118"/>
      <c r="B28" s="118" t="s">
        <v>710</v>
      </c>
      <c r="C28" s="118" t="s">
        <v>143</v>
      </c>
      <c r="D28" s="133">
        <f>2*250</f>
        <v>500</v>
      </c>
      <c r="E28" s="141">
        <v>1</v>
      </c>
      <c r="F28" s="114">
        <f t="shared" si="0"/>
        <v>500</v>
      </c>
      <c r="G28" s="133">
        <v>3723</v>
      </c>
      <c r="H28" s="137">
        <v>550.29</v>
      </c>
      <c r="I28" s="133">
        <v>2.7869999999999999</v>
      </c>
      <c r="J28" s="116">
        <f t="shared" si="1"/>
        <v>1037.6001000000001</v>
      </c>
      <c r="K28" s="118"/>
      <c r="L28" s="117">
        <f t="shared" si="2"/>
        <v>1587.8901000000001</v>
      </c>
      <c r="M28" s="116">
        <f t="shared" si="3"/>
        <v>4.2650821917808219</v>
      </c>
    </row>
    <row r="29" spans="1:19" ht="14.5" x14ac:dyDescent="0.35">
      <c r="A29" s="118"/>
      <c r="B29" s="118" t="s">
        <v>711</v>
      </c>
      <c r="C29" s="118" t="s">
        <v>143</v>
      </c>
      <c r="D29" s="133">
        <f>2*250</f>
        <v>500</v>
      </c>
      <c r="E29" s="141">
        <v>1</v>
      </c>
      <c r="F29" s="114">
        <f t="shared" si="0"/>
        <v>500</v>
      </c>
      <c r="G29" s="133">
        <v>2320</v>
      </c>
      <c r="H29" s="137">
        <v>320.39</v>
      </c>
      <c r="I29" s="133">
        <v>3.1059999999999999</v>
      </c>
      <c r="J29" s="116">
        <f t="shared" si="1"/>
        <v>720.59199999999998</v>
      </c>
      <c r="K29" s="118"/>
      <c r="L29" s="117">
        <f t="shared" si="2"/>
        <v>1040.982</v>
      </c>
      <c r="M29" s="116">
        <f t="shared" si="3"/>
        <v>4.4869913793103446</v>
      </c>
    </row>
    <row r="30" spans="1:19" ht="14.5" x14ac:dyDescent="0.35">
      <c r="A30" s="118"/>
      <c r="B30" s="118" t="s">
        <v>712</v>
      </c>
      <c r="C30" s="118" t="s">
        <v>143</v>
      </c>
      <c r="D30" s="133">
        <v>500</v>
      </c>
      <c r="E30" s="141">
        <v>1</v>
      </c>
      <c r="F30" s="114">
        <f t="shared" si="0"/>
        <v>500</v>
      </c>
      <c r="G30" s="133">
        <v>3723</v>
      </c>
      <c r="H30" s="137">
        <v>528.87</v>
      </c>
      <c r="I30" s="133">
        <v>2.2400000000000002</v>
      </c>
      <c r="J30" s="116">
        <f t="shared" si="1"/>
        <v>833.952</v>
      </c>
      <c r="K30" s="118"/>
      <c r="L30" s="117">
        <f t="shared" si="2"/>
        <v>1362.8220000000001</v>
      </c>
      <c r="M30" s="116">
        <f t="shared" si="3"/>
        <v>3.6605479452054794</v>
      </c>
    </row>
    <row r="31" spans="1:19" ht="14.5" x14ac:dyDescent="0.35">
      <c r="A31" s="118"/>
      <c r="B31" s="118" t="s">
        <v>713</v>
      </c>
      <c r="C31" s="118" t="s">
        <v>143</v>
      </c>
      <c r="D31" s="133">
        <f>2*500</f>
        <v>1000</v>
      </c>
      <c r="E31" s="141">
        <v>1</v>
      </c>
      <c r="F31" s="114">
        <f t="shared" si="0"/>
        <v>1000</v>
      </c>
      <c r="G31" s="133">
        <v>7446</v>
      </c>
      <c r="H31" s="137">
        <v>1110.82</v>
      </c>
      <c r="I31" s="133">
        <v>2.774</v>
      </c>
      <c r="J31" s="116">
        <f t="shared" si="1"/>
        <v>2065.5204000000003</v>
      </c>
      <c r="K31" s="118"/>
      <c r="L31" s="117">
        <f t="shared" si="2"/>
        <v>3176.3404</v>
      </c>
      <c r="M31" s="116">
        <f t="shared" si="3"/>
        <v>4.2658345420359929</v>
      </c>
    </row>
    <row r="32" spans="1:19" ht="14.5" x14ac:dyDescent="0.35">
      <c r="A32" s="118"/>
      <c r="B32" s="118" t="s">
        <v>714</v>
      </c>
      <c r="C32" s="118" t="s">
        <v>144</v>
      </c>
      <c r="D32" s="133">
        <f>3*660</f>
        <v>1980</v>
      </c>
      <c r="E32" s="141">
        <v>1</v>
      </c>
      <c r="F32" s="114">
        <f t="shared" si="0"/>
        <v>1980</v>
      </c>
      <c r="G32" s="133">
        <v>14743</v>
      </c>
      <c r="H32" s="137">
        <v>2382.77</v>
      </c>
      <c r="I32" s="133">
        <v>2.3639999999999999</v>
      </c>
      <c r="J32" s="116">
        <f t="shared" si="1"/>
        <v>3485.2451999999998</v>
      </c>
      <c r="K32" s="118"/>
      <c r="L32" s="117">
        <f t="shared" si="2"/>
        <v>5868.0151999999998</v>
      </c>
      <c r="M32" s="116">
        <f t="shared" si="3"/>
        <v>3.9802043003459269</v>
      </c>
    </row>
    <row r="33" spans="1:15" ht="29" x14ac:dyDescent="0.35">
      <c r="A33" s="118"/>
      <c r="B33" s="118" t="s">
        <v>715</v>
      </c>
      <c r="C33" s="118" t="s">
        <v>143</v>
      </c>
      <c r="D33" s="133">
        <f>2*500</f>
        <v>1000</v>
      </c>
      <c r="E33" s="141">
        <v>1</v>
      </c>
      <c r="F33" s="114">
        <f t="shared" si="0"/>
        <v>1000</v>
      </c>
      <c r="G33" s="133">
        <v>7446</v>
      </c>
      <c r="H33" s="137">
        <v>1329.74</v>
      </c>
      <c r="I33" s="133">
        <v>2.121</v>
      </c>
      <c r="J33" s="116">
        <f t="shared" si="1"/>
        <v>1579.2966000000001</v>
      </c>
      <c r="K33" s="118"/>
      <c r="L33" s="117">
        <f t="shared" si="2"/>
        <v>2909.0366000000004</v>
      </c>
      <c r="M33" s="116">
        <f t="shared" si="3"/>
        <v>3.9068447488584477</v>
      </c>
    </row>
    <row r="34" spans="1:15" ht="14.5" x14ac:dyDescent="0.35">
      <c r="A34" s="118"/>
      <c r="B34" s="118" t="s">
        <v>716</v>
      </c>
      <c r="C34" s="118" t="s">
        <v>143</v>
      </c>
      <c r="D34" s="133">
        <v>250</v>
      </c>
      <c r="E34" s="141">
        <v>1</v>
      </c>
      <c r="F34" s="114">
        <f t="shared" si="0"/>
        <v>250</v>
      </c>
      <c r="G34" s="133">
        <v>1160</v>
      </c>
      <c r="H34" s="137">
        <v>262.16000000000003</v>
      </c>
      <c r="I34" s="133">
        <v>2.9710000000000001</v>
      </c>
      <c r="J34" s="116">
        <f t="shared" si="1"/>
        <v>344.63600000000002</v>
      </c>
      <c r="K34" s="118"/>
      <c r="L34" s="117">
        <f t="shared" si="2"/>
        <v>606.79600000000005</v>
      </c>
      <c r="M34" s="116">
        <f t="shared" si="3"/>
        <v>5.2309999999999999</v>
      </c>
    </row>
    <row r="35" spans="1:15" ht="14.5" x14ac:dyDescent="0.35">
      <c r="A35" s="118"/>
      <c r="B35" s="118" t="s">
        <v>725</v>
      </c>
      <c r="C35" s="118" t="s">
        <v>1604</v>
      </c>
      <c r="D35" s="133">
        <v>2335</v>
      </c>
      <c r="E35" s="141">
        <v>1</v>
      </c>
      <c r="F35" s="114">
        <f t="shared" si="0"/>
        <v>2335</v>
      </c>
      <c r="G35" s="133">
        <v>3158</v>
      </c>
      <c r="H35" s="137">
        <v>43.31</v>
      </c>
      <c r="I35" s="133">
        <v>0.13900000000000001</v>
      </c>
      <c r="J35" s="116">
        <f t="shared" si="1"/>
        <v>43.896200000000007</v>
      </c>
      <c r="K35" s="118"/>
      <c r="L35" s="117">
        <f t="shared" si="2"/>
        <v>87.20620000000001</v>
      </c>
      <c r="M35" s="116">
        <f t="shared" si="3"/>
        <v>0.27614376187460421</v>
      </c>
    </row>
    <row r="36" spans="1:15" ht="14.5" x14ac:dyDescent="0.35">
      <c r="A36" s="118"/>
      <c r="B36" s="118" t="s">
        <v>726</v>
      </c>
      <c r="C36" s="118" t="s">
        <v>1604</v>
      </c>
      <c r="D36" s="133"/>
      <c r="E36" s="141">
        <v>1</v>
      </c>
      <c r="F36" s="114">
        <f t="shared" si="0"/>
        <v>0</v>
      </c>
      <c r="G36" s="133">
        <v>70</v>
      </c>
      <c r="H36" s="137">
        <v>2</v>
      </c>
      <c r="I36" s="133">
        <v>0.28799999999999998</v>
      </c>
      <c r="J36" s="116">
        <f t="shared" si="1"/>
        <v>2.016</v>
      </c>
      <c r="K36" s="118"/>
      <c r="L36" s="117">
        <f t="shared" si="2"/>
        <v>4.016</v>
      </c>
      <c r="M36" s="116">
        <f t="shared" si="3"/>
        <v>0.57371428571428573</v>
      </c>
    </row>
    <row r="37" spans="1:15" ht="14.5" x14ac:dyDescent="0.35">
      <c r="A37" s="118"/>
      <c r="B37" s="118" t="s">
        <v>727</v>
      </c>
      <c r="C37" s="118" t="s">
        <v>1604</v>
      </c>
      <c r="D37" s="133"/>
      <c r="E37" s="141">
        <v>1</v>
      </c>
      <c r="F37" s="114">
        <f t="shared" si="0"/>
        <v>0</v>
      </c>
      <c r="G37" s="137">
        <v>106.06</v>
      </c>
      <c r="H37" s="137">
        <v>6.5</v>
      </c>
      <c r="I37" s="133">
        <v>0.621</v>
      </c>
      <c r="J37" s="116">
        <f t="shared" si="1"/>
        <v>6.5863259999999997</v>
      </c>
      <c r="K37" s="118"/>
      <c r="L37" s="117">
        <f t="shared" si="2"/>
        <v>13.086326</v>
      </c>
      <c r="M37" s="116">
        <f t="shared" si="3"/>
        <v>1.233860644917971</v>
      </c>
    </row>
    <row r="38" spans="1:15" ht="14.5" x14ac:dyDescent="0.35">
      <c r="A38" s="118"/>
      <c r="B38" s="118" t="s">
        <v>724</v>
      </c>
      <c r="C38" s="118" t="s">
        <v>1604</v>
      </c>
      <c r="D38" s="133">
        <v>250</v>
      </c>
      <c r="E38" s="141">
        <v>1</v>
      </c>
      <c r="F38" s="114">
        <f t="shared" si="0"/>
        <v>250</v>
      </c>
      <c r="G38" s="133"/>
      <c r="H38" s="133"/>
      <c r="I38" s="133"/>
      <c r="J38" s="116">
        <f t="shared" si="1"/>
        <v>0</v>
      </c>
      <c r="K38" s="118"/>
      <c r="L38" s="117">
        <f t="shared" si="2"/>
        <v>0</v>
      </c>
      <c r="M38" s="116">
        <f t="shared" si="3"/>
        <v>0</v>
      </c>
    </row>
    <row r="39" spans="1:15" ht="14.5" x14ac:dyDescent="0.3">
      <c r="A39" s="120"/>
      <c r="B39" s="120" t="s">
        <v>696</v>
      </c>
      <c r="C39" s="120"/>
      <c r="D39" s="134">
        <f>SUM(D22:D38)</f>
        <v>13007</v>
      </c>
      <c r="E39" s="134"/>
      <c r="F39" s="134">
        <f>SUM(F22:F38)</f>
        <v>13007</v>
      </c>
      <c r="G39" s="134">
        <v>71180</v>
      </c>
      <c r="H39" s="136">
        <v>8704.4500000000007</v>
      </c>
      <c r="I39" s="134" t="s">
        <v>129</v>
      </c>
      <c r="J39" s="136">
        <f>SUM(J22:J38)</f>
        <v>17641.179225999997</v>
      </c>
      <c r="K39" s="120"/>
      <c r="L39" s="136">
        <f>SUM(L22:L38)</f>
        <v>26397.459226000003</v>
      </c>
      <c r="M39" s="135">
        <f t="shared" si="3"/>
        <v>3.7085500457993819</v>
      </c>
    </row>
    <row r="40" spans="1:15" ht="14.5" x14ac:dyDescent="0.35">
      <c r="A40" s="112"/>
      <c r="B40" s="113" t="s">
        <v>285</v>
      </c>
      <c r="C40" s="113" t="s">
        <v>143</v>
      </c>
      <c r="D40" s="114">
        <v>2100</v>
      </c>
      <c r="E40" s="115">
        <v>0.31778200000000001</v>
      </c>
      <c r="F40" s="114">
        <f t="shared" ref="F40:F58" si="4">D40*E40</f>
        <v>667.34220000000005</v>
      </c>
      <c r="G40" s="114">
        <v>4637.0988157838392</v>
      </c>
      <c r="H40" s="116">
        <v>305.7482</v>
      </c>
      <c r="I40" s="116">
        <v>1.2415575938669379</v>
      </c>
      <c r="J40" s="116">
        <f t="shared" ref="J40:J58" si="5">G40*I40/10</f>
        <v>575.72252482478109</v>
      </c>
      <c r="K40" s="116">
        <v>37.842200000000005</v>
      </c>
      <c r="L40" s="117">
        <f t="shared" ref="L40:L58" si="6">SUM(J40:K40)+H40</f>
        <v>919.31292482478113</v>
      </c>
      <c r="M40" s="116">
        <f t="shared" si="3"/>
        <v>1.982517434598563</v>
      </c>
      <c r="N40" s="94"/>
      <c r="O40" s="94"/>
    </row>
    <row r="41" spans="1:15" ht="14.5" x14ac:dyDescent="0.35">
      <c r="A41" s="112"/>
      <c r="B41" s="113" t="s">
        <v>276</v>
      </c>
      <c r="C41" s="113" t="s">
        <v>143</v>
      </c>
      <c r="D41" s="114">
        <v>500</v>
      </c>
      <c r="E41" s="115">
        <v>0.28230699999999997</v>
      </c>
      <c r="F41" s="114">
        <f t="shared" si="4"/>
        <v>141.15349999999998</v>
      </c>
      <c r="G41" s="114">
        <v>990.59479574249985</v>
      </c>
      <c r="H41" s="116">
        <v>134.51320000000001</v>
      </c>
      <c r="I41" s="116">
        <v>1.2206126406951179</v>
      </c>
      <c r="J41" s="116">
        <f t="shared" si="5"/>
        <v>120.91325294900938</v>
      </c>
      <c r="K41" s="116">
        <v>9.7644000000000002</v>
      </c>
      <c r="L41" s="117">
        <f t="shared" si="6"/>
        <v>265.19085294900935</v>
      </c>
      <c r="M41" s="116">
        <f t="shared" si="3"/>
        <v>2.6770870802953861</v>
      </c>
      <c r="N41" s="94"/>
      <c r="O41" s="94"/>
    </row>
    <row r="42" spans="1:15" ht="14.5" x14ac:dyDescent="0.35">
      <c r="A42" s="112"/>
      <c r="B42" s="113" t="s">
        <v>286</v>
      </c>
      <c r="C42" s="113" t="s">
        <v>143</v>
      </c>
      <c r="D42" s="114">
        <v>1260</v>
      </c>
      <c r="E42" s="115">
        <v>0.36585600000000001</v>
      </c>
      <c r="F42" s="114">
        <f t="shared" si="4"/>
        <v>460.97856000000002</v>
      </c>
      <c r="G42" s="114">
        <v>3123.5261855616018</v>
      </c>
      <c r="H42" s="116">
        <v>258.00020000000001</v>
      </c>
      <c r="I42" s="116">
        <v>1.5002313858799576</v>
      </c>
      <c r="J42" s="116">
        <f t="shared" si="5"/>
        <v>468.60120181974196</v>
      </c>
      <c r="K42" s="116">
        <v>25.688200000000002</v>
      </c>
      <c r="L42" s="117">
        <f t="shared" si="6"/>
        <v>752.28960181974196</v>
      </c>
      <c r="M42" s="116">
        <f t="shared" si="3"/>
        <v>2.4084626064515682</v>
      </c>
      <c r="N42" s="94"/>
      <c r="O42" s="94"/>
    </row>
    <row r="43" spans="1:15" ht="14.5" x14ac:dyDescent="0.35">
      <c r="A43" s="112"/>
      <c r="B43" s="113" t="s">
        <v>287</v>
      </c>
      <c r="C43" s="113" t="s">
        <v>143</v>
      </c>
      <c r="D43" s="114">
        <v>1000</v>
      </c>
      <c r="E43" s="115">
        <v>0.35783500000000001</v>
      </c>
      <c r="F43" s="114">
        <f t="shared" si="4"/>
        <v>357.83500000000004</v>
      </c>
      <c r="G43" s="114">
        <v>2511.2341439250004</v>
      </c>
      <c r="H43" s="116">
        <v>170.7</v>
      </c>
      <c r="I43" s="116">
        <v>1.4033512354765532</v>
      </c>
      <c r="J43" s="116">
        <f t="shared" si="5"/>
        <v>352.41435384480536</v>
      </c>
      <c r="K43" s="116">
        <v>19.549400000000002</v>
      </c>
      <c r="L43" s="117">
        <f t="shared" si="6"/>
        <v>542.66375384480534</v>
      </c>
      <c r="M43" s="116">
        <f t="shared" si="3"/>
        <v>2.1609444708992149</v>
      </c>
      <c r="N43" s="94"/>
      <c r="O43" s="94"/>
    </row>
    <row r="44" spans="1:15" ht="14.5" x14ac:dyDescent="0.35">
      <c r="A44" s="112"/>
      <c r="B44" s="113" t="s">
        <v>288</v>
      </c>
      <c r="C44" s="113" t="s">
        <v>143</v>
      </c>
      <c r="D44" s="114">
        <v>1000</v>
      </c>
      <c r="E44" s="115">
        <v>0.29649900000000001</v>
      </c>
      <c r="F44" s="114">
        <f t="shared" si="4"/>
        <v>296.49900000000002</v>
      </c>
      <c r="G44" s="114">
        <v>2080.7869896450002</v>
      </c>
      <c r="H44" s="116">
        <v>219.3614</v>
      </c>
      <c r="I44" s="116">
        <v>1.4072185761272489</v>
      </c>
      <c r="J44" s="116">
        <f t="shared" si="5"/>
        <v>292.81221047923418</v>
      </c>
      <c r="K44" s="116">
        <v>20.208600000000001</v>
      </c>
      <c r="L44" s="117">
        <f t="shared" si="6"/>
        <v>532.38221047923412</v>
      </c>
      <c r="M44" s="116">
        <f t="shared" si="3"/>
        <v>2.5585617995913319</v>
      </c>
      <c r="N44" s="94"/>
      <c r="O44" s="94"/>
    </row>
    <row r="45" spans="1:15" ht="14.5" x14ac:dyDescent="0.35">
      <c r="A45" s="112"/>
      <c r="B45" s="113" t="s">
        <v>289</v>
      </c>
      <c r="C45" s="113" t="s">
        <v>143</v>
      </c>
      <c r="D45" s="114">
        <v>1000</v>
      </c>
      <c r="E45" s="115">
        <v>0.351576</v>
      </c>
      <c r="F45" s="114">
        <f t="shared" si="4"/>
        <v>351.57600000000002</v>
      </c>
      <c r="G45" s="114">
        <v>2467.3093894799995</v>
      </c>
      <c r="H45" s="116">
        <v>353.99700000000001</v>
      </c>
      <c r="I45" s="116">
        <v>1.4067320363247666</v>
      </c>
      <c r="J45" s="116">
        <f t="shared" si="5"/>
        <v>347.08431617064167</v>
      </c>
      <c r="K45" s="116">
        <v>88.394599999999997</v>
      </c>
      <c r="L45" s="117">
        <f t="shared" si="6"/>
        <v>789.47591617064177</v>
      </c>
      <c r="M45" s="116">
        <f t="shared" si="3"/>
        <v>3.1997443025863435</v>
      </c>
      <c r="N45" s="94"/>
      <c r="O45" s="94"/>
    </row>
    <row r="46" spans="1:15" ht="14.5" x14ac:dyDescent="0.35">
      <c r="A46" s="112"/>
      <c r="B46" s="113" t="s">
        <v>290</v>
      </c>
      <c r="C46" s="113" t="s">
        <v>143</v>
      </c>
      <c r="D46" s="114">
        <v>500</v>
      </c>
      <c r="E46" s="115">
        <v>0.351576</v>
      </c>
      <c r="F46" s="114">
        <f t="shared" si="4"/>
        <v>175.78800000000001</v>
      </c>
      <c r="G46" s="114">
        <v>1220.5655202600001</v>
      </c>
      <c r="H46" s="116">
        <v>200.11019999999999</v>
      </c>
      <c r="I46" s="116">
        <v>1.4181073913954663</v>
      </c>
      <c r="J46" s="116">
        <f t="shared" si="5"/>
        <v>173.0892985963159</v>
      </c>
      <c r="K46" s="116">
        <v>0.35020000000000001</v>
      </c>
      <c r="L46" s="117">
        <f t="shared" si="6"/>
        <v>373.54969859631592</v>
      </c>
      <c r="M46" s="116">
        <f t="shared" si="3"/>
        <v>3.0604641241769945</v>
      </c>
      <c r="N46" s="94"/>
      <c r="O46" s="94"/>
    </row>
    <row r="47" spans="1:15" ht="14.5" x14ac:dyDescent="0.35">
      <c r="A47" s="112"/>
      <c r="B47" s="113" t="s">
        <v>300</v>
      </c>
      <c r="C47" s="113" t="s">
        <v>1613</v>
      </c>
      <c r="D47" s="114">
        <v>656.2</v>
      </c>
      <c r="E47" s="115">
        <v>0.31136999999999998</v>
      </c>
      <c r="F47" s="114">
        <f t="shared" si="4"/>
        <v>204.32099400000001</v>
      </c>
      <c r="G47" s="114">
        <v>1483.3397682909001</v>
      </c>
      <c r="H47" s="116">
        <v>125.2306</v>
      </c>
      <c r="I47" s="116">
        <v>2.2805593658115737</v>
      </c>
      <c r="J47" s="116">
        <f t="shared" si="5"/>
        <v>338.28444012565819</v>
      </c>
      <c r="K47" s="116">
        <v>6.18</v>
      </c>
      <c r="L47" s="117">
        <f t="shared" si="6"/>
        <v>469.69504012565818</v>
      </c>
      <c r="M47" s="116">
        <f t="shared" si="3"/>
        <v>3.1664696798821721</v>
      </c>
      <c r="N47" s="94"/>
      <c r="O47" s="94"/>
    </row>
    <row r="48" spans="1:15" ht="14.5" x14ac:dyDescent="0.35">
      <c r="A48" s="112"/>
      <c r="B48" s="113" t="s">
        <v>302</v>
      </c>
      <c r="C48" s="113" t="s">
        <v>1613</v>
      </c>
      <c r="D48" s="114">
        <v>657.39</v>
      </c>
      <c r="E48" s="115">
        <v>0.30480299999999999</v>
      </c>
      <c r="F48" s="114">
        <f t="shared" si="4"/>
        <v>200.37444417</v>
      </c>
      <c r="G48" s="114">
        <v>1454.6884085075742</v>
      </c>
      <c r="H48" s="116">
        <v>152.85939999999999</v>
      </c>
      <c r="I48" s="116">
        <v>2.1465299597240666</v>
      </c>
      <c r="J48" s="116">
        <f t="shared" si="5"/>
        <v>312.25322509248298</v>
      </c>
      <c r="K48" s="116">
        <v>6.18</v>
      </c>
      <c r="L48" s="117">
        <f t="shared" si="6"/>
        <v>471.29262509248298</v>
      </c>
      <c r="M48" s="116">
        <f t="shared" si="3"/>
        <v>3.2398183854094356</v>
      </c>
      <c r="N48" s="94"/>
      <c r="O48" s="94"/>
    </row>
    <row r="49" spans="1:15" ht="14.5" x14ac:dyDescent="0.35">
      <c r="A49" s="112"/>
      <c r="B49" s="113" t="s">
        <v>282</v>
      </c>
      <c r="C49" s="113" t="s">
        <v>143</v>
      </c>
      <c r="D49" s="114">
        <v>1500</v>
      </c>
      <c r="E49" s="115">
        <v>9.8699999999999996E-2</v>
      </c>
      <c r="F49" s="114">
        <f t="shared" si="4"/>
        <v>148.04999999999998</v>
      </c>
      <c r="G49" s="114">
        <v>1038.99343275</v>
      </c>
      <c r="H49" s="116">
        <v>114.6862</v>
      </c>
      <c r="I49" s="116">
        <v>2.36982124059741</v>
      </c>
      <c r="J49" s="116">
        <f t="shared" si="5"/>
        <v>246.22287057721664</v>
      </c>
      <c r="K49" s="116">
        <v>6.18</v>
      </c>
      <c r="L49" s="117">
        <f t="shared" si="6"/>
        <v>367.08907057721666</v>
      </c>
      <c r="M49" s="116">
        <f t="shared" si="3"/>
        <v>3.5331221450130639</v>
      </c>
      <c r="N49" s="94"/>
      <c r="O49" s="94"/>
    </row>
    <row r="50" spans="1:15" ht="14.5" x14ac:dyDescent="0.35">
      <c r="A50" s="112"/>
      <c r="B50" s="113" t="s">
        <v>291</v>
      </c>
      <c r="C50" s="113" t="s">
        <v>143</v>
      </c>
      <c r="D50" s="114">
        <v>1000</v>
      </c>
      <c r="E50" s="115">
        <v>0.29466599999999998</v>
      </c>
      <c r="F50" s="114">
        <f t="shared" si="4"/>
        <v>294.666</v>
      </c>
      <c r="G50" s="114">
        <v>2067.9232614299999</v>
      </c>
      <c r="H50" s="116">
        <v>258.70240000000001</v>
      </c>
      <c r="I50" s="116">
        <v>1.2391045299318075</v>
      </c>
      <c r="J50" s="116">
        <f t="shared" si="5"/>
        <v>256.23730807892701</v>
      </c>
      <c r="K50" s="116">
        <v>6.18</v>
      </c>
      <c r="L50" s="117">
        <f t="shared" si="6"/>
        <v>521.11970807892703</v>
      </c>
      <c r="M50" s="116">
        <f t="shared" si="3"/>
        <v>2.5200147307137737</v>
      </c>
      <c r="N50" s="94"/>
      <c r="O50" s="94"/>
    </row>
    <row r="51" spans="1:15" ht="14.5" x14ac:dyDescent="0.35">
      <c r="A51" s="112"/>
      <c r="B51" s="113" t="s">
        <v>292</v>
      </c>
      <c r="C51" s="113" t="s">
        <v>144</v>
      </c>
      <c r="D51" s="114">
        <v>1980</v>
      </c>
      <c r="E51" s="115">
        <v>0.31136999999999998</v>
      </c>
      <c r="F51" s="114">
        <f t="shared" si="4"/>
        <v>616.51259999999991</v>
      </c>
      <c r="G51" s="114">
        <v>4326.5960324729995</v>
      </c>
      <c r="H51" s="116">
        <v>571.96180000000004</v>
      </c>
      <c r="I51" s="116">
        <v>1.2059332097979103</v>
      </c>
      <c r="J51" s="116">
        <f t="shared" si="5"/>
        <v>521.75858409390673</v>
      </c>
      <c r="K51" s="116">
        <v>24.565500000000004</v>
      </c>
      <c r="L51" s="117">
        <f t="shared" si="6"/>
        <v>1118.2858840939068</v>
      </c>
      <c r="M51" s="116">
        <f t="shared" si="3"/>
        <v>2.5846782914343773</v>
      </c>
      <c r="N51" s="94"/>
      <c r="O51" s="94"/>
    </row>
    <row r="52" spans="1:15" ht="14.5" x14ac:dyDescent="0.35">
      <c r="A52" s="112"/>
      <c r="B52" s="113" t="s">
        <v>293</v>
      </c>
      <c r="C52" s="113" t="s">
        <v>144</v>
      </c>
      <c r="D52" s="114">
        <v>920</v>
      </c>
      <c r="E52" s="115">
        <v>0.42401</v>
      </c>
      <c r="F52" s="114">
        <f t="shared" si="4"/>
        <v>390.08920000000001</v>
      </c>
      <c r="G52" s="114">
        <v>416.89287896796293</v>
      </c>
      <c r="H52" s="116">
        <v>568.61180000000002</v>
      </c>
      <c r="I52" s="116">
        <v>2.7599530174647011</v>
      </c>
      <c r="J52" s="116">
        <f t="shared" si="5"/>
        <v>115.06047592671757</v>
      </c>
      <c r="K52" s="116">
        <v>8.4047999999999998</v>
      </c>
      <c r="L52" s="117">
        <f t="shared" si="6"/>
        <v>692.07707592671761</v>
      </c>
      <c r="M52" s="116">
        <f t="shared" si="3"/>
        <v>16.600837069704465</v>
      </c>
      <c r="N52" s="94"/>
      <c r="O52" s="94"/>
    </row>
    <row r="53" spans="1:15" ht="14.5" x14ac:dyDescent="0.35">
      <c r="A53" s="112"/>
      <c r="B53" s="113" t="s">
        <v>294</v>
      </c>
      <c r="C53" s="113" t="s">
        <v>144</v>
      </c>
      <c r="D53" s="114">
        <v>660</v>
      </c>
      <c r="E53" s="115">
        <v>0.43401000000000001</v>
      </c>
      <c r="F53" s="114">
        <f t="shared" si="4"/>
        <v>286.44659999999999</v>
      </c>
      <c r="G53" s="114">
        <v>550.91272718397909</v>
      </c>
      <c r="H53" s="116">
        <v>158.1688</v>
      </c>
      <c r="I53" s="116">
        <v>2.6007994903157421</v>
      </c>
      <c r="J53" s="116">
        <f t="shared" si="5"/>
        <v>143.28135400685483</v>
      </c>
      <c r="K53" s="116">
        <v>8.4047999999999998</v>
      </c>
      <c r="L53" s="117">
        <f t="shared" si="6"/>
        <v>309.85495400685483</v>
      </c>
      <c r="M53" s="116">
        <f t="shared" si="3"/>
        <v>5.6243927344117752</v>
      </c>
      <c r="N53" s="94"/>
      <c r="O53" s="94"/>
    </row>
    <row r="54" spans="1:15" ht="14.5" x14ac:dyDescent="0.35">
      <c r="A54" s="112"/>
      <c r="B54" s="113" t="s">
        <v>295</v>
      </c>
      <c r="C54" s="113" t="s">
        <v>144</v>
      </c>
      <c r="D54" s="114">
        <v>660</v>
      </c>
      <c r="E54" s="115">
        <v>0.51889393939393946</v>
      </c>
      <c r="F54" s="114">
        <f t="shared" si="4"/>
        <v>342.47</v>
      </c>
      <c r="G54" s="114">
        <v>0</v>
      </c>
      <c r="H54" s="116">
        <v>591.60733584000002</v>
      </c>
      <c r="I54" s="116">
        <v>3.2436622319680621</v>
      </c>
      <c r="J54" s="116">
        <f t="shared" si="5"/>
        <v>0</v>
      </c>
      <c r="K54" s="116">
        <v>0</v>
      </c>
      <c r="L54" s="117">
        <f t="shared" si="6"/>
        <v>591.60733584000002</v>
      </c>
      <c r="M54" s="116">
        <f t="shared" si="3"/>
        <v>0</v>
      </c>
      <c r="N54" s="94"/>
      <c r="O54" s="94"/>
    </row>
    <row r="55" spans="1:15" ht="14.5" x14ac:dyDescent="0.35">
      <c r="A55" s="112"/>
      <c r="B55" s="113" t="s">
        <v>697</v>
      </c>
      <c r="C55" s="113" t="s">
        <v>144</v>
      </c>
      <c r="D55" s="114">
        <v>660</v>
      </c>
      <c r="E55" s="115">
        <v>0.4667</v>
      </c>
      <c r="F55" s="114">
        <f t="shared" si="4"/>
        <v>308.02199999999999</v>
      </c>
      <c r="G55" s="114">
        <v>165.82549183199998</v>
      </c>
      <c r="H55" s="116">
        <v>133.02398135999996</v>
      </c>
      <c r="I55" s="116">
        <v>2.7200000100000001</v>
      </c>
      <c r="J55" s="116">
        <f t="shared" si="5"/>
        <v>45.104533944129493</v>
      </c>
      <c r="K55" s="116">
        <v>0</v>
      </c>
      <c r="L55" s="117">
        <f t="shared" si="6"/>
        <v>178.12851530412945</v>
      </c>
      <c r="M55" s="116">
        <f t="shared" si="3"/>
        <v>10.741925944932147</v>
      </c>
      <c r="N55" s="94"/>
      <c r="O55" s="94"/>
    </row>
    <row r="56" spans="1:15" ht="14.5" x14ac:dyDescent="0.35">
      <c r="A56" s="112"/>
      <c r="B56" s="113" t="s">
        <v>278</v>
      </c>
      <c r="C56" s="113" t="s">
        <v>144</v>
      </c>
      <c r="D56" s="114">
        <v>50</v>
      </c>
      <c r="E56" s="115">
        <v>1</v>
      </c>
      <c r="F56" s="114">
        <f t="shared" si="4"/>
        <v>50</v>
      </c>
      <c r="G56" s="114">
        <v>228.03119999999996</v>
      </c>
      <c r="H56" s="116">
        <v>43.931399999999996</v>
      </c>
      <c r="I56" s="116">
        <v>1.32</v>
      </c>
      <c r="J56" s="116">
        <f t="shared" si="5"/>
        <v>30.100118399999996</v>
      </c>
      <c r="K56" s="116">
        <v>0</v>
      </c>
      <c r="L56" s="117">
        <f t="shared" si="6"/>
        <v>74.031518399999996</v>
      </c>
      <c r="M56" s="116">
        <f t="shared" si="3"/>
        <v>3.2465521560207558</v>
      </c>
      <c r="N56" s="94"/>
      <c r="O56" s="94"/>
    </row>
    <row r="57" spans="1:15" ht="14.5" x14ac:dyDescent="0.35">
      <c r="A57" s="112"/>
      <c r="B57" s="113" t="s">
        <v>277</v>
      </c>
      <c r="C57" s="113" t="s">
        <v>144</v>
      </c>
      <c r="D57" s="114">
        <v>228</v>
      </c>
      <c r="E57" s="115">
        <v>1</v>
      </c>
      <c r="F57" s="114">
        <f t="shared" si="4"/>
        <v>228</v>
      </c>
      <c r="G57" s="114">
        <v>1039.8222720000001</v>
      </c>
      <c r="H57" s="116">
        <v>165.52457999999999</v>
      </c>
      <c r="I57" s="116">
        <v>0.93</v>
      </c>
      <c r="J57" s="116">
        <f t="shared" si="5"/>
        <v>96.703471296000018</v>
      </c>
      <c r="K57" s="116">
        <v>0</v>
      </c>
      <c r="L57" s="117">
        <f t="shared" si="6"/>
        <v>262.22805129599999</v>
      </c>
      <c r="M57" s="116">
        <f t="shared" si="3"/>
        <v>2.5218545356951152</v>
      </c>
      <c r="N57" s="94"/>
      <c r="O57" s="94"/>
    </row>
    <row r="58" spans="1:15" ht="14.5" x14ac:dyDescent="0.35">
      <c r="A58" s="112"/>
      <c r="B58" s="113" t="s">
        <v>698</v>
      </c>
      <c r="C58" s="113" t="s">
        <v>144</v>
      </c>
      <c r="D58" s="114">
        <v>1320</v>
      </c>
      <c r="E58" s="115">
        <v>3.787878787878788E-2</v>
      </c>
      <c r="F58" s="114">
        <f t="shared" si="4"/>
        <v>50</v>
      </c>
      <c r="G58" s="114">
        <v>29.959950000000003</v>
      </c>
      <c r="H58" s="116">
        <v>7.3529250000000017</v>
      </c>
      <c r="I58" s="116">
        <v>1.95</v>
      </c>
      <c r="J58" s="116">
        <f t="shared" si="5"/>
        <v>5.8421902499999998</v>
      </c>
      <c r="K58" s="116">
        <v>0</v>
      </c>
      <c r="L58" s="117">
        <f t="shared" si="6"/>
        <v>13.195115250000001</v>
      </c>
      <c r="M58" s="116">
        <f t="shared" si="3"/>
        <v>4.4042514256532463</v>
      </c>
      <c r="N58" s="94"/>
      <c r="O58" s="94"/>
    </row>
    <row r="59" spans="1:15" ht="14.5" x14ac:dyDescent="0.35">
      <c r="A59" s="119"/>
      <c r="B59" s="120" t="s">
        <v>629</v>
      </c>
      <c r="C59" s="120"/>
      <c r="D59" s="121">
        <f>SUM(D40:D58)</f>
        <v>17651.59</v>
      </c>
      <c r="E59" s="122">
        <f>F59/D59</f>
        <v>0.31555934044298567</v>
      </c>
      <c r="F59" s="121">
        <f>SUM(F40:F58)</f>
        <v>5570.1240981700012</v>
      </c>
      <c r="G59" s="121">
        <f>SUM(G40:G58)</f>
        <v>29834.10126383336</v>
      </c>
      <c r="H59" s="121">
        <f>SUM(H40:H58)</f>
        <v>4534.0914222000019</v>
      </c>
      <c r="I59" s="121">
        <f>J59/G59*10</f>
        <v>1.48872784576241</v>
      </c>
      <c r="J59" s="121">
        <f>SUM(J40:J58)</f>
        <v>4441.4857304764237</v>
      </c>
      <c r="K59" s="121">
        <f>SUM(K40:K58)</f>
        <v>267.8927000000001</v>
      </c>
      <c r="L59" s="121">
        <f>SUM(L40:L58)</f>
        <v>9243.4698526764241</v>
      </c>
      <c r="M59" s="121">
        <f>L59/G59*10</f>
        <v>3.0982900309056394</v>
      </c>
      <c r="N59" s="94"/>
      <c r="O59" s="94"/>
    </row>
    <row r="60" spans="1:15" ht="14.5" x14ac:dyDescent="0.35">
      <c r="A60" s="112"/>
      <c r="B60" s="113" t="s">
        <v>303</v>
      </c>
      <c r="C60" s="113" t="s">
        <v>1615</v>
      </c>
      <c r="D60" s="114">
        <v>440</v>
      </c>
      <c r="E60" s="115">
        <v>0.34813</v>
      </c>
      <c r="F60" s="114">
        <f>D60*E60</f>
        <v>153.1772</v>
      </c>
      <c r="G60" s="114">
        <v>1004.9404654079997</v>
      </c>
      <c r="H60" s="116">
        <v>0</v>
      </c>
      <c r="I60" s="116">
        <v>2.4944664862131845</v>
      </c>
      <c r="J60" s="116">
        <f>G60*I60/10</f>
        <v>250.6790311599735</v>
      </c>
      <c r="K60" s="116">
        <v>0</v>
      </c>
      <c r="L60" s="117">
        <f>SUM(J60:K60)+H60</f>
        <v>250.6790311599735</v>
      </c>
      <c r="M60" s="116">
        <f>IFERROR(L60/G60*10,0)</f>
        <v>2.4944664862131845</v>
      </c>
      <c r="N60" s="94"/>
      <c r="O60" s="94"/>
    </row>
    <row r="61" spans="1:15" ht="14.5" x14ac:dyDescent="0.35">
      <c r="A61" s="112"/>
      <c r="B61" s="113" t="s">
        <v>305</v>
      </c>
      <c r="C61" s="113" t="s">
        <v>1615</v>
      </c>
      <c r="D61" s="114">
        <v>320</v>
      </c>
      <c r="E61" s="115">
        <v>0.5</v>
      </c>
      <c r="F61" s="114">
        <f>D61*E61</f>
        <v>160</v>
      </c>
      <c r="G61" s="114">
        <v>1143.7056</v>
      </c>
      <c r="H61" s="116">
        <v>0</v>
      </c>
      <c r="I61" s="116">
        <v>1.1286450000000001</v>
      </c>
      <c r="J61" s="116">
        <f>G61*I61/10</f>
        <v>129.08376069120001</v>
      </c>
      <c r="K61" s="116">
        <v>0</v>
      </c>
      <c r="L61" s="117">
        <f>SUM(J61:K61)+H61</f>
        <v>129.08376069120001</v>
      </c>
      <c r="M61" s="116">
        <f>IFERROR(L61/G61*10,0)</f>
        <v>1.1286450000000001</v>
      </c>
      <c r="N61" s="94"/>
      <c r="O61" s="94"/>
    </row>
    <row r="62" spans="1:15" ht="14.5" x14ac:dyDescent="0.35">
      <c r="A62" s="112"/>
      <c r="B62" s="113" t="s">
        <v>306</v>
      </c>
      <c r="C62" s="113" t="s">
        <v>1615</v>
      </c>
      <c r="D62" s="114">
        <v>1080</v>
      </c>
      <c r="E62" s="115">
        <v>0.41860000000000003</v>
      </c>
      <c r="F62" s="114">
        <f>D62*E62</f>
        <v>452.08800000000002</v>
      </c>
      <c r="G62" s="114">
        <v>3231.597358080001</v>
      </c>
      <c r="H62" s="116">
        <v>0</v>
      </c>
      <c r="I62" s="116">
        <v>3.0888900000000001</v>
      </c>
      <c r="J62" s="116">
        <f>G62*I62/10</f>
        <v>998.20487633997345</v>
      </c>
      <c r="K62" s="116">
        <v>0</v>
      </c>
      <c r="L62" s="117">
        <f>SUM(J62:K62)+H62</f>
        <v>998.20487633997345</v>
      </c>
      <c r="M62" s="116">
        <f>IFERROR(L62/G62*10,0)</f>
        <v>3.0888900000000001</v>
      </c>
      <c r="N62" s="94"/>
      <c r="O62" s="94"/>
    </row>
    <row r="63" spans="1:15" ht="14.5" x14ac:dyDescent="0.35">
      <c r="A63" s="119"/>
      <c r="B63" s="120" t="s">
        <v>699</v>
      </c>
      <c r="C63" s="120"/>
      <c r="D63" s="121">
        <f>SUM(D60:D62)</f>
        <v>1840</v>
      </c>
      <c r="E63" s="122">
        <f>F63/D63</f>
        <v>0.41590500000000002</v>
      </c>
      <c r="F63" s="121">
        <f>SUM(F60:F62)</f>
        <v>765.26520000000005</v>
      </c>
      <c r="G63" s="121">
        <f>SUM(G60:G62)</f>
        <v>5380.2434234880002</v>
      </c>
      <c r="H63" s="121">
        <f>SUM(H60:H62)</f>
        <v>0</v>
      </c>
      <c r="I63" s="121">
        <f>J63/G63*10</f>
        <v>2.5611623113100954</v>
      </c>
      <c r="J63" s="121">
        <f>SUM(J60:J62)</f>
        <v>1377.9676681911469</v>
      </c>
      <c r="K63" s="121">
        <f>SUM(K60:K62)</f>
        <v>0</v>
      </c>
      <c r="L63" s="121">
        <f>SUM(L60:L62)</f>
        <v>1377.9676681911469</v>
      </c>
      <c r="M63" s="121">
        <f>L63/G63*10</f>
        <v>2.5611623113100954</v>
      </c>
      <c r="N63" s="94"/>
      <c r="O63" s="94"/>
    </row>
    <row r="64" spans="1:15" ht="14.5" x14ac:dyDescent="0.35">
      <c r="A64" s="112"/>
      <c r="B64" s="113" t="s">
        <v>307</v>
      </c>
      <c r="C64" s="113" t="s">
        <v>1604</v>
      </c>
      <c r="D64" s="114">
        <v>1450</v>
      </c>
      <c r="E64" s="115">
        <v>0.27</v>
      </c>
      <c r="F64" s="114">
        <f t="shared" ref="F64:F77" si="7">D64*E64</f>
        <v>391.5</v>
      </c>
      <c r="G64" s="114">
        <v>1209.9417120000003</v>
      </c>
      <c r="H64" s="116">
        <v>0</v>
      </c>
      <c r="I64" s="116">
        <v>2.0500000100000002</v>
      </c>
      <c r="J64" s="116">
        <f t="shared" ref="J64:J77" si="8">G64*I64/10</f>
        <v>248.03805216994178</v>
      </c>
      <c r="K64" s="116">
        <v>0</v>
      </c>
      <c r="L64" s="117">
        <f t="shared" ref="L64:L77" si="9">SUM(J64:K64)+H64</f>
        <v>248.03805216994178</v>
      </c>
      <c r="M64" s="116">
        <f t="shared" ref="M64:M77" si="10">IFERROR(L64/G64*10,0)</f>
        <v>2.0500000100000002</v>
      </c>
      <c r="N64" s="94"/>
      <c r="O64" s="94"/>
    </row>
    <row r="65" spans="1:15" ht="14.5" x14ac:dyDescent="0.35">
      <c r="A65" s="112"/>
      <c r="B65" s="113" t="s">
        <v>279</v>
      </c>
      <c r="C65" s="113" t="s">
        <v>1604</v>
      </c>
      <c r="D65" s="114">
        <v>160</v>
      </c>
      <c r="E65" s="115">
        <v>0.33124999999999999</v>
      </c>
      <c r="F65" s="114">
        <f t="shared" si="7"/>
        <v>53</v>
      </c>
      <c r="G65" s="114">
        <v>136.49831999999998</v>
      </c>
      <c r="H65" s="116">
        <v>0</v>
      </c>
      <c r="I65" s="116">
        <v>2.0500000200000001</v>
      </c>
      <c r="J65" s="116">
        <f t="shared" si="8"/>
        <v>27.982155872996639</v>
      </c>
      <c r="K65" s="116">
        <v>0</v>
      </c>
      <c r="L65" s="117">
        <f t="shared" si="9"/>
        <v>27.982155872996639</v>
      </c>
      <c r="M65" s="116">
        <f t="shared" si="10"/>
        <v>2.0500000200000001</v>
      </c>
      <c r="N65" s="94"/>
      <c r="O65" s="94"/>
    </row>
    <row r="66" spans="1:15" ht="14.5" x14ac:dyDescent="0.35">
      <c r="A66" s="112"/>
      <c r="B66" s="113" t="s">
        <v>311</v>
      </c>
      <c r="C66" s="113" t="s">
        <v>1604</v>
      </c>
      <c r="D66" s="114">
        <v>12</v>
      </c>
      <c r="E66" s="115">
        <v>1</v>
      </c>
      <c r="F66" s="114">
        <f t="shared" si="7"/>
        <v>12</v>
      </c>
      <c r="G66" s="114">
        <v>51.508799999999994</v>
      </c>
      <c r="H66" s="116">
        <v>0</v>
      </c>
      <c r="I66" s="116">
        <v>1.4167107668940704</v>
      </c>
      <c r="J66" s="116">
        <f t="shared" si="8"/>
        <v>7.2973071549793289</v>
      </c>
      <c r="K66" s="116">
        <v>0</v>
      </c>
      <c r="L66" s="117">
        <f t="shared" si="9"/>
        <v>7.2973071549793289</v>
      </c>
      <c r="M66" s="116">
        <f t="shared" si="10"/>
        <v>1.4167107668940704</v>
      </c>
      <c r="N66" s="94"/>
      <c r="O66" s="94"/>
    </row>
    <row r="67" spans="1:15" ht="14.5" x14ac:dyDescent="0.35">
      <c r="A67" s="112"/>
      <c r="B67" s="113" t="s">
        <v>310</v>
      </c>
      <c r="C67" s="113" t="s">
        <v>1604</v>
      </c>
      <c r="D67" s="114">
        <v>34</v>
      </c>
      <c r="E67" s="115">
        <v>1</v>
      </c>
      <c r="F67" s="114">
        <f t="shared" si="7"/>
        <v>34</v>
      </c>
      <c r="G67" s="114">
        <v>64.214303999999998</v>
      </c>
      <c r="H67" s="116">
        <v>14.01</v>
      </c>
      <c r="I67" s="116">
        <v>0</v>
      </c>
      <c r="J67" s="116">
        <f t="shared" si="8"/>
        <v>0</v>
      </c>
      <c r="K67" s="116">
        <v>0</v>
      </c>
      <c r="L67" s="117">
        <f t="shared" si="9"/>
        <v>14.01</v>
      </c>
      <c r="M67" s="116">
        <f t="shared" si="10"/>
        <v>2.181756887063667</v>
      </c>
      <c r="N67" s="94"/>
      <c r="O67" s="94"/>
    </row>
    <row r="68" spans="1:15" ht="14.5" x14ac:dyDescent="0.35">
      <c r="A68" s="112"/>
      <c r="B68" s="113" t="s">
        <v>280</v>
      </c>
      <c r="C68" s="113" t="s">
        <v>143</v>
      </c>
      <c r="D68" s="114">
        <v>300</v>
      </c>
      <c r="E68" s="115">
        <v>1</v>
      </c>
      <c r="F68" s="114">
        <f t="shared" si="7"/>
        <v>300</v>
      </c>
      <c r="G68" s="114">
        <v>1934.2080000000003</v>
      </c>
      <c r="H68" s="116">
        <v>169.05398400000001</v>
      </c>
      <c r="I68" s="116">
        <v>2.3211000000000004</v>
      </c>
      <c r="J68" s="116">
        <f t="shared" si="8"/>
        <v>448.94901888000015</v>
      </c>
      <c r="K68" s="116">
        <v>12.823499999999999</v>
      </c>
      <c r="L68" s="117">
        <f t="shared" si="9"/>
        <v>630.82650288000013</v>
      </c>
      <c r="M68" s="116">
        <f t="shared" si="10"/>
        <v>3.261420193071273</v>
      </c>
      <c r="N68" s="94"/>
      <c r="O68" s="94"/>
    </row>
    <row r="69" spans="1:15" ht="14.5" x14ac:dyDescent="0.35">
      <c r="A69" s="112"/>
      <c r="B69" s="113" t="s">
        <v>296</v>
      </c>
      <c r="C69" s="113" t="s">
        <v>144</v>
      </c>
      <c r="D69" s="114">
        <v>4000</v>
      </c>
      <c r="E69" s="115">
        <v>0.2</v>
      </c>
      <c r="F69" s="114">
        <f t="shared" si="7"/>
        <v>800</v>
      </c>
      <c r="G69" s="114">
        <v>5157.8880000000008</v>
      </c>
      <c r="H69" s="116">
        <v>481.79719679999999</v>
      </c>
      <c r="I69" s="116">
        <v>1.6256699999999999</v>
      </c>
      <c r="J69" s="116">
        <f t="shared" si="8"/>
        <v>838.50237849600012</v>
      </c>
      <c r="K69" s="116">
        <v>0.37080000000000002</v>
      </c>
      <c r="L69" s="117">
        <f t="shared" si="9"/>
        <v>1320.6703752960002</v>
      </c>
      <c r="M69" s="116">
        <f t="shared" si="10"/>
        <v>2.5604867249851102</v>
      </c>
      <c r="N69" s="94"/>
      <c r="O69" s="94"/>
    </row>
    <row r="70" spans="1:15" ht="14.5" x14ac:dyDescent="0.35">
      <c r="A70" s="112"/>
      <c r="B70" s="113" t="s">
        <v>281</v>
      </c>
      <c r="C70" s="113" t="s">
        <v>144</v>
      </c>
      <c r="D70" s="114">
        <v>125</v>
      </c>
      <c r="E70" s="115">
        <v>1</v>
      </c>
      <c r="F70" s="114">
        <f t="shared" si="7"/>
        <v>125</v>
      </c>
      <c r="G70" s="114">
        <v>930.74999999999989</v>
      </c>
      <c r="H70" s="116">
        <v>127.14045</v>
      </c>
      <c r="I70" s="116">
        <v>2.4433000000000002</v>
      </c>
      <c r="J70" s="116">
        <f t="shared" si="8"/>
        <v>227.41014749999999</v>
      </c>
      <c r="K70" s="116">
        <v>0</v>
      </c>
      <c r="L70" s="117">
        <f t="shared" si="9"/>
        <v>354.55059749999998</v>
      </c>
      <c r="M70" s="116">
        <f t="shared" si="10"/>
        <v>3.8093000000000004</v>
      </c>
      <c r="N70" s="94"/>
      <c r="O70" s="94"/>
    </row>
    <row r="71" spans="1:15" ht="29" x14ac:dyDescent="0.35">
      <c r="A71" s="112"/>
      <c r="B71" s="113" t="s">
        <v>297</v>
      </c>
      <c r="C71" s="113" t="s">
        <v>144</v>
      </c>
      <c r="D71" s="114">
        <v>1320</v>
      </c>
      <c r="E71" s="115">
        <v>1</v>
      </c>
      <c r="F71" s="114">
        <f t="shared" si="7"/>
        <v>1320</v>
      </c>
      <c r="G71" s="114">
        <v>8510.5151999999998</v>
      </c>
      <c r="H71" s="116">
        <v>1029.5873280000001</v>
      </c>
      <c r="I71" s="116">
        <v>1.8819999999999999</v>
      </c>
      <c r="J71" s="116">
        <f t="shared" si="8"/>
        <v>1601.6789606399998</v>
      </c>
      <c r="K71" s="116">
        <v>0</v>
      </c>
      <c r="L71" s="117">
        <f t="shared" si="9"/>
        <v>2631.2662886399999</v>
      </c>
      <c r="M71" s="116">
        <f t="shared" si="10"/>
        <v>3.0917826086956519</v>
      </c>
      <c r="N71" s="94"/>
      <c r="O71" s="94"/>
    </row>
    <row r="72" spans="1:15" ht="29" x14ac:dyDescent="0.35">
      <c r="A72" s="112"/>
      <c r="B72" s="113" t="s">
        <v>298</v>
      </c>
      <c r="C72" s="113" t="s">
        <v>144</v>
      </c>
      <c r="D72" s="114">
        <v>1200</v>
      </c>
      <c r="E72" s="115">
        <v>1</v>
      </c>
      <c r="F72" s="114">
        <f t="shared" si="7"/>
        <v>1200</v>
      </c>
      <c r="G72" s="114">
        <v>8935.1999999999989</v>
      </c>
      <c r="H72" s="116">
        <v>1220.5483200000001</v>
      </c>
      <c r="I72" s="116">
        <v>1.746</v>
      </c>
      <c r="J72" s="116">
        <f t="shared" si="8"/>
        <v>1560.08592</v>
      </c>
      <c r="K72" s="116">
        <v>0</v>
      </c>
      <c r="L72" s="117">
        <f t="shared" si="9"/>
        <v>2780.6342400000003</v>
      </c>
      <c r="M72" s="116">
        <f t="shared" si="10"/>
        <v>3.112000000000001</v>
      </c>
      <c r="N72" s="94"/>
      <c r="O72" s="94"/>
    </row>
    <row r="73" spans="1:15" ht="14.5" x14ac:dyDescent="0.35">
      <c r="A73" s="112"/>
      <c r="B73" s="113" t="s">
        <v>283</v>
      </c>
      <c r="C73" s="113" t="s">
        <v>144</v>
      </c>
      <c r="D73" s="114">
        <v>440</v>
      </c>
      <c r="E73" s="115">
        <v>1</v>
      </c>
      <c r="F73" s="114">
        <f t="shared" si="7"/>
        <v>440</v>
      </c>
      <c r="G73" s="114">
        <v>2733.7472676151083</v>
      </c>
      <c r="H73" s="116">
        <v>76.983561600000002</v>
      </c>
      <c r="I73" s="116">
        <v>2.5033000000000003</v>
      </c>
      <c r="J73" s="116">
        <f t="shared" si="8"/>
        <v>684.33895350209013</v>
      </c>
      <c r="K73" s="116">
        <v>0</v>
      </c>
      <c r="L73" s="117">
        <f t="shared" si="9"/>
        <v>761.32251510209016</v>
      </c>
      <c r="M73" s="116">
        <f t="shared" si="10"/>
        <v>2.7849045305722782</v>
      </c>
      <c r="N73" s="94"/>
      <c r="O73" s="94"/>
    </row>
    <row r="74" spans="1:15" ht="14.5" x14ac:dyDescent="0.35">
      <c r="A74" s="112"/>
      <c r="B74" s="113" t="s">
        <v>275</v>
      </c>
      <c r="C74" s="113" t="s">
        <v>143</v>
      </c>
      <c r="D74" s="114">
        <v>200</v>
      </c>
      <c r="E74" s="115">
        <v>1</v>
      </c>
      <c r="F74" s="114">
        <f t="shared" si="7"/>
        <v>200</v>
      </c>
      <c r="G74" s="114">
        <v>1489.2</v>
      </c>
      <c r="H74" s="116">
        <v>164</v>
      </c>
      <c r="I74" s="116">
        <v>1.8250000000000002</v>
      </c>
      <c r="J74" s="116">
        <f t="shared" si="8"/>
        <v>271.77900000000005</v>
      </c>
      <c r="K74" s="116">
        <v>82.008600000000001</v>
      </c>
      <c r="L74" s="117">
        <f t="shared" si="9"/>
        <v>517.78760000000011</v>
      </c>
      <c r="M74" s="116">
        <f t="shared" si="10"/>
        <v>3.4769513832930437</v>
      </c>
      <c r="N74" s="94"/>
      <c r="O74" s="94"/>
    </row>
    <row r="75" spans="1:15" ht="14.5" x14ac:dyDescent="0.35">
      <c r="A75" s="112"/>
      <c r="B75" s="113" t="s">
        <v>299</v>
      </c>
      <c r="C75" s="113" t="s">
        <v>143</v>
      </c>
      <c r="D75" s="114">
        <v>1200</v>
      </c>
      <c r="E75" s="115">
        <v>1</v>
      </c>
      <c r="F75" s="114">
        <f t="shared" si="7"/>
        <v>1200</v>
      </c>
      <c r="G75" s="114">
        <v>0</v>
      </c>
      <c r="H75" s="116">
        <v>982.87200000000007</v>
      </c>
      <c r="I75" s="116">
        <v>3.1411999999999995</v>
      </c>
      <c r="J75" s="116">
        <f t="shared" si="8"/>
        <v>0</v>
      </c>
      <c r="K75" s="116">
        <v>0</v>
      </c>
      <c r="L75" s="117">
        <f t="shared" si="9"/>
        <v>982.87200000000007</v>
      </c>
      <c r="M75" s="116">
        <f t="shared" si="10"/>
        <v>0</v>
      </c>
      <c r="N75" s="94"/>
      <c r="O75" s="94"/>
    </row>
    <row r="76" spans="1:15" ht="29" x14ac:dyDescent="0.35">
      <c r="A76" s="112"/>
      <c r="B76" s="113" t="s">
        <v>313</v>
      </c>
      <c r="C76" s="113"/>
      <c r="D76" s="114">
        <v>6340</v>
      </c>
      <c r="E76" s="115">
        <v>1</v>
      </c>
      <c r="F76" s="114">
        <f t="shared" si="7"/>
        <v>6340</v>
      </c>
      <c r="G76" s="114">
        <v>12463.968587439958</v>
      </c>
      <c r="H76" s="116">
        <v>0</v>
      </c>
      <c r="I76" s="116">
        <v>5.59</v>
      </c>
      <c r="J76" s="116">
        <f t="shared" si="8"/>
        <v>6967.3584403789373</v>
      </c>
      <c r="K76" s="116">
        <v>0</v>
      </c>
      <c r="L76" s="117">
        <f t="shared" si="9"/>
        <v>6967.3584403789373</v>
      </c>
      <c r="M76" s="116">
        <f t="shared" si="10"/>
        <v>5.5900000000000007</v>
      </c>
      <c r="N76" s="94"/>
      <c r="O76" s="94"/>
    </row>
    <row r="77" spans="1:15" ht="14.5" x14ac:dyDescent="0.35">
      <c r="A77" s="112"/>
      <c r="B77" s="113" t="s">
        <v>315</v>
      </c>
      <c r="C77" s="113" t="s">
        <v>1636</v>
      </c>
      <c r="D77" s="114">
        <v>2395</v>
      </c>
      <c r="E77" s="115">
        <v>1</v>
      </c>
      <c r="F77" s="114">
        <f t="shared" si="7"/>
        <v>2395</v>
      </c>
      <c r="G77" s="114">
        <v>3115.6458263302666</v>
      </c>
      <c r="H77" s="116">
        <v>0</v>
      </c>
      <c r="I77" s="116">
        <v>4.37</v>
      </c>
      <c r="J77" s="116">
        <f t="shared" si="8"/>
        <v>1361.5372261063264</v>
      </c>
      <c r="K77" s="116">
        <v>0</v>
      </c>
      <c r="L77" s="117">
        <f t="shared" si="9"/>
        <v>1361.5372261063264</v>
      </c>
      <c r="M77" s="116">
        <f t="shared" si="10"/>
        <v>4.37</v>
      </c>
      <c r="N77" s="94"/>
      <c r="O77" s="94"/>
    </row>
    <row r="78" spans="1:15" ht="14.5" x14ac:dyDescent="0.35">
      <c r="A78" s="119"/>
      <c r="B78" s="120" t="s">
        <v>700</v>
      </c>
      <c r="C78" s="120"/>
      <c r="D78" s="121">
        <f>D39+D59+D63+SUM(D64:D77)</f>
        <v>51674.59</v>
      </c>
      <c r="E78" s="122">
        <f>F78/D78</f>
        <v>0.6609223082015746</v>
      </c>
      <c r="F78" s="121">
        <f>F39+F59+F63+SUM(F64:F77)</f>
        <v>34152.889298170005</v>
      </c>
      <c r="G78" s="121">
        <f>G39+G59+G63+SUM(G64:G77)</f>
        <v>153127.63070470671</v>
      </c>
      <c r="H78" s="121">
        <f>H39+H59+H63+SUM(H64:H77)</f>
        <v>17504.534262600006</v>
      </c>
      <c r="I78" s="121">
        <f>J78/G78*10</f>
        <v>2.462363585973637</v>
      </c>
      <c r="J78" s="121">
        <f>J39+J59+J63+SUM(J64:J77)</f>
        <v>37705.590185368841</v>
      </c>
      <c r="K78" s="121">
        <f>K39+K59+K63+SUM(K64:K77)</f>
        <v>363.0956000000001</v>
      </c>
      <c r="L78" s="121">
        <f>L39+L59+L63+SUM(L64:L77)</f>
        <v>55625.050047968842</v>
      </c>
      <c r="M78" s="121">
        <f>L78/G78*10</f>
        <v>3.6325939212915075</v>
      </c>
      <c r="N78" s="94"/>
      <c r="O78" s="94"/>
    </row>
    <row r="79" spans="1:15" ht="43.5" x14ac:dyDescent="0.35">
      <c r="A79" s="119"/>
      <c r="B79" s="120" t="s">
        <v>701</v>
      </c>
      <c r="C79" s="120"/>
      <c r="D79" s="121"/>
      <c r="E79" s="123"/>
      <c r="F79" s="121"/>
      <c r="G79" s="121"/>
      <c r="H79" s="121">
        <f>2682+6</f>
        <v>2688</v>
      </c>
      <c r="I79" s="121"/>
      <c r="J79" s="121"/>
      <c r="K79" s="121"/>
      <c r="L79" s="121">
        <f>SUM(J79:K79)+H79</f>
        <v>2688</v>
      </c>
      <c r="M79" s="121">
        <f>IFERROR(L79/G79*10,0)</f>
        <v>0</v>
      </c>
      <c r="N79" s="94"/>
      <c r="O79" s="94"/>
    </row>
    <row r="80" spans="1:15" ht="14.5" x14ac:dyDescent="0.35">
      <c r="A80" s="124"/>
      <c r="B80" s="125" t="s">
        <v>702</v>
      </c>
      <c r="C80" s="125"/>
      <c r="D80" s="126">
        <f>D78+D79</f>
        <v>51674.59</v>
      </c>
      <c r="E80" s="127">
        <f>F80/D80</f>
        <v>0.6609223082015746</v>
      </c>
      <c r="F80" s="126">
        <f>F78+F79</f>
        <v>34152.889298170005</v>
      </c>
      <c r="G80" s="126">
        <f>G78+G79</f>
        <v>153127.63070470671</v>
      </c>
      <c r="H80" s="126">
        <f>H78+H79</f>
        <v>20192.534262600006</v>
      </c>
      <c r="I80" s="126">
        <f>J80/G80*10</f>
        <v>2.462363585973637</v>
      </c>
      <c r="J80" s="126">
        <f>J78+J79</f>
        <v>37705.590185368841</v>
      </c>
      <c r="K80" s="126">
        <f>K78+K79</f>
        <v>363.0956000000001</v>
      </c>
      <c r="L80" s="126">
        <f>L78+L79</f>
        <v>58313.050047968842</v>
      </c>
      <c r="M80" s="126">
        <f>IFERROR(L80/G80*10,0)</f>
        <v>3.808133762640165</v>
      </c>
      <c r="N80" s="94"/>
      <c r="O80" s="94"/>
    </row>
    <row r="81" spans="1:24" customFormat="1" ht="14.5" x14ac:dyDescent="0.35">
      <c r="A81" s="95"/>
      <c r="B81" s="3" t="s">
        <v>728</v>
      </c>
      <c r="C81" s="142" t="s">
        <v>143</v>
      </c>
      <c r="D81" s="3">
        <v>500</v>
      </c>
      <c r="E81" s="31">
        <v>1</v>
      </c>
      <c r="F81" s="3">
        <f t="shared" ref="F81:F89" si="11">D81*E81</f>
        <v>500</v>
      </c>
      <c r="G81" s="146">
        <v>3723</v>
      </c>
      <c r="H81" s="3">
        <v>481.62</v>
      </c>
      <c r="I81" s="11">
        <v>2.85</v>
      </c>
      <c r="J81" s="11">
        <f t="shared" ref="J81:J89" si="12">G81*I81/10</f>
        <v>1061.0550000000001</v>
      </c>
      <c r="K81" s="14"/>
      <c r="L81" s="11">
        <f t="shared" ref="L81:L89" si="13">H81+J81</f>
        <v>1542.6750000000002</v>
      </c>
      <c r="M81" s="11">
        <f t="shared" ref="M81:M89" si="14">L81/G81*10</f>
        <v>4.1436341659951657</v>
      </c>
      <c r="S81" s="138"/>
      <c r="X81" s="138"/>
    </row>
    <row r="82" spans="1:24" customFormat="1" ht="14.5" x14ac:dyDescent="0.35">
      <c r="A82" s="95"/>
      <c r="B82" s="3" t="s">
        <v>729</v>
      </c>
      <c r="C82" s="142" t="s">
        <v>1613</v>
      </c>
      <c r="D82" s="3">
        <v>500</v>
      </c>
      <c r="E82" s="31">
        <v>1</v>
      </c>
      <c r="F82" s="3">
        <f t="shared" si="11"/>
        <v>500</v>
      </c>
      <c r="G82" s="146">
        <v>0</v>
      </c>
      <c r="H82" s="3">
        <v>156.27000000000001</v>
      </c>
      <c r="I82" s="3">
        <v>13.06</v>
      </c>
      <c r="J82" s="11">
        <f t="shared" si="12"/>
        <v>0</v>
      </c>
      <c r="K82" s="14"/>
      <c r="L82" s="11">
        <f t="shared" si="13"/>
        <v>156.27000000000001</v>
      </c>
      <c r="M82" s="11" t="e">
        <f t="shared" si="14"/>
        <v>#DIV/0!</v>
      </c>
      <c r="S82" s="138"/>
      <c r="X82" s="138"/>
    </row>
    <row r="83" spans="1:24" customFormat="1" ht="14.5" x14ac:dyDescent="0.35">
      <c r="A83" s="95"/>
      <c r="B83" s="3" t="s">
        <v>730</v>
      </c>
      <c r="C83" s="142" t="s">
        <v>1613</v>
      </c>
      <c r="D83" s="3">
        <v>180</v>
      </c>
      <c r="E83" s="31">
        <v>1</v>
      </c>
      <c r="F83" s="3">
        <f t="shared" si="11"/>
        <v>180</v>
      </c>
      <c r="G83" s="146">
        <v>884.12</v>
      </c>
      <c r="H83" s="3">
        <v>190.6</v>
      </c>
      <c r="I83" s="3">
        <v>2.36</v>
      </c>
      <c r="J83" s="11">
        <f t="shared" si="12"/>
        <v>208.65232</v>
      </c>
      <c r="K83" s="14"/>
      <c r="L83" s="11">
        <f t="shared" si="13"/>
        <v>399.25232</v>
      </c>
      <c r="M83" s="11">
        <f t="shared" si="14"/>
        <v>4.5158159525856219</v>
      </c>
    </row>
    <row r="84" spans="1:24" customFormat="1" ht="14.5" x14ac:dyDescent="0.35">
      <c r="A84" s="95"/>
      <c r="B84" s="3" t="s">
        <v>731</v>
      </c>
      <c r="C84" s="142" t="s">
        <v>143</v>
      </c>
      <c r="D84" s="3">
        <v>250</v>
      </c>
      <c r="E84" s="31">
        <v>1</v>
      </c>
      <c r="F84" s="3">
        <f t="shared" si="11"/>
        <v>250</v>
      </c>
      <c r="G84" s="146">
        <v>1863</v>
      </c>
      <c r="H84" s="3">
        <v>265.94</v>
      </c>
      <c r="I84" s="3">
        <v>2.83</v>
      </c>
      <c r="J84" s="11">
        <f t="shared" si="12"/>
        <v>527.22900000000004</v>
      </c>
      <c r="K84" s="14"/>
      <c r="L84" s="11">
        <f t="shared" si="13"/>
        <v>793.1690000000001</v>
      </c>
      <c r="M84" s="11">
        <f t="shared" si="14"/>
        <v>4.2574825550187869</v>
      </c>
    </row>
    <row r="85" spans="1:24" customFormat="1" ht="14.5" x14ac:dyDescent="0.35">
      <c r="A85" s="95"/>
      <c r="B85" s="3" t="s">
        <v>732</v>
      </c>
      <c r="C85" s="142" t="s">
        <v>143</v>
      </c>
      <c r="D85" s="3">
        <v>500</v>
      </c>
      <c r="E85" s="140">
        <v>0.92190000000000005</v>
      </c>
      <c r="F85" s="3">
        <f t="shared" si="11"/>
        <v>460.95000000000005</v>
      </c>
      <c r="G85" s="147">
        <v>4038.010928961748</v>
      </c>
      <c r="H85" s="3">
        <v>350.74</v>
      </c>
      <c r="I85" s="3">
        <v>3.2519999999999998</v>
      </c>
      <c r="J85" s="11">
        <f t="shared" si="12"/>
        <v>1313.1611540983604</v>
      </c>
      <c r="K85" s="14"/>
      <c r="L85" s="11">
        <f t="shared" si="13"/>
        <v>1663.9011540983604</v>
      </c>
      <c r="M85" s="11">
        <f t="shared" si="14"/>
        <v>4.1205959651183557</v>
      </c>
    </row>
    <row r="86" spans="1:24" customFormat="1" ht="14.5" x14ac:dyDescent="0.35">
      <c r="A86" s="95"/>
      <c r="B86" s="3" t="s">
        <v>733</v>
      </c>
      <c r="C86" s="142" t="s">
        <v>143</v>
      </c>
      <c r="D86" s="3">
        <v>600</v>
      </c>
      <c r="E86" s="31">
        <v>1</v>
      </c>
      <c r="F86" s="3">
        <f t="shared" si="11"/>
        <v>600</v>
      </c>
      <c r="G86" s="145">
        <v>4467.6000000000004</v>
      </c>
      <c r="H86" s="3">
        <v>891.89</v>
      </c>
      <c r="I86" s="3">
        <v>2.1859999999999999</v>
      </c>
      <c r="J86" s="11">
        <f t="shared" si="12"/>
        <v>976.61735999999996</v>
      </c>
      <c r="K86" s="14"/>
      <c r="L86" s="11">
        <f t="shared" si="13"/>
        <v>1868.5073600000001</v>
      </c>
      <c r="M86" s="11">
        <f t="shared" si="14"/>
        <v>4.1823515086399858</v>
      </c>
    </row>
    <row r="87" spans="1:24" customFormat="1" ht="14.5" x14ac:dyDescent="0.35">
      <c r="A87" s="95"/>
      <c r="B87" s="3" t="s">
        <v>734</v>
      </c>
      <c r="C87" s="142" t="s">
        <v>1604</v>
      </c>
      <c r="D87" s="3">
        <v>72</v>
      </c>
      <c r="E87" s="31">
        <v>1</v>
      </c>
      <c r="F87" s="3">
        <f t="shared" si="11"/>
        <v>72</v>
      </c>
      <c r="G87" s="145">
        <v>274</v>
      </c>
      <c r="H87" s="11">
        <v>99.81</v>
      </c>
      <c r="I87" s="11">
        <v>2.9</v>
      </c>
      <c r="J87" s="11">
        <f t="shared" si="12"/>
        <v>79.460000000000008</v>
      </c>
      <c r="K87" s="14"/>
      <c r="L87" s="11">
        <f t="shared" si="13"/>
        <v>179.27</v>
      </c>
      <c r="M87" s="11">
        <f t="shared" si="14"/>
        <v>6.5427007299270077</v>
      </c>
    </row>
    <row r="88" spans="1:24" customFormat="1" ht="14.5" x14ac:dyDescent="0.35">
      <c r="A88" s="95"/>
      <c r="B88" s="3" t="s">
        <v>735</v>
      </c>
      <c r="C88" s="142" t="s">
        <v>1604</v>
      </c>
      <c r="D88" s="3">
        <v>300</v>
      </c>
      <c r="E88" s="31">
        <v>1</v>
      </c>
      <c r="F88" s="3">
        <f t="shared" si="11"/>
        <v>300</v>
      </c>
      <c r="G88" s="145">
        <v>899</v>
      </c>
      <c r="H88" s="11">
        <v>118.31</v>
      </c>
      <c r="I88" s="11">
        <v>0.81</v>
      </c>
      <c r="J88" s="11">
        <f t="shared" si="12"/>
        <v>72.819000000000003</v>
      </c>
      <c r="K88" s="14"/>
      <c r="L88" s="11">
        <f t="shared" si="13"/>
        <v>191.12900000000002</v>
      </c>
      <c r="M88" s="11">
        <f t="shared" si="14"/>
        <v>2.1260177975528367</v>
      </c>
    </row>
    <row r="89" spans="1:24" customFormat="1" ht="14.5" x14ac:dyDescent="0.35">
      <c r="A89" s="95"/>
      <c r="B89" s="3" t="s">
        <v>736</v>
      </c>
      <c r="C89" s="142" t="s">
        <v>1604</v>
      </c>
      <c r="D89" s="3">
        <v>75</v>
      </c>
      <c r="E89" s="31">
        <v>1</v>
      </c>
      <c r="F89" s="3">
        <f t="shared" si="11"/>
        <v>75</v>
      </c>
      <c r="G89" s="145">
        <v>297</v>
      </c>
      <c r="H89" s="3">
        <v>61.29</v>
      </c>
      <c r="I89" s="3">
        <v>1.61</v>
      </c>
      <c r="J89" s="11">
        <f t="shared" si="12"/>
        <v>47.817</v>
      </c>
      <c r="K89" s="14"/>
      <c r="L89" s="11">
        <f t="shared" si="13"/>
        <v>109.107</v>
      </c>
      <c r="M89" s="11">
        <f t="shared" si="14"/>
        <v>3.6736363636363634</v>
      </c>
    </row>
    <row r="91" spans="1:24" x14ac:dyDescent="0.3">
      <c r="A91" s="131" t="s">
        <v>249</v>
      </c>
      <c r="B91" s="132" t="s">
        <v>748</v>
      </c>
    </row>
    <row r="92" spans="1:24" ht="14.5" x14ac:dyDescent="0.35">
      <c r="B92" s="10" t="s">
        <v>720</v>
      </c>
      <c r="C92" s="10" t="s">
        <v>47</v>
      </c>
      <c r="D92" s="10" t="s">
        <v>743</v>
      </c>
      <c r="E92" s="10" t="s">
        <v>703</v>
      </c>
      <c r="F92" s="10" t="s">
        <v>142</v>
      </c>
      <c r="G92" s="10" t="s">
        <v>737</v>
      </c>
      <c r="P92" s="93"/>
    </row>
    <row r="93" spans="1:24" ht="14.5" x14ac:dyDescent="0.35">
      <c r="B93" s="10" t="s">
        <v>745</v>
      </c>
      <c r="C93" s="3">
        <v>2300</v>
      </c>
      <c r="D93" s="23">
        <f>0.6*0.62</f>
        <v>0.372</v>
      </c>
      <c r="E93" s="143">
        <f>C93*D93*8.76</f>
        <v>7495.0559999999996</v>
      </c>
      <c r="F93" s="11">
        <v>5.76</v>
      </c>
      <c r="G93" s="143">
        <f>E93*F93/10</f>
        <v>4317.1522559999994</v>
      </c>
      <c r="P93" s="93"/>
    </row>
    <row r="94" spans="1:24" ht="14.5" x14ac:dyDescent="0.35">
      <c r="B94" s="144" t="s">
        <v>742</v>
      </c>
      <c r="C94" s="3">
        <v>3641</v>
      </c>
      <c r="D94" s="23">
        <v>0.158789024</v>
      </c>
      <c r="E94" s="143">
        <f>C94*D94*8.76</f>
        <v>5064.6013267238404</v>
      </c>
      <c r="F94" s="11">
        <v>5.3271600000000001</v>
      </c>
      <c r="G94" s="143">
        <f>E94*F94/10</f>
        <v>2697.9941603670172</v>
      </c>
      <c r="P94" s="93"/>
    </row>
    <row r="95" spans="1:24" ht="14.5" x14ac:dyDescent="0.35">
      <c r="B95" s="144" t="s">
        <v>744</v>
      </c>
      <c r="C95" s="3">
        <v>194</v>
      </c>
      <c r="D95" s="23">
        <v>0.282647963</v>
      </c>
      <c r="E95" s="143">
        <f>C95*D95*8.76</f>
        <v>480.34325424072</v>
      </c>
      <c r="F95" s="11">
        <v>2.75</v>
      </c>
      <c r="G95" s="143">
        <f>E95*F95/10</f>
        <v>132.09439491619801</v>
      </c>
      <c r="P95" s="93"/>
    </row>
    <row r="96" spans="1:24" ht="14.5" x14ac:dyDescent="0.35">
      <c r="B96" s="10" t="s">
        <v>746</v>
      </c>
      <c r="C96" s="3">
        <f>SUM(C94:C95)</f>
        <v>3835</v>
      </c>
      <c r="D96" s="23">
        <f>E96/(C96*8.76)</f>
        <v>0.16505463916714475</v>
      </c>
      <c r="E96" s="143">
        <f>SUM(E94:E95)</f>
        <v>5544.9445809645604</v>
      </c>
      <c r="F96" s="11">
        <f>G96/E96*10</f>
        <v>5.1039077378676208</v>
      </c>
      <c r="G96" s="143">
        <f>SUM(G94:G95)</f>
        <v>2830.0885552832151</v>
      </c>
      <c r="P96" s="93"/>
    </row>
  </sheetData>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02"/>
  <sheetViews>
    <sheetView workbookViewId="0"/>
  </sheetViews>
  <sheetFormatPr defaultColWidth="9.26953125" defaultRowHeight="14.5" x14ac:dyDescent="0.35"/>
  <cols>
    <col min="1" max="1" width="36.26953125" style="51" customWidth="1"/>
    <col min="2" max="2" width="9.26953125" style="51"/>
    <col min="3" max="3" width="14.453125" style="51" customWidth="1"/>
    <col min="4" max="4" width="14.26953125" style="51" customWidth="1"/>
    <col min="5" max="13" width="9.26953125" style="51"/>
    <col min="14" max="14" width="9.453125" style="51" bestFit="1" customWidth="1"/>
    <col min="15" max="16384" width="9.26953125" style="51"/>
  </cols>
  <sheetData>
    <row r="2" spans="1:9" ht="29" x14ac:dyDescent="0.35">
      <c r="A2" s="50" t="s">
        <v>157</v>
      </c>
      <c r="B2" s="50" t="s">
        <v>180</v>
      </c>
      <c r="C2" s="50" t="s">
        <v>146</v>
      </c>
      <c r="D2" s="50" t="s">
        <v>703</v>
      </c>
      <c r="E2" s="50" t="s">
        <v>738</v>
      </c>
      <c r="F2" s="50" t="s">
        <v>737</v>
      </c>
      <c r="G2" s="50" t="s">
        <v>182</v>
      </c>
      <c r="H2" s="50" t="s">
        <v>142</v>
      </c>
    </row>
    <row r="3" spans="1:9" ht="15" customHeight="1" x14ac:dyDescent="0.35">
      <c r="A3" s="43" t="s">
        <v>143</v>
      </c>
      <c r="B3" s="63" t="s">
        <v>750</v>
      </c>
      <c r="C3" s="156">
        <f>D31</f>
        <v>1200.7</v>
      </c>
      <c r="D3" s="156">
        <f>E31</f>
        <v>6830.2900000000009</v>
      </c>
      <c r="E3" s="156">
        <f>F31</f>
        <v>842.95</v>
      </c>
      <c r="F3" s="156">
        <f>G31</f>
        <v>1432.0500000000004</v>
      </c>
      <c r="G3" s="108">
        <f>E3/C3*10^7/10^3</f>
        <v>7020.4880486382945</v>
      </c>
      <c r="H3" s="73">
        <f>F3/D3*10</f>
        <v>2.0966166883104527</v>
      </c>
      <c r="I3" s="52" t="s">
        <v>316</v>
      </c>
    </row>
    <row r="4" spans="1:9" x14ac:dyDescent="0.35">
      <c r="A4" s="43" t="s">
        <v>144</v>
      </c>
      <c r="B4" s="63" t="s">
        <v>750</v>
      </c>
      <c r="C4" s="156">
        <f>D39</f>
        <v>661.19</v>
      </c>
      <c r="D4" s="156">
        <f>E39</f>
        <v>4591.2400000000007</v>
      </c>
      <c r="E4" s="156">
        <f>F39</f>
        <v>851.1</v>
      </c>
      <c r="F4" s="156">
        <f>G39</f>
        <v>1058.9000000000001</v>
      </c>
      <c r="G4" s="108">
        <f t="shared" ref="G4:G14" si="0">E4/C4*10^7/10^3</f>
        <v>12872.245496755848</v>
      </c>
      <c r="H4" s="73">
        <f t="shared" ref="H4:H14" si="1">F4/D4*10</f>
        <v>2.3063486117040273</v>
      </c>
      <c r="I4" s="52" t="s">
        <v>316</v>
      </c>
    </row>
    <row r="5" spans="1:9" x14ac:dyDescent="0.35">
      <c r="A5" s="63" t="s">
        <v>1612</v>
      </c>
      <c r="B5" s="63" t="s">
        <v>750</v>
      </c>
      <c r="C5" s="108">
        <f>D42</f>
        <v>1861.89</v>
      </c>
      <c r="D5" s="108">
        <f>E42</f>
        <v>11421.530000000002</v>
      </c>
      <c r="E5" s="108">
        <f>F42</f>
        <v>1694.0500000000002</v>
      </c>
      <c r="F5" s="108">
        <f>G42</f>
        <v>2490.9500000000007</v>
      </c>
      <c r="G5" s="108">
        <f t="shared" si="0"/>
        <v>9098.5503977141507</v>
      </c>
      <c r="H5" s="73">
        <f t="shared" si="1"/>
        <v>2.1809249723986195</v>
      </c>
      <c r="I5" s="98"/>
    </row>
    <row r="6" spans="1:9" x14ac:dyDescent="0.35">
      <c r="A6" s="45" t="s">
        <v>1613</v>
      </c>
      <c r="B6" s="63" t="s">
        <v>750</v>
      </c>
      <c r="C6" s="106">
        <v>0</v>
      </c>
      <c r="D6" s="106">
        <v>0</v>
      </c>
      <c r="E6" s="106">
        <v>0</v>
      </c>
      <c r="F6" s="106">
        <v>0</v>
      </c>
      <c r="G6" s="156">
        <f>AS!H5</f>
        <v>2373.8226149627189</v>
      </c>
      <c r="H6" s="247">
        <f>AS!I5</f>
        <v>3.1806741615505532</v>
      </c>
    </row>
    <row r="7" spans="1:9" x14ac:dyDescent="0.35">
      <c r="A7" s="45" t="s">
        <v>1614</v>
      </c>
      <c r="B7" s="63" t="s">
        <v>750</v>
      </c>
      <c r="C7" s="106">
        <v>0</v>
      </c>
      <c r="D7" s="106">
        <v>0</v>
      </c>
      <c r="E7" s="106">
        <v>0</v>
      </c>
      <c r="F7" s="106">
        <v>0</v>
      </c>
      <c r="G7" s="44">
        <v>0</v>
      </c>
      <c r="H7" s="44">
        <v>0</v>
      </c>
    </row>
    <row r="8" spans="1:9" x14ac:dyDescent="0.35">
      <c r="A8" s="45" t="s">
        <v>1615</v>
      </c>
      <c r="B8" s="63" t="s">
        <v>750</v>
      </c>
      <c r="C8" s="106">
        <v>0</v>
      </c>
      <c r="D8" s="106">
        <v>0</v>
      </c>
      <c r="E8" s="106">
        <v>0</v>
      </c>
      <c r="F8" s="106">
        <v>0</v>
      </c>
      <c r="G8" s="44">
        <v>0</v>
      </c>
      <c r="H8" s="44">
        <v>0</v>
      </c>
    </row>
    <row r="9" spans="1:9" x14ac:dyDescent="0.35">
      <c r="A9" s="45" t="s">
        <v>1604</v>
      </c>
      <c r="B9" s="63" t="s">
        <v>750</v>
      </c>
      <c r="C9" s="106">
        <f>D54</f>
        <v>253.54</v>
      </c>
      <c r="D9" s="106">
        <f>E54</f>
        <v>1126.44</v>
      </c>
      <c r="E9" s="106">
        <f>F54</f>
        <v>54.52</v>
      </c>
      <c r="F9" s="106">
        <f>G54</f>
        <v>214.89</v>
      </c>
      <c r="G9" s="108">
        <f t="shared" si="0"/>
        <v>2150.3510294233652</v>
      </c>
      <c r="H9" s="73">
        <f t="shared" si="1"/>
        <v>1.9076914882284006</v>
      </c>
    </row>
    <row r="10" spans="1:9" x14ac:dyDescent="0.35">
      <c r="A10" s="45" t="s">
        <v>1603</v>
      </c>
      <c r="B10" s="63" t="s">
        <v>750</v>
      </c>
      <c r="C10" s="106">
        <f>D47</f>
        <v>13.5</v>
      </c>
      <c r="D10" s="106">
        <f>E47</f>
        <v>5.8</v>
      </c>
      <c r="E10" s="106">
        <f>F47</f>
        <v>0</v>
      </c>
      <c r="F10" s="106">
        <f>G47</f>
        <v>1.44</v>
      </c>
      <c r="G10" s="108">
        <f t="shared" si="0"/>
        <v>0</v>
      </c>
      <c r="H10" s="73">
        <f t="shared" si="1"/>
        <v>2.4827586206896552</v>
      </c>
    </row>
    <row r="11" spans="1:9" x14ac:dyDescent="0.35">
      <c r="A11" s="45" t="s">
        <v>1605</v>
      </c>
      <c r="B11" s="63" t="s">
        <v>750</v>
      </c>
      <c r="C11" s="106">
        <f>D94</f>
        <v>5.56</v>
      </c>
      <c r="D11" s="106">
        <f>E94</f>
        <v>2.83</v>
      </c>
      <c r="E11" s="106">
        <f>F94</f>
        <v>0</v>
      </c>
      <c r="F11" s="106">
        <f>G94</f>
        <v>1.96</v>
      </c>
      <c r="G11" s="108">
        <f t="shared" si="0"/>
        <v>0</v>
      </c>
      <c r="H11" s="73">
        <f t="shared" si="1"/>
        <v>6.925795053003533</v>
      </c>
    </row>
    <row r="12" spans="1:9" x14ac:dyDescent="0.35">
      <c r="A12" s="45" t="s">
        <v>1636</v>
      </c>
      <c r="B12" s="63" t="s">
        <v>750</v>
      </c>
      <c r="C12" s="106">
        <f>D76</f>
        <v>66.42</v>
      </c>
      <c r="D12" s="106">
        <f>E76</f>
        <v>81.500000000000014</v>
      </c>
      <c r="E12" s="106">
        <f>F76</f>
        <v>0</v>
      </c>
      <c r="F12" s="106">
        <f>G76</f>
        <v>65.429999999999993</v>
      </c>
      <c r="G12" s="108">
        <f t="shared" si="0"/>
        <v>0</v>
      </c>
      <c r="H12" s="73">
        <f t="shared" si="1"/>
        <v>8.0282208588957022</v>
      </c>
    </row>
    <row r="13" spans="1:9" x14ac:dyDescent="0.35">
      <c r="A13" s="45" t="s">
        <v>145</v>
      </c>
      <c r="B13" s="63" t="s">
        <v>750</v>
      </c>
      <c r="C13" s="106">
        <v>0</v>
      </c>
      <c r="D13" s="106">
        <v>0</v>
      </c>
      <c r="E13" s="106">
        <v>0</v>
      </c>
      <c r="F13" s="106">
        <v>0</v>
      </c>
      <c r="G13" s="44">
        <v>0</v>
      </c>
      <c r="H13" s="44">
        <v>0</v>
      </c>
    </row>
    <row r="14" spans="1:9" x14ac:dyDescent="0.35">
      <c r="A14" s="45" t="s">
        <v>1606</v>
      </c>
      <c r="B14" s="63" t="s">
        <v>750</v>
      </c>
      <c r="C14" s="106">
        <f>D60</f>
        <v>5.4</v>
      </c>
      <c r="D14" s="106">
        <f>E60</f>
        <v>408.04999999999995</v>
      </c>
      <c r="E14" s="106">
        <f>F60</f>
        <v>0</v>
      </c>
      <c r="F14" s="106">
        <f>G60</f>
        <v>191.51</v>
      </c>
      <c r="G14" s="108">
        <f t="shared" si="0"/>
        <v>0</v>
      </c>
      <c r="H14" s="73">
        <f t="shared" si="1"/>
        <v>4.693297390025732</v>
      </c>
    </row>
    <row r="16" spans="1:9" x14ac:dyDescent="0.35">
      <c r="A16" s="53" t="s">
        <v>49</v>
      </c>
    </row>
    <row r="17" spans="1:14" x14ac:dyDescent="0.35">
      <c r="A17" s="54" t="s">
        <v>50</v>
      </c>
      <c r="B17" s="55" t="s">
        <v>317</v>
      </c>
      <c r="C17" s="55"/>
      <c r="D17" s="55"/>
      <c r="E17" s="55"/>
      <c r="F17" s="55"/>
      <c r="G17" s="55"/>
    </row>
    <row r="18" spans="1:14" ht="15" customHeight="1" x14ac:dyDescent="0.35">
      <c r="A18" s="54" t="s">
        <v>47</v>
      </c>
      <c r="B18" s="802" t="s">
        <v>318</v>
      </c>
      <c r="C18" s="802"/>
      <c r="D18" s="802"/>
      <c r="E18" s="802"/>
      <c r="F18" s="56"/>
      <c r="G18" s="56"/>
      <c r="H18" s="56"/>
    </row>
    <row r="19" spans="1:14" x14ac:dyDescent="0.35">
      <c r="A19" s="54" t="s">
        <v>140</v>
      </c>
      <c r="B19" s="54" t="s">
        <v>48</v>
      </c>
    </row>
    <row r="20" spans="1:14" x14ac:dyDescent="0.35">
      <c r="A20" s="54"/>
      <c r="B20" s="155"/>
    </row>
    <row r="22" spans="1:14" x14ac:dyDescent="0.35">
      <c r="A22" s="57" t="s">
        <v>319</v>
      </c>
      <c r="B22" s="57" t="s">
        <v>264</v>
      </c>
      <c r="C22" s="57" t="s">
        <v>320</v>
      </c>
      <c r="D22" s="57" t="s">
        <v>321</v>
      </c>
      <c r="E22" s="57" t="s">
        <v>322</v>
      </c>
      <c r="F22" s="57" t="s">
        <v>324</v>
      </c>
      <c r="G22" s="57" t="s">
        <v>326</v>
      </c>
      <c r="H22" s="57" t="s">
        <v>323</v>
      </c>
      <c r="I22" s="57" t="s">
        <v>325</v>
      </c>
      <c r="J22" s="57" t="s">
        <v>327</v>
      </c>
      <c r="K22" s="57" t="s">
        <v>328</v>
      </c>
      <c r="L22" s="57" t="s">
        <v>329</v>
      </c>
      <c r="M22" s="100" t="s">
        <v>182</v>
      </c>
      <c r="N22" s="100" t="s">
        <v>142</v>
      </c>
    </row>
    <row r="23" spans="1:14" x14ac:dyDescent="0.35">
      <c r="A23" s="51" t="s">
        <v>330</v>
      </c>
      <c r="C23" s="51" t="s">
        <v>274</v>
      </c>
      <c r="D23" s="51">
        <v>222.72</v>
      </c>
      <c r="E23" s="58">
        <v>1664.17</v>
      </c>
      <c r="F23" s="51">
        <v>153.86000000000001</v>
      </c>
      <c r="G23" s="51">
        <v>262.74</v>
      </c>
      <c r="H23" s="51">
        <v>0.92</v>
      </c>
      <c r="I23" s="58">
        <v>1.58</v>
      </c>
      <c r="J23" s="51">
        <v>7.83</v>
      </c>
      <c r="K23" s="57">
        <v>424.43</v>
      </c>
      <c r="L23" s="51">
        <v>2.5499999999999998</v>
      </c>
      <c r="M23" s="157">
        <f t="shared" ref="M23:M31" si="2">F23/D23*10^7/10^3</f>
        <v>6908.2255747126446</v>
      </c>
      <c r="N23" s="77">
        <f t="shared" ref="N23:N31" si="3">G23/E23*10</f>
        <v>1.5788050499648474</v>
      </c>
    </row>
    <row r="24" spans="1:14" x14ac:dyDescent="0.35">
      <c r="A24" s="51" t="s">
        <v>331</v>
      </c>
      <c r="C24" s="51" t="s">
        <v>274</v>
      </c>
      <c r="D24" s="51">
        <v>271.27999999999997</v>
      </c>
      <c r="E24" s="58">
        <v>1686.34</v>
      </c>
      <c r="F24" s="51">
        <v>158.96</v>
      </c>
      <c r="G24" s="51">
        <v>420.16</v>
      </c>
      <c r="H24" s="51">
        <v>0.94</v>
      </c>
      <c r="I24" s="51">
        <v>2.4900000000000002</v>
      </c>
      <c r="J24" s="51">
        <v>0.67</v>
      </c>
      <c r="K24" s="57">
        <v>579.79</v>
      </c>
      <c r="L24" s="51">
        <v>3.44</v>
      </c>
      <c r="M24" s="157">
        <f t="shared" si="2"/>
        <v>5859.6284281922744</v>
      </c>
      <c r="N24" s="77">
        <f t="shared" si="3"/>
        <v>2.4915497467889041</v>
      </c>
    </row>
    <row r="25" spans="1:14" x14ac:dyDescent="0.35">
      <c r="A25" s="51" t="s">
        <v>332</v>
      </c>
      <c r="C25" s="51" t="s">
        <v>274</v>
      </c>
      <c r="D25" s="51">
        <v>189.86</v>
      </c>
      <c r="E25" s="58">
        <v>1285.56</v>
      </c>
      <c r="F25" s="51">
        <v>137.16</v>
      </c>
      <c r="G25" s="51">
        <v>305.19</v>
      </c>
      <c r="H25" s="51">
        <v>1.07</v>
      </c>
      <c r="I25" s="51">
        <v>2.37</v>
      </c>
      <c r="J25" s="51">
        <v>0.23</v>
      </c>
      <c r="K25" s="57">
        <v>442.58</v>
      </c>
      <c r="L25" s="51">
        <v>3.44</v>
      </c>
      <c r="M25" s="157">
        <f t="shared" si="2"/>
        <v>7224.2705151164009</v>
      </c>
      <c r="N25" s="77">
        <f t="shared" si="3"/>
        <v>2.3739848781853823</v>
      </c>
    </row>
    <row r="26" spans="1:14" x14ac:dyDescent="0.35">
      <c r="A26" s="51" t="s">
        <v>333</v>
      </c>
      <c r="C26" s="51" t="s">
        <v>274</v>
      </c>
      <c r="D26" s="51">
        <v>118.8</v>
      </c>
      <c r="E26" s="51">
        <v>376.56</v>
      </c>
      <c r="F26" s="51">
        <v>51.5</v>
      </c>
      <c r="G26" s="51">
        <v>125.67</v>
      </c>
      <c r="H26" s="51">
        <v>1.37</v>
      </c>
      <c r="I26" s="51">
        <v>3.34</v>
      </c>
      <c r="J26" s="51">
        <v>0.54</v>
      </c>
      <c r="K26" s="51">
        <v>176.63</v>
      </c>
      <c r="L26" s="51">
        <v>4.6900000000000004</v>
      </c>
      <c r="M26" s="157">
        <f t="shared" si="2"/>
        <v>4335.0168350168342</v>
      </c>
      <c r="N26" s="77">
        <f t="shared" si="3"/>
        <v>3.3373167622689608</v>
      </c>
    </row>
    <row r="27" spans="1:14" x14ac:dyDescent="0.35">
      <c r="A27" s="51" t="s">
        <v>334</v>
      </c>
      <c r="C27" s="51" t="s">
        <v>274</v>
      </c>
      <c r="D27" s="51">
        <v>157.9</v>
      </c>
      <c r="E27" s="51">
        <v>491.55</v>
      </c>
      <c r="F27" s="51">
        <v>123.96</v>
      </c>
      <c r="G27" s="51">
        <v>128.75</v>
      </c>
      <c r="H27" s="51">
        <v>2.52</v>
      </c>
      <c r="I27" s="51">
        <v>2.62</v>
      </c>
      <c r="J27" s="51">
        <v>0</v>
      </c>
      <c r="K27" s="51">
        <v>252.71</v>
      </c>
      <c r="L27" s="51">
        <v>5.14</v>
      </c>
      <c r="M27" s="157">
        <f t="shared" si="2"/>
        <v>7850.5383153894863</v>
      </c>
      <c r="N27" s="77">
        <f t="shared" si="3"/>
        <v>2.6192655884447156</v>
      </c>
    </row>
    <row r="28" spans="1:14" ht="14.25" customHeight="1" x14ac:dyDescent="0.35">
      <c r="A28" s="59" t="s">
        <v>335</v>
      </c>
      <c r="B28" s="51" t="s">
        <v>273</v>
      </c>
      <c r="C28" s="51" t="s">
        <v>274</v>
      </c>
      <c r="D28" s="51">
        <v>40.340000000000003</v>
      </c>
      <c r="E28" s="51">
        <v>354.58</v>
      </c>
      <c r="F28" s="51">
        <v>32.979999999999997</v>
      </c>
      <c r="G28" s="51">
        <v>83.48</v>
      </c>
      <c r="H28" s="51">
        <v>0.93</v>
      </c>
      <c r="I28" s="51">
        <v>2.35</v>
      </c>
      <c r="J28" s="51">
        <v>0.05</v>
      </c>
      <c r="K28" s="57">
        <v>116.51</v>
      </c>
      <c r="L28" s="51">
        <v>3.29</v>
      </c>
      <c r="M28" s="157">
        <f t="shared" si="2"/>
        <v>8175.5081804660376</v>
      </c>
      <c r="N28" s="77">
        <f t="shared" si="3"/>
        <v>2.3543347058491739</v>
      </c>
    </row>
    <row r="29" spans="1:14" x14ac:dyDescent="0.35">
      <c r="A29" s="59" t="s">
        <v>336</v>
      </c>
      <c r="B29" s="51" t="s">
        <v>273</v>
      </c>
      <c r="C29" s="51" t="s">
        <v>274</v>
      </c>
      <c r="D29" s="51">
        <v>59.4</v>
      </c>
      <c r="E29" s="51">
        <v>20.47</v>
      </c>
      <c r="G29" s="51">
        <v>8.39</v>
      </c>
      <c r="H29" s="51" t="s">
        <v>129</v>
      </c>
      <c r="I29" s="51">
        <v>4.0999999999999996</v>
      </c>
      <c r="J29" s="51">
        <v>0</v>
      </c>
      <c r="K29" s="51">
        <v>8.39</v>
      </c>
      <c r="L29" s="51">
        <v>4.0999999999999996</v>
      </c>
      <c r="M29" s="157">
        <f t="shared" si="2"/>
        <v>0</v>
      </c>
      <c r="N29" s="77">
        <f t="shared" si="3"/>
        <v>4.0986809965803621</v>
      </c>
    </row>
    <row r="30" spans="1:14" x14ac:dyDescent="0.35">
      <c r="A30" s="51" t="s">
        <v>337</v>
      </c>
      <c r="C30" s="51" t="s">
        <v>274</v>
      </c>
      <c r="D30" s="51">
        <v>140.4</v>
      </c>
      <c r="E30" s="51">
        <v>951.06</v>
      </c>
      <c r="F30" s="51">
        <v>184.53</v>
      </c>
      <c r="G30" s="51">
        <v>97.67</v>
      </c>
      <c r="H30" s="51">
        <v>1.94</v>
      </c>
      <c r="I30" s="51">
        <v>1.03</v>
      </c>
      <c r="J30" s="51">
        <v>70.38</v>
      </c>
      <c r="K30" s="51">
        <v>352.58</v>
      </c>
      <c r="L30" s="51">
        <v>3.71</v>
      </c>
      <c r="M30" s="157">
        <f t="shared" si="2"/>
        <v>13143.162393162394</v>
      </c>
      <c r="N30" s="77">
        <f t="shared" si="3"/>
        <v>1.0269593926776439</v>
      </c>
    </row>
    <row r="31" spans="1:14" x14ac:dyDescent="0.35">
      <c r="A31" s="99" t="s">
        <v>41</v>
      </c>
      <c r="D31" s="51">
        <f>SUM(D23:D30)</f>
        <v>1200.7</v>
      </c>
      <c r="E31" s="51">
        <f>SUM(E23:E30)</f>
        <v>6830.2900000000009</v>
      </c>
      <c r="F31" s="51">
        <f>SUM(F23:F30)</f>
        <v>842.95</v>
      </c>
      <c r="G31" s="51">
        <f>SUM(G23:G30)</f>
        <v>1432.0500000000004</v>
      </c>
      <c r="M31" s="157">
        <f t="shared" si="2"/>
        <v>7020.4880486382945</v>
      </c>
      <c r="N31" s="77">
        <f t="shared" si="3"/>
        <v>2.0966166883104527</v>
      </c>
    </row>
    <row r="33" spans="1:14" x14ac:dyDescent="0.35">
      <c r="A33" s="59"/>
    </row>
    <row r="34" spans="1:14" x14ac:dyDescent="0.35">
      <c r="A34" s="59"/>
    </row>
    <row r="35" spans="1:14" x14ac:dyDescent="0.35">
      <c r="A35" s="51" t="s">
        <v>338</v>
      </c>
      <c r="C35" s="51" t="s">
        <v>284</v>
      </c>
      <c r="D35" s="51">
        <v>71.599999999999994</v>
      </c>
      <c r="E35" s="51">
        <v>390.31</v>
      </c>
      <c r="F35" s="51">
        <v>71.52</v>
      </c>
      <c r="G35" s="51">
        <v>98.8</v>
      </c>
      <c r="H35" s="51">
        <v>1.83</v>
      </c>
      <c r="I35" s="51">
        <v>2.5299999999999998</v>
      </c>
      <c r="J35" s="51">
        <v>1.36</v>
      </c>
      <c r="K35" s="57">
        <v>171.68</v>
      </c>
      <c r="L35" s="51">
        <v>4.4000000000000004</v>
      </c>
      <c r="M35" s="157">
        <f>F35/D35*10^7/10^3</f>
        <v>9988.8268156424601</v>
      </c>
      <c r="N35" s="77">
        <f>G35/E35*10</f>
        <v>2.5313212574620176</v>
      </c>
    </row>
    <row r="36" spans="1:14" x14ac:dyDescent="0.35">
      <c r="A36" s="51" t="s">
        <v>339</v>
      </c>
      <c r="C36" s="51" t="s">
        <v>284</v>
      </c>
      <c r="D36" s="51">
        <v>542.07000000000005</v>
      </c>
      <c r="E36" s="58">
        <v>3944.3</v>
      </c>
      <c r="F36" s="51">
        <v>750.83</v>
      </c>
      <c r="G36" s="51">
        <v>888.44</v>
      </c>
      <c r="H36" s="51">
        <v>1.9</v>
      </c>
      <c r="I36" s="51">
        <v>2.25</v>
      </c>
      <c r="J36" s="51">
        <v>0.41</v>
      </c>
      <c r="K36" s="60">
        <v>1639.68</v>
      </c>
      <c r="L36" s="51">
        <v>4.16</v>
      </c>
      <c r="M36" s="157">
        <f>F36/D36*10^7/10^3</f>
        <v>13851.163133912592</v>
      </c>
      <c r="N36" s="77">
        <f>G36/E36*10</f>
        <v>2.2524655832467104</v>
      </c>
    </row>
    <row r="37" spans="1:14" x14ac:dyDescent="0.35">
      <c r="A37" s="101" t="s">
        <v>340</v>
      </c>
      <c r="C37" s="51" t="s">
        <v>284</v>
      </c>
      <c r="E37" s="51">
        <v>197.84</v>
      </c>
      <c r="G37" s="51">
        <v>60.74</v>
      </c>
      <c r="I37" s="51">
        <v>3.07</v>
      </c>
      <c r="J37" s="51">
        <v>0</v>
      </c>
      <c r="K37" s="51">
        <v>60.74</v>
      </c>
      <c r="L37" s="51">
        <v>3.07</v>
      </c>
      <c r="M37" s="157" t="e">
        <f>F37/D37*10^7/10^3</f>
        <v>#DIV/0!</v>
      </c>
      <c r="N37" s="77">
        <f>G37/E37*10</f>
        <v>3.0701577031945004</v>
      </c>
    </row>
    <row r="38" spans="1:14" x14ac:dyDescent="0.35">
      <c r="A38" s="51" t="s">
        <v>341</v>
      </c>
      <c r="C38" s="51" t="s">
        <v>284</v>
      </c>
      <c r="D38" s="51">
        <v>47.52</v>
      </c>
      <c r="E38" s="51">
        <v>58.79</v>
      </c>
      <c r="F38" s="51">
        <v>28.75</v>
      </c>
      <c r="G38" s="51">
        <v>10.92</v>
      </c>
      <c r="H38" s="51">
        <v>4.8899999999999997</v>
      </c>
      <c r="I38" s="51">
        <v>1.86</v>
      </c>
      <c r="J38" s="51">
        <v>0.01</v>
      </c>
      <c r="K38" s="51">
        <v>39.68</v>
      </c>
      <c r="L38" s="51">
        <v>6.75</v>
      </c>
      <c r="M38" s="157">
        <f>F38/D38*10^7/10^3</f>
        <v>6050.0841750841746</v>
      </c>
      <c r="N38" s="77">
        <f>G38/E38*10</f>
        <v>1.8574587514883483</v>
      </c>
    </row>
    <row r="39" spans="1:14" x14ac:dyDescent="0.35">
      <c r="D39" s="51">
        <f>SUM(D35:D38)</f>
        <v>661.19</v>
      </c>
      <c r="E39" s="51">
        <f>SUM(E35:E38)</f>
        <v>4591.2400000000007</v>
      </c>
      <c r="F39" s="51">
        <f>SUM(F35:F38)</f>
        <v>851.1</v>
      </c>
      <c r="G39" s="51">
        <f>SUM(G35:G38)</f>
        <v>1058.9000000000001</v>
      </c>
      <c r="K39" s="51">
        <f>SUM(K35:K38)</f>
        <v>1911.7800000000002</v>
      </c>
      <c r="M39" s="157">
        <f>F39/D39*10^7/10^3</f>
        <v>12872.245496755848</v>
      </c>
      <c r="N39" s="77">
        <f>G39/E39*10</f>
        <v>2.3063486117040273</v>
      </c>
    </row>
    <row r="40" spans="1:14" x14ac:dyDescent="0.35">
      <c r="M40" s="157"/>
      <c r="N40" s="77"/>
    </row>
    <row r="41" spans="1:14" x14ac:dyDescent="0.35">
      <c r="D41" s="61"/>
      <c r="E41" s="58"/>
      <c r="M41" s="157"/>
      <c r="N41" s="77"/>
    </row>
    <row r="42" spans="1:14" x14ac:dyDescent="0.35">
      <c r="A42" s="99" t="s">
        <v>41</v>
      </c>
      <c r="C42" s="99" t="s">
        <v>690</v>
      </c>
      <c r="D42" s="61">
        <f>D39+D31</f>
        <v>1861.89</v>
      </c>
      <c r="E42" s="61">
        <f>E39+E31</f>
        <v>11421.530000000002</v>
      </c>
      <c r="F42" s="61">
        <f>F39+F31</f>
        <v>1694.0500000000002</v>
      </c>
      <c r="G42" s="61">
        <f>G39+G31</f>
        <v>2490.9500000000007</v>
      </c>
      <c r="K42" s="61">
        <f>K39+K31</f>
        <v>1911.7800000000002</v>
      </c>
      <c r="M42" s="157">
        <f>F42/D42*10^7/10^3</f>
        <v>9098.5503977141507</v>
      </c>
      <c r="N42" s="77">
        <f>G42/E42*10</f>
        <v>2.1809249723986195</v>
      </c>
    </row>
    <row r="43" spans="1:14" x14ac:dyDescent="0.35">
      <c r="D43" s="61"/>
      <c r="E43" s="58"/>
      <c r="M43" s="157"/>
      <c r="N43" s="77"/>
    </row>
    <row r="44" spans="1:14" x14ac:dyDescent="0.35">
      <c r="D44" s="61"/>
      <c r="E44" s="58"/>
      <c r="M44" s="157"/>
      <c r="N44" s="77"/>
    </row>
    <row r="45" spans="1:14" x14ac:dyDescent="0.35">
      <c r="M45" s="157"/>
      <c r="N45" s="77"/>
    </row>
    <row r="46" spans="1:14" x14ac:dyDescent="0.35">
      <c r="A46" s="51" t="s">
        <v>342</v>
      </c>
      <c r="C46" s="51" t="s">
        <v>312</v>
      </c>
      <c r="D46" s="61">
        <v>13.5</v>
      </c>
      <c r="E46" s="58">
        <v>5.8</v>
      </c>
      <c r="G46" s="51">
        <v>1.44</v>
      </c>
      <c r="H46" s="51" t="s">
        <v>129</v>
      </c>
      <c r="I46" s="51">
        <v>2.4900000000000002</v>
      </c>
      <c r="J46" s="51">
        <v>0</v>
      </c>
      <c r="K46" s="51">
        <v>1.44</v>
      </c>
      <c r="L46" s="51">
        <v>2.4900000000000002</v>
      </c>
      <c r="M46" s="157">
        <f>F46/D46*10^7/10^3</f>
        <v>0</v>
      </c>
      <c r="N46" s="77">
        <f>G46/E46*10</f>
        <v>2.4827586206896552</v>
      </c>
    </row>
    <row r="47" spans="1:14" x14ac:dyDescent="0.35">
      <c r="D47" s="51">
        <f t="shared" ref="D47:K47" si="4">SUM(D46)</f>
        <v>13.5</v>
      </c>
      <c r="E47" s="51">
        <f t="shared" si="4"/>
        <v>5.8</v>
      </c>
      <c r="F47" s="51">
        <f t="shared" si="4"/>
        <v>0</v>
      </c>
      <c r="G47" s="51">
        <f t="shared" si="4"/>
        <v>1.44</v>
      </c>
      <c r="K47" s="51">
        <f t="shared" si="4"/>
        <v>1.44</v>
      </c>
      <c r="M47" s="157">
        <f>F47/D47*10^7/10^3</f>
        <v>0</v>
      </c>
      <c r="N47" s="77">
        <f>G47/E47*10</f>
        <v>2.4827586206896552</v>
      </c>
    </row>
    <row r="48" spans="1:14" x14ac:dyDescent="0.35">
      <c r="M48" s="157"/>
      <c r="N48" s="77"/>
    </row>
    <row r="49" spans="1:18" x14ac:dyDescent="0.35">
      <c r="D49" s="61"/>
      <c r="E49" s="58"/>
      <c r="M49" s="157"/>
      <c r="N49" s="77"/>
    </row>
    <row r="50" spans="1:18" x14ac:dyDescent="0.35">
      <c r="A50" s="51" t="s">
        <v>343</v>
      </c>
      <c r="B50" s="51" t="s">
        <v>308</v>
      </c>
      <c r="C50" s="51" t="s">
        <v>309</v>
      </c>
      <c r="D50" s="51">
        <v>11.34</v>
      </c>
      <c r="E50" s="58">
        <v>66.290000000000006</v>
      </c>
      <c r="F50" s="51">
        <v>13.31</v>
      </c>
      <c r="G50" s="51">
        <v>12.18</v>
      </c>
      <c r="H50" s="51">
        <v>1.95</v>
      </c>
      <c r="I50" s="51">
        <v>1.79</v>
      </c>
      <c r="J50" s="51">
        <v>1.29</v>
      </c>
      <c r="K50" s="51">
        <v>26.78</v>
      </c>
      <c r="L50" s="51">
        <v>3.92</v>
      </c>
      <c r="M50" s="157">
        <f>F50/D50*10^7/10^3</f>
        <v>11737.21340388007</v>
      </c>
      <c r="N50" s="77">
        <f>G50/E50*10</f>
        <v>1.8373812038014781</v>
      </c>
    </row>
    <row r="51" spans="1:18" x14ac:dyDescent="0.35">
      <c r="A51" s="51" t="s">
        <v>344</v>
      </c>
      <c r="B51" s="51" t="s">
        <v>308</v>
      </c>
      <c r="C51" s="51" t="s">
        <v>309</v>
      </c>
      <c r="D51" s="51">
        <v>58.55</v>
      </c>
      <c r="E51" s="51">
        <v>332.2</v>
      </c>
      <c r="F51" s="51">
        <v>41.21</v>
      </c>
      <c r="G51" s="51">
        <v>38.24</v>
      </c>
      <c r="H51" s="51">
        <v>1.2</v>
      </c>
      <c r="I51" s="51">
        <v>1.1100000000000001</v>
      </c>
      <c r="J51" s="51">
        <v>9.25</v>
      </c>
      <c r="K51" s="57">
        <v>88.7</v>
      </c>
      <c r="L51" s="57">
        <v>2.57</v>
      </c>
      <c r="M51" s="157">
        <f>F51/D51*10^7/10^3</f>
        <v>7038.4286934244237</v>
      </c>
      <c r="N51" s="77">
        <f>G51/E51*10</f>
        <v>1.1511137868753765</v>
      </c>
      <c r="O51" s="57"/>
      <c r="P51" s="57"/>
      <c r="Q51" s="57"/>
      <c r="R51" s="57"/>
    </row>
    <row r="52" spans="1:18" x14ac:dyDescent="0.35">
      <c r="A52" s="51" t="s">
        <v>345</v>
      </c>
      <c r="B52" s="51" t="s">
        <v>308</v>
      </c>
      <c r="C52" s="51" t="s">
        <v>309</v>
      </c>
      <c r="D52" s="51">
        <v>43.2</v>
      </c>
      <c r="E52" s="51">
        <v>299.32</v>
      </c>
      <c r="G52" s="51">
        <v>71.89</v>
      </c>
      <c r="I52" s="51">
        <v>2.4</v>
      </c>
      <c r="J52" s="51">
        <v>0</v>
      </c>
      <c r="K52" s="51">
        <v>71.89</v>
      </c>
      <c r="L52" s="51">
        <v>2.4</v>
      </c>
      <c r="M52" s="157">
        <f>F52/D52*10^7/10^3</f>
        <v>0</v>
      </c>
      <c r="N52" s="77">
        <f>G52/E52*10</f>
        <v>2.4017773620205802</v>
      </c>
    </row>
    <row r="53" spans="1:18" x14ac:dyDescent="0.35">
      <c r="A53" s="51" t="s">
        <v>346</v>
      </c>
      <c r="B53" s="51" t="s">
        <v>308</v>
      </c>
      <c r="C53" s="51" t="s">
        <v>309</v>
      </c>
      <c r="D53" s="51">
        <v>140.44999999999999</v>
      </c>
      <c r="E53" s="51">
        <v>428.63</v>
      </c>
      <c r="G53" s="51">
        <v>92.58</v>
      </c>
      <c r="I53" s="51">
        <v>2.16</v>
      </c>
      <c r="J53" s="51">
        <v>0</v>
      </c>
      <c r="K53" s="51">
        <v>92.58</v>
      </c>
      <c r="L53" s="51">
        <v>2.16</v>
      </c>
      <c r="M53" s="157">
        <f>F53/D53*10^7/10^3</f>
        <v>0</v>
      </c>
      <c r="N53" s="77">
        <f>G53/E53*10</f>
        <v>2.1599048130088887</v>
      </c>
    </row>
    <row r="54" spans="1:18" x14ac:dyDescent="0.35">
      <c r="D54" s="51">
        <f>SUM(D50:D53)</f>
        <v>253.54</v>
      </c>
      <c r="E54" s="51">
        <f>SUM(E50:E53)</f>
        <v>1126.44</v>
      </c>
      <c r="F54" s="51">
        <f>SUM(F50:F53)</f>
        <v>54.52</v>
      </c>
      <c r="G54" s="51">
        <f>SUM(G50:G53)</f>
        <v>214.89</v>
      </c>
      <c r="K54" s="51">
        <f>SUM(K50:K53)</f>
        <v>279.95</v>
      </c>
      <c r="M54" s="157">
        <f>F54/D54*10^7/10^3</f>
        <v>2150.3510294233652</v>
      </c>
      <c r="N54" s="77">
        <f>G54/E54*10</f>
        <v>1.9076914882284006</v>
      </c>
    </row>
    <row r="55" spans="1:18" x14ac:dyDescent="0.35">
      <c r="M55" s="157"/>
      <c r="N55" s="77"/>
    </row>
    <row r="56" spans="1:18" x14ac:dyDescent="0.35">
      <c r="A56" s="59"/>
      <c r="M56" s="157"/>
      <c r="N56" s="77"/>
    </row>
    <row r="57" spans="1:18" x14ac:dyDescent="0.35">
      <c r="A57" s="59"/>
      <c r="M57" s="157"/>
      <c r="N57" s="77"/>
    </row>
    <row r="58" spans="1:18" x14ac:dyDescent="0.35">
      <c r="A58" s="51" t="s">
        <v>347</v>
      </c>
      <c r="C58" s="51" t="s">
        <v>348</v>
      </c>
      <c r="D58" s="51">
        <v>5.4</v>
      </c>
      <c r="E58" s="51">
        <v>10.96</v>
      </c>
      <c r="G58" s="51">
        <v>6.41</v>
      </c>
      <c r="I58" s="51">
        <v>5.85</v>
      </c>
      <c r="J58" s="51">
        <v>0</v>
      </c>
      <c r="K58" s="51">
        <v>6.41</v>
      </c>
      <c r="L58" s="51">
        <v>5.85</v>
      </c>
      <c r="M58" s="157">
        <f>F58/D58*10^7/10^3</f>
        <v>0</v>
      </c>
      <c r="N58" s="77">
        <f>G58/E58*10</f>
        <v>5.8485401459854014</v>
      </c>
    </row>
    <row r="59" spans="1:18" x14ac:dyDescent="0.35">
      <c r="A59" s="101" t="s">
        <v>349</v>
      </c>
      <c r="C59" s="51" t="s">
        <v>348</v>
      </c>
      <c r="E59" s="51">
        <v>397.09</v>
      </c>
      <c r="G59" s="51">
        <v>185.1</v>
      </c>
      <c r="I59" s="51">
        <v>4.66</v>
      </c>
      <c r="J59" s="51">
        <v>0</v>
      </c>
      <c r="K59" s="51">
        <v>185.1</v>
      </c>
      <c r="L59" s="51">
        <v>4.66</v>
      </c>
      <c r="M59" s="157" t="e">
        <f>F59/D59*10^7/10^3</f>
        <v>#DIV/0!</v>
      </c>
      <c r="N59" s="77">
        <f>G59/E59*10</f>
        <v>4.6614117706313429</v>
      </c>
    </row>
    <row r="60" spans="1:18" x14ac:dyDescent="0.35">
      <c r="D60" s="51">
        <f>SUM(D58:D59)</f>
        <v>5.4</v>
      </c>
      <c r="E60" s="51">
        <f>SUM(E58:E59)</f>
        <v>408.04999999999995</v>
      </c>
      <c r="F60" s="51">
        <f>SUM(F58:F59)</f>
        <v>0</v>
      </c>
      <c r="G60" s="51">
        <f>SUM(G58:G59)</f>
        <v>191.51</v>
      </c>
      <c r="K60" s="51">
        <f>SUM(K58:K59)</f>
        <v>191.51</v>
      </c>
      <c r="M60" s="157">
        <f>F60/D60*10^7/10^3</f>
        <v>0</v>
      </c>
      <c r="N60" s="77">
        <f>G60/E60*10</f>
        <v>4.693297390025732</v>
      </c>
    </row>
    <row r="61" spans="1:18" x14ac:dyDescent="0.35">
      <c r="M61" s="157"/>
      <c r="N61" s="77"/>
    </row>
    <row r="62" spans="1:18" x14ac:dyDescent="0.35">
      <c r="M62" s="157"/>
      <c r="N62" s="77"/>
    </row>
    <row r="63" spans="1:18" x14ac:dyDescent="0.35">
      <c r="M63" s="157"/>
      <c r="N63" s="77"/>
    </row>
    <row r="64" spans="1:18" x14ac:dyDescent="0.35">
      <c r="A64" s="51" t="s">
        <v>350</v>
      </c>
      <c r="C64" s="51" t="s">
        <v>351</v>
      </c>
      <c r="D64" s="51">
        <v>5.4</v>
      </c>
      <c r="E64" s="51">
        <v>8.9499999999999993</v>
      </c>
      <c r="G64" s="51">
        <v>7.81</v>
      </c>
      <c r="I64" s="51">
        <v>8.73</v>
      </c>
      <c r="J64" s="51">
        <v>0</v>
      </c>
      <c r="K64" s="51">
        <v>7.81</v>
      </c>
      <c r="L64" s="51">
        <v>8.73</v>
      </c>
      <c r="M64" s="157">
        <f t="shared" ref="M64:M76" si="5">F64/D64*10^7/10^3</f>
        <v>0</v>
      </c>
      <c r="N64" s="77">
        <f t="shared" ref="N64:N76" si="6">G64/E64*10</f>
        <v>8.7262569832402228</v>
      </c>
    </row>
    <row r="65" spans="1:14" x14ac:dyDescent="0.35">
      <c r="A65" s="51" t="s">
        <v>352</v>
      </c>
      <c r="C65" s="51" t="s">
        <v>351</v>
      </c>
      <c r="D65" s="51">
        <v>8.1</v>
      </c>
      <c r="E65" s="51">
        <v>12.49</v>
      </c>
      <c r="G65" s="51">
        <v>10.91</v>
      </c>
      <c r="I65" s="51">
        <v>8.73</v>
      </c>
      <c r="J65" s="51">
        <v>0</v>
      </c>
      <c r="K65" s="51">
        <v>10.91</v>
      </c>
      <c r="L65" s="51">
        <v>8.73</v>
      </c>
      <c r="M65" s="157">
        <f t="shared" si="5"/>
        <v>0</v>
      </c>
      <c r="N65" s="77">
        <f t="shared" si="6"/>
        <v>8.7349879903923124</v>
      </c>
    </row>
    <row r="66" spans="1:14" x14ac:dyDescent="0.35">
      <c r="A66" s="51" t="s">
        <v>353</v>
      </c>
      <c r="C66" s="51" t="s">
        <v>351</v>
      </c>
      <c r="D66" s="51">
        <v>5.4</v>
      </c>
      <c r="E66" s="51">
        <v>9.0500000000000007</v>
      </c>
      <c r="G66" s="51">
        <v>5.85</v>
      </c>
      <c r="I66" s="51">
        <v>6.46</v>
      </c>
      <c r="J66" s="51">
        <v>0</v>
      </c>
      <c r="K66" s="51">
        <v>5.85</v>
      </c>
      <c r="L66" s="51">
        <v>6.46</v>
      </c>
      <c r="M66" s="157">
        <f t="shared" si="5"/>
        <v>0</v>
      </c>
      <c r="N66" s="77">
        <f t="shared" si="6"/>
        <v>6.4640883977900545</v>
      </c>
    </row>
    <row r="67" spans="1:14" x14ac:dyDescent="0.35">
      <c r="A67" s="51" t="s">
        <v>354</v>
      </c>
      <c r="C67" s="51" t="s">
        <v>351</v>
      </c>
      <c r="D67" s="51">
        <v>2.7</v>
      </c>
      <c r="E67" s="51">
        <v>1.1000000000000001</v>
      </c>
      <c r="G67" s="51">
        <v>0.84</v>
      </c>
      <c r="I67" s="51">
        <v>7.69</v>
      </c>
      <c r="J67" s="51">
        <v>0</v>
      </c>
      <c r="K67" s="51">
        <v>0.84</v>
      </c>
      <c r="L67" s="51">
        <v>7.69</v>
      </c>
      <c r="M67" s="157">
        <f t="shared" si="5"/>
        <v>0</v>
      </c>
      <c r="N67" s="77">
        <f t="shared" si="6"/>
        <v>7.6363636363636358</v>
      </c>
    </row>
    <row r="68" spans="1:14" x14ac:dyDescent="0.35">
      <c r="A68" s="51" t="s">
        <v>355</v>
      </c>
      <c r="C68" s="51" t="s">
        <v>351</v>
      </c>
      <c r="D68" s="51">
        <v>5.4</v>
      </c>
      <c r="E68" s="51">
        <v>5.94</v>
      </c>
      <c r="G68" s="51">
        <v>4.9800000000000004</v>
      </c>
      <c r="I68" s="51">
        <v>8.39</v>
      </c>
      <c r="J68" s="51">
        <v>0</v>
      </c>
      <c r="K68" s="51">
        <v>4.9800000000000004</v>
      </c>
      <c r="L68" s="51">
        <v>8.39</v>
      </c>
      <c r="M68" s="157">
        <f t="shared" si="5"/>
        <v>0</v>
      </c>
      <c r="N68" s="77">
        <f t="shared" si="6"/>
        <v>8.3838383838383841</v>
      </c>
    </row>
    <row r="69" spans="1:14" x14ac:dyDescent="0.35">
      <c r="A69" s="59" t="s">
        <v>356</v>
      </c>
      <c r="C69" s="51" t="s">
        <v>351</v>
      </c>
      <c r="D69" s="51">
        <v>8.1</v>
      </c>
      <c r="E69" s="51">
        <v>8.73</v>
      </c>
      <c r="G69" s="51">
        <v>6.87</v>
      </c>
      <c r="I69" s="51">
        <v>7.87</v>
      </c>
      <c r="J69" s="51">
        <v>0</v>
      </c>
      <c r="K69" s="51">
        <v>6.87</v>
      </c>
      <c r="L69" s="51">
        <v>7.87</v>
      </c>
      <c r="M69" s="157">
        <f t="shared" si="5"/>
        <v>0</v>
      </c>
      <c r="N69" s="77">
        <f t="shared" si="6"/>
        <v>7.869415807560137</v>
      </c>
    </row>
    <row r="70" spans="1:14" x14ac:dyDescent="0.35">
      <c r="A70" s="59" t="s">
        <v>357</v>
      </c>
      <c r="C70" s="51" t="s">
        <v>351</v>
      </c>
      <c r="D70" s="51">
        <v>2.7</v>
      </c>
      <c r="E70" s="51">
        <v>2.29</v>
      </c>
      <c r="G70" s="51">
        <v>1.82</v>
      </c>
      <c r="I70" s="51">
        <v>7.98</v>
      </c>
      <c r="J70" s="51">
        <v>0</v>
      </c>
      <c r="K70" s="51">
        <v>1.82</v>
      </c>
      <c r="L70" s="51">
        <v>7.98</v>
      </c>
      <c r="M70" s="157">
        <f t="shared" si="5"/>
        <v>0</v>
      </c>
      <c r="N70" s="77">
        <f t="shared" si="6"/>
        <v>7.9475982532751086</v>
      </c>
    </row>
    <row r="71" spans="1:14" x14ac:dyDescent="0.35">
      <c r="A71" s="59" t="s">
        <v>358</v>
      </c>
      <c r="C71" s="51" t="s">
        <v>351</v>
      </c>
      <c r="D71" s="51">
        <v>1.62</v>
      </c>
      <c r="E71" s="51">
        <v>1.66</v>
      </c>
      <c r="G71" s="51">
        <v>0.94</v>
      </c>
      <c r="I71" s="51">
        <v>5.67</v>
      </c>
      <c r="J71" s="51">
        <v>0</v>
      </c>
      <c r="K71" s="51">
        <v>0.94</v>
      </c>
      <c r="L71" s="51">
        <v>5.67</v>
      </c>
      <c r="M71" s="157">
        <f t="shared" si="5"/>
        <v>0</v>
      </c>
      <c r="N71" s="77">
        <f t="shared" si="6"/>
        <v>5.6626506024096388</v>
      </c>
    </row>
    <row r="72" spans="1:14" x14ac:dyDescent="0.35">
      <c r="A72" s="59" t="s">
        <v>359</v>
      </c>
      <c r="C72" s="51" t="s">
        <v>351</v>
      </c>
      <c r="D72" s="51">
        <v>8.1</v>
      </c>
      <c r="E72" s="51">
        <v>12.91</v>
      </c>
      <c r="G72" s="51">
        <v>11.15</v>
      </c>
      <c r="I72" s="51">
        <v>8.64</v>
      </c>
      <c r="J72" s="51">
        <v>0</v>
      </c>
      <c r="K72" s="51">
        <v>11.15</v>
      </c>
      <c r="L72" s="51">
        <v>8.64</v>
      </c>
      <c r="M72" s="157">
        <f t="shared" si="5"/>
        <v>0</v>
      </c>
      <c r="N72" s="77">
        <f t="shared" si="6"/>
        <v>8.6367157242447714</v>
      </c>
    </row>
    <row r="73" spans="1:14" x14ac:dyDescent="0.35">
      <c r="A73" s="59" t="s">
        <v>360</v>
      </c>
      <c r="C73" s="51" t="s">
        <v>351</v>
      </c>
      <c r="D73" s="51">
        <v>5.4</v>
      </c>
      <c r="E73" s="58">
        <v>5.14</v>
      </c>
      <c r="G73" s="51">
        <v>4.47</v>
      </c>
      <c r="I73" s="51">
        <v>8.6999999999999993</v>
      </c>
      <c r="J73" s="51">
        <v>0</v>
      </c>
      <c r="K73" s="51">
        <v>4.47</v>
      </c>
      <c r="L73" s="51">
        <v>8.6999999999999993</v>
      </c>
      <c r="M73" s="157">
        <f t="shared" si="5"/>
        <v>0</v>
      </c>
      <c r="N73" s="77">
        <f t="shared" si="6"/>
        <v>8.6964980544747092</v>
      </c>
    </row>
    <row r="74" spans="1:14" x14ac:dyDescent="0.35">
      <c r="A74" s="59" t="s">
        <v>361</v>
      </c>
      <c r="C74" s="51" t="s">
        <v>351</v>
      </c>
      <c r="D74" s="51">
        <v>8.1</v>
      </c>
      <c r="E74" s="51">
        <v>7.9</v>
      </c>
      <c r="G74" s="51">
        <v>6.76</v>
      </c>
      <c r="I74" s="51">
        <v>8.56</v>
      </c>
      <c r="J74" s="51">
        <v>0</v>
      </c>
      <c r="K74" s="51">
        <v>6.76</v>
      </c>
      <c r="L74" s="51">
        <v>8.56</v>
      </c>
      <c r="M74" s="157">
        <f t="shared" si="5"/>
        <v>0</v>
      </c>
      <c r="N74" s="77">
        <f t="shared" si="6"/>
        <v>8.5569620253164551</v>
      </c>
    </row>
    <row r="75" spans="1:14" x14ac:dyDescent="0.35">
      <c r="A75" s="59" t="s">
        <v>362</v>
      </c>
      <c r="C75" s="51" t="s">
        <v>351</v>
      </c>
      <c r="D75" s="51">
        <v>5.4</v>
      </c>
      <c r="E75" s="51">
        <v>5.34</v>
      </c>
      <c r="G75" s="51">
        <v>3.03</v>
      </c>
      <c r="I75" s="51">
        <v>5.67</v>
      </c>
      <c r="J75" s="51">
        <v>0</v>
      </c>
      <c r="K75" s="51">
        <v>3.03</v>
      </c>
      <c r="L75" s="51">
        <v>5.67</v>
      </c>
      <c r="M75" s="157">
        <f t="shared" si="5"/>
        <v>0</v>
      </c>
      <c r="N75" s="77">
        <f t="shared" si="6"/>
        <v>5.6741573033707855</v>
      </c>
    </row>
    <row r="76" spans="1:14" x14ac:dyDescent="0.35">
      <c r="D76" s="51">
        <f>SUM(D64:D75)</f>
        <v>66.42</v>
      </c>
      <c r="E76" s="51">
        <f>SUM(E64:E75)</f>
        <v>81.500000000000014</v>
      </c>
      <c r="F76" s="51">
        <f>SUM(F64:F75)</f>
        <v>0</v>
      </c>
      <c r="G76" s="51">
        <f>SUM(G64:G75)</f>
        <v>65.429999999999993</v>
      </c>
      <c r="K76" s="51">
        <f>SUM(K64:K75)</f>
        <v>65.429999999999993</v>
      </c>
      <c r="M76" s="157">
        <f t="shared" si="5"/>
        <v>0</v>
      </c>
      <c r="N76" s="77">
        <f t="shared" si="6"/>
        <v>8.0282208588957022</v>
      </c>
    </row>
    <row r="77" spans="1:14" x14ac:dyDescent="0.35">
      <c r="M77" s="157"/>
      <c r="N77" s="77"/>
    </row>
    <row r="78" spans="1:14" x14ac:dyDescent="0.35">
      <c r="A78" s="59"/>
      <c r="M78" s="157"/>
      <c r="N78" s="77"/>
    </row>
    <row r="79" spans="1:14" x14ac:dyDescent="0.35">
      <c r="A79" s="59"/>
      <c r="M79" s="157"/>
      <c r="N79" s="77"/>
    </row>
    <row r="80" spans="1:14" x14ac:dyDescent="0.35">
      <c r="A80" s="51" t="s">
        <v>363</v>
      </c>
      <c r="C80" s="51" t="s">
        <v>364</v>
      </c>
      <c r="D80" s="51">
        <v>3.78</v>
      </c>
      <c r="E80" s="51">
        <v>6.83</v>
      </c>
      <c r="G80" s="51">
        <v>3.14</v>
      </c>
      <c r="I80" s="51">
        <v>4.5999999999999996</v>
      </c>
      <c r="J80" s="51">
        <v>0</v>
      </c>
      <c r="K80" s="51">
        <v>3.14</v>
      </c>
      <c r="L80" s="51">
        <v>4.5999999999999996</v>
      </c>
      <c r="M80" s="157">
        <f t="shared" ref="M80:M88" si="7">F80/D80*10^7/10^3</f>
        <v>0</v>
      </c>
      <c r="N80" s="77">
        <f t="shared" ref="N80:N88" si="8">G80/E80*10</f>
        <v>4.597364568081991</v>
      </c>
    </row>
    <row r="81" spans="1:14" x14ac:dyDescent="0.35">
      <c r="A81" s="51" t="s">
        <v>365</v>
      </c>
      <c r="C81" s="51" t="s">
        <v>364</v>
      </c>
      <c r="D81" s="51">
        <v>5.94</v>
      </c>
      <c r="E81" s="51">
        <v>25.52</v>
      </c>
      <c r="G81" s="51">
        <v>13.7</v>
      </c>
      <c r="I81" s="51">
        <v>5.37</v>
      </c>
      <c r="J81" s="51">
        <v>0</v>
      </c>
      <c r="K81" s="51">
        <v>13.7</v>
      </c>
      <c r="L81" s="51">
        <v>5.37</v>
      </c>
      <c r="M81" s="157">
        <f t="shared" si="7"/>
        <v>0</v>
      </c>
      <c r="N81" s="77">
        <f t="shared" si="8"/>
        <v>5.3683385579937308</v>
      </c>
    </row>
    <row r="82" spans="1:14" x14ac:dyDescent="0.35">
      <c r="A82" s="51" t="s">
        <v>366</v>
      </c>
      <c r="C82" s="51" t="s">
        <v>364</v>
      </c>
      <c r="D82" s="51">
        <v>5.94</v>
      </c>
      <c r="E82" s="51">
        <v>16.18</v>
      </c>
      <c r="G82" s="51">
        <v>8.1999999999999993</v>
      </c>
      <c r="I82" s="51">
        <v>5.07</v>
      </c>
      <c r="J82" s="51">
        <v>0</v>
      </c>
      <c r="K82" s="51">
        <v>8.1999999999999993</v>
      </c>
      <c r="L82" s="51">
        <v>5.07</v>
      </c>
      <c r="M82" s="157">
        <f t="shared" si="7"/>
        <v>0</v>
      </c>
      <c r="N82" s="77">
        <f t="shared" si="8"/>
        <v>5.0679851668726812</v>
      </c>
    </row>
    <row r="83" spans="1:14" x14ac:dyDescent="0.35">
      <c r="A83" s="51" t="s">
        <v>367</v>
      </c>
      <c r="C83" s="51" t="s">
        <v>364</v>
      </c>
      <c r="D83" s="51">
        <v>10.8</v>
      </c>
      <c r="E83" s="51">
        <v>14.96</v>
      </c>
      <c r="G83" s="51">
        <v>8.0399999999999991</v>
      </c>
      <c r="I83" s="51">
        <v>5.37</v>
      </c>
      <c r="J83" s="51">
        <v>0</v>
      </c>
      <c r="K83" s="51">
        <v>8.0399999999999991</v>
      </c>
      <c r="L83" s="51">
        <v>5.37</v>
      </c>
      <c r="M83" s="157">
        <f t="shared" si="7"/>
        <v>0</v>
      </c>
      <c r="N83" s="77">
        <f t="shared" si="8"/>
        <v>5.3743315508021379</v>
      </c>
    </row>
    <row r="84" spans="1:14" x14ac:dyDescent="0.35">
      <c r="A84" s="51" t="s">
        <v>368</v>
      </c>
      <c r="C84" s="51" t="s">
        <v>364</v>
      </c>
      <c r="D84" s="51">
        <v>10.8</v>
      </c>
      <c r="E84" s="51">
        <v>12.14</v>
      </c>
      <c r="G84" s="51">
        <v>6.52</v>
      </c>
      <c r="I84" s="51">
        <v>5.38</v>
      </c>
      <c r="J84" s="51">
        <v>0</v>
      </c>
      <c r="K84" s="51">
        <v>6.52</v>
      </c>
      <c r="L84" s="51">
        <v>5.38</v>
      </c>
      <c r="M84" s="157">
        <f t="shared" si="7"/>
        <v>0</v>
      </c>
      <c r="N84" s="77">
        <f t="shared" si="8"/>
        <v>5.3706754530477756</v>
      </c>
    </row>
    <row r="85" spans="1:14" x14ac:dyDescent="0.35">
      <c r="A85" s="51" t="s">
        <v>369</v>
      </c>
      <c r="C85" s="51" t="s">
        <v>364</v>
      </c>
      <c r="D85" s="51">
        <v>5.4</v>
      </c>
      <c r="E85" s="51">
        <v>5.25</v>
      </c>
      <c r="G85" s="51">
        <v>3.1</v>
      </c>
      <c r="I85" s="51">
        <v>5.91</v>
      </c>
      <c r="J85" s="51">
        <v>0</v>
      </c>
      <c r="K85" s="51">
        <v>3.1</v>
      </c>
      <c r="L85" s="51">
        <v>5.91</v>
      </c>
      <c r="M85" s="157">
        <f t="shared" si="7"/>
        <v>0</v>
      </c>
      <c r="N85" s="77">
        <f t="shared" si="8"/>
        <v>5.9047619047619051</v>
      </c>
    </row>
    <row r="86" spans="1:14" x14ac:dyDescent="0.35">
      <c r="A86" s="51" t="s">
        <v>370</v>
      </c>
      <c r="C86" s="51" t="s">
        <v>364</v>
      </c>
      <c r="D86" s="51">
        <v>1.62</v>
      </c>
      <c r="E86" s="51">
        <v>1.7</v>
      </c>
      <c r="G86" s="51">
        <v>1</v>
      </c>
      <c r="I86" s="51">
        <v>5.88</v>
      </c>
      <c r="J86" s="51">
        <v>0</v>
      </c>
      <c r="K86" s="51">
        <v>1</v>
      </c>
      <c r="L86" s="51">
        <v>5.88</v>
      </c>
      <c r="M86" s="157">
        <f t="shared" si="7"/>
        <v>0</v>
      </c>
      <c r="N86" s="77">
        <f t="shared" si="8"/>
        <v>5.882352941176471</v>
      </c>
    </row>
    <row r="87" spans="1:14" x14ac:dyDescent="0.35">
      <c r="A87" s="51" t="s">
        <v>371</v>
      </c>
      <c r="C87" s="51" t="s">
        <v>364</v>
      </c>
      <c r="D87" s="51">
        <v>6</v>
      </c>
      <c r="E87" s="51">
        <v>5.26</v>
      </c>
      <c r="G87" s="51">
        <v>3.23</v>
      </c>
      <c r="I87" s="51">
        <v>6.15</v>
      </c>
      <c r="J87" s="51">
        <v>0</v>
      </c>
      <c r="K87" s="51">
        <v>3.23</v>
      </c>
      <c r="L87" s="51">
        <v>6.15</v>
      </c>
      <c r="M87" s="157">
        <f t="shared" si="7"/>
        <v>0</v>
      </c>
      <c r="N87" s="77">
        <f t="shared" si="8"/>
        <v>6.1406844106463874</v>
      </c>
    </row>
    <row r="88" spans="1:14" x14ac:dyDescent="0.35">
      <c r="D88" s="51">
        <f>SUM(D80:D87)</f>
        <v>50.28</v>
      </c>
      <c r="E88" s="51">
        <f>SUM(E80:E87)</f>
        <v>87.84</v>
      </c>
      <c r="F88" s="51">
        <f>SUM(F80:F87)</f>
        <v>0</v>
      </c>
      <c r="G88" s="51">
        <f>SUM(G80:G87)</f>
        <v>46.929999999999993</v>
      </c>
      <c r="K88" s="51">
        <f>SUM(K80:K87)</f>
        <v>46.929999999999993</v>
      </c>
      <c r="M88" s="157">
        <f t="shared" si="7"/>
        <v>0</v>
      </c>
      <c r="N88" s="77">
        <f t="shared" si="8"/>
        <v>5.3426684881602906</v>
      </c>
    </row>
    <row r="89" spans="1:14" x14ac:dyDescent="0.35">
      <c r="M89" s="157"/>
      <c r="N89" s="77"/>
    </row>
    <row r="90" spans="1:14" x14ac:dyDescent="0.35">
      <c r="M90" s="157"/>
      <c r="N90" s="77"/>
    </row>
    <row r="91" spans="1:14" x14ac:dyDescent="0.35">
      <c r="M91" s="157"/>
      <c r="N91" s="77"/>
    </row>
    <row r="92" spans="1:14" x14ac:dyDescent="0.35">
      <c r="A92" s="51" t="s">
        <v>372</v>
      </c>
      <c r="C92" s="51" t="s">
        <v>373</v>
      </c>
      <c r="D92" s="51">
        <v>0.54</v>
      </c>
      <c r="E92" s="51">
        <v>1.85</v>
      </c>
      <c r="G92" s="51">
        <v>1.37</v>
      </c>
      <c r="I92" s="51">
        <v>7.41</v>
      </c>
      <c r="J92" s="51">
        <v>0</v>
      </c>
      <c r="K92" s="51">
        <v>1.37</v>
      </c>
      <c r="L92" s="51">
        <v>7.41</v>
      </c>
      <c r="M92" s="157">
        <f>F92/D92*10^7/10^3</f>
        <v>0</v>
      </c>
      <c r="N92" s="77">
        <f>G92/E92*10</f>
        <v>7.4054054054054053</v>
      </c>
    </row>
    <row r="93" spans="1:14" x14ac:dyDescent="0.35">
      <c r="A93" s="51" t="s">
        <v>374</v>
      </c>
      <c r="C93" s="51" t="s">
        <v>373</v>
      </c>
      <c r="D93" s="51">
        <v>5.0199999999999996</v>
      </c>
      <c r="E93" s="51">
        <v>0.98</v>
      </c>
      <c r="G93" s="51">
        <v>0.59</v>
      </c>
      <c r="I93" s="51">
        <v>6.02</v>
      </c>
      <c r="J93" s="51">
        <v>0</v>
      </c>
      <c r="K93" s="51">
        <v>0.59</v>
      </c>
      <c r="L93" s="51">
        <v>6.02</v>
      </c>
      <c r="M93" s="157">
        <f>F93/D93*10^7/10^3</f>
        <v>0</v>
      </c>
      <c r="N93" s="77">
        <f>G93/E93*10</f>
        <v>6.0204081632653059</v>
      </c>
    </row>
    <row r="94" spans="1:14" x14ac:dyDescent="0.35">
      <c r="D94" s="51">
        <f t="shared" ref="D94:K94" si="9">SUM(D92:D93)</f>
        <v>5.56</v>
      </c>
      <c r="E94" s="51">
        <f t="shared" si="9"/>
        <v>2.83</v>
      </c>
      <c r="F94" s="51">
        <f t="shared" si="9"/>
        <v>0</v>
      </c>
      <c r="G94" s="51">
        <f t="shared" si="9"/>
        <v>1.96</v>
      </c>
      <c r="K94" s="51">
        <f t="shared" si="9"/>
        <v>1.96</v>
      </c>
      <c r="M94" s="157">
        <f>F94/D94*10^7/10^3</f>
        <v>0</v>
      </c>
      <c r="N94" s="77">
        <f>G94/E94*10</f>
        <v>6.925795053003533</v>
      </c>
    </row>
    <row r="95" spans="1:14" x14ac:dyDescent="0.35">
      <c r="M95" s="157"/>
      <c r="N95" s="77"/>
    </row>
    <row r="96" spans="1:14" x14ac:dyDescent="0.35">
      <c r="A96" s="59"/>
      <c r="M96" s="157"/>
      <c r="N96" s="77"/>
    </row>
    <row r="97" spans="1:14" x14ac:dyDescent="0.35">
      <c r="A97" s="59"/>
      <c r="M97" s="157"/>
      <c r="N97" s="77"/>
    </row>
    <row r="98" spans="1:14" x14ac:dyDescent="0.35">
      <c r="A98" s="62" t="s">
        <v>375</v>
      </c>
      <c r="B98" s="51" t="s">
        <v>273</v>
      </c>
      <c r="D98" s="51">
        <v>13.5</v>
      </c>
      <c r="E98" s="51">
        <v>55.96</v>
      </c>
      <c r="F98" s="51">
        <v>7.49</v>
      </c>
      <c r="G98" s="51">
        <v>6.73</v>
      </c>
      <c r="H98" s="51">
        <v>1.34</v>
      </c>
      <c r="I98" s="51">
        <v>1.2</v>
      </c>
      <c r="J98" s="51">
        <v>0.73</v>
      </c>
      <c r="K98" s="57">
        <v>14.95</v>
      </c>
      <c r="L98" s="51">
        <v>2.67</v>
      </c>
      <c r="M98" s="157">
        <f>D98*H98</f>
        <v>18.09</v>
      </c>
      <c r="N98" s="77">
        <f>I98*D98</f>
        <v>16.2</v>
      </c>
    </row>
    <row r="99" spans="1:14" x14ac:dyDescent="0.35">
      <c r="A99" s="62" t="s">
        <v>376</v>
      </c>
      <c r="B99" s="51" t="s">
        <v>273</v>
      </c>
      <c r="D99" s="51">
        <v>162</v>
      </c>
      <c r="E99" s="51">
        <v>83.07</v>
      </c>
      <c r="F99" s="51">
        <v>17.28</v>
      </c>
      <c r="G99" s="51">
        <v>8.39</v>
      </c>
      <c r="H99" s="51">
        <v>2.08</v>
      </c>
      <c r="I99" s="51">
        <v>1.01</v>
      </c>
      <c r="J99" s="51">
        <v>0</v>
      </c>
      <c r="K99" s="51">
        <v>25.67</v>
      </c>
      <c r="L99" s="51">
        <v>3.09</v>
      </c>
      <c r="M99" s="157">
        <f>D99*H99</f>
        <v>336.96000000000004</v>
      </c>
      <c r="N99" s="77">
        <f>I99*D99</f>
        <v>163.62</v>
      </c>
    </row>
    <row r="100" spans="1:14" x14ac:dyDescent="0.35">
      <c r="A100" s="62" t="s">
        <v>377</v>
      </c>
      <c r="B100" s="51" t="s">
        <v>273</v>
      </c>
      <c r="E100" s="58">
        <v>29.21</v>
      </c>
      <c r="G100" s="51">
        <v>8.3699999999999992</v>
      </c>
      <c r="I100" s="51">
        <v>2.86</v>
      </c>
      <c r="J100" s="51">
        <v>0</v>
      </c>
      <c r="K100" s="51">
        <v>8.3699999999999992</v>
      </c>
      <c r="L100" s="51">
        <v>2.86</v>
      </c>
      <c r="M100" s="157">
        <f>D100*H100</f>
        <v>0</v>
      </c>
      <c r="N100" s="77">
        <f>I100*D100</f>
        <v>0</v>
      </c>
    </row>
    <row r="101" spans="1:14" x14ac:dyDescent="0.35">
      <c r="A101" s="62" t="s">
        <v>378</v>
      </c>
      <c r="B101" s="51" t="s">
        <v>273</v>
      </c>
      <c r="E101" s="51">
        <v>11.79</v>
      </c>
      <c r="G101" s="51">
        <v>3.96</v>
      </c>
      <c r="I101" s="51">
        <v>3.36</v>
      </c>
      <c r="J101" s="51">
        <v>0</v>
      </c>
      <c r="K101" s="51">
        <v>3.96</v>
      </c>
      <c r="L101" s="51">
        <v>3.36</v>
      </c>
      <c r="M101" s="157">
        <f>D101*H101</f>
        <v>0</v>
      </c>
      <c r="N101" s="77">
        <f>I101*D101</f>
        <v>0</v>
      </c>
    </row>
    <row r="102" spans="1:14" x14ac:dyDescent="0.35">
      <c r="A102" s="62" t="s">
        <v>379</v>
      </c>
      <c r="B102" s="51" t="s">
        <v>273</v>
      </c>
      <c r="E102" s="58">
        <v>7.69</v>
      </c>
      <c r="G102" s="51">
        <v>2.98</v>
      </c>
      <c r="I102" s="51">
        <v>3.87</v>
      </c>
      <c r="J102" s="51">
        <v>0</v>
      </c>
      <c r="K102" s="51">
        <v>2.98</v>
      </c>
      <c r="L102" s="51">
        <v>3.87</v>
      </c>
      <c r="M102" s="157">
        <f>D102*H102</f>
        <v>0</v>
      </c>
      <c r="N102" s="77">
        <f>I102*D102</f>
        <v>0</v>
      </c>
    </row>
  </sheetData>
  <mergeCells count="1">
    <mergeCell ref="B18:E18"/>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6"/>
  <sheetViews>
    <sheetView workbookViewId="0"/>
  </sheetViews>
  <sheetFormatPr defaultColWidth="18" defaultRowHeight="14.5" x14ac:dyDescent="0.35"/>
  <cols>
    <col min="1" max="1" width="17.54296875" style="69" customWidth="1"/>
    <col min="2" max="2" width="43" style="69" customWidth="1"/>
    <col min="3" max="3" width="14" style="69" customWidth="1"/>
    <col min="4" max="4" width="12.7265625" style="69" customWidth="1"/>
    <col min="5" max="5" width="12.7265625" style="71" customWidth="1"/>
    <col min="6" max="6" width="11.453125" style="69" customWidth="1"/>
    <col min="7" max="7" width="11.7265625" style="69" customWidth="1"/>
    <col min="8" max="8" width="11.453125" style="69" customWidth="1"/>
    <col min="9" max="10" width="11.54296875" style="69" customWidth="1"/>
    <col min="11" max="12" width="13.26953125" style="69" customWidth="1"/>
    <col min="13" max="16384" width="18" style="69"/>
  </cols>
  <sheetData>
    <row r="1" spans="1:9" s="51" customFormat="1" x14ac:dyDescent="0.35"/>
    <row r="2" spans="1:9" s="51" customFormat="1" x14ac:dyDescent="0.35">
      <c r="A2" s="50" t="s">
        <v>157</v>
      </c>
      <c r="B2" s="50" t="s">
        <v>180</v>
      </c>
      <c r="C2" s="50" t="s">
        <v>146</v>
      </c>
      <c r="D2" s="50" t="s">
        <v>703</v>
      </c>
      <c r="E2" s="50" t="s">
        <v>738</v>
      </c>
      <c r="F2" s="50" t="s">
        <v>737</v>
      </c>
      <c r="G2" s="50" t="s">
        <v>182</v>
      </c>
      <c r="H2" s="50" t="s">
        <v>142</v>
      </c>
    </row>
    <row r="3" spans="1:9" s="51" customFormat="1" ht="15" customHeight="1" x14ac:dyDescent="0.35">
      <c r="A3" s="63" t="s">
        <v>143</v>
      </c>
      <c r="B3" s="63" t="s">
        <v>750</v>
      </c>
      <c r="C3" s="108">
        <f>E45</f>
        <v>6731.900238799999</v>
      </c>
      <c r="D3" s="108">
        <f>G45</f>
        <v>26072</v>
      </c>
      <c r="E3" s="108">
        <f>H45</f>
        <v>5295</v>
      </c>
      <c r="F3" s="108">
        <f>I45</f>
        <v>4372</v>
      </c>
      <c r="G3" s="108">
        <f>E3/C3*10^7/10^3</f>
        <v>7865.53545384069</v>
      </c>
      <c r="H3" s="73">
        <f>F3/D3*10</f>
        <v>1.6768947529917153</v>
      </c>
      <c r="I3" s="52"/>
    </row>
    <row r="4" spans="1:9" s="51" customFormat="1" x14ac:dyDescent="0.35">
      <c r="A4" s="63" t="s">
        <v>144</v>
      </c>
      <c r="B4" s="63" t="s">
        <v>750</v>
      </c>
      <c r="C4" s="108">
        <f>E62</f>
        <v>5472.2014600000002</v>
      </c>
      <c r="D4" s="108">
        <f>G62</f>
        <v>45902</v>
      </c>
      <c r="E4" s="108">
        <f>H62</f>
        <v>5559</v>
      </c>
      <c r="F4" s="108">
        <f>I62</f>
        <v>7540</v>
      </c>
      <c r="G4" s="108">
        <f t="shared" ref="G4:G14" si="0">E4/C4*10^7/10^3</f>
        <v>10158.617223131254</v>
      </c>
      <c r="H4" s="73">
        <f t="shared" ref="H4:H14" si="1">F4/D4*10</f>
        <v>1.6426299507646724</v>
      </c>
      <c r="I4" s="52"/>
    </row>
    <row r="5" spans="1:9" s="51" customFormat="1" x14ac:dyDescent="0.35">
      <c r="A5" s="63" t="s">
        <v>1612</v>
      </c>
      <c r="B5" s="63" t="s">
        <v>750</v>
      </c>
      <c r="C5" s="108">
        <f>E64</f>
        <v>12204.101698799999</v>
      </c>
      <c r="D5" s="108">
        <f>G64</f>
        <v>71974</v>
      </c>
      <c r="E5" s="108">
        <f>H64</f>
        <v>10854</v>
      </c>
      <c r="F5" s="108">
        <f>I64</f>
        <v>11912</v>
      </c>
      <c r="G5" s="108">
        <f t="shared" si="0"/>
        <v>8893.7311961823852</v>
      </c>
      <c r="H5" s="73">
        <f t="shared" si="1"/>
        <v>1.6550420985355823</v>
      </c>
      <c r="I5" s="98"/>
    </row>
    <row r="6" spans="1:9" s="51" customFormat="1" x14ac:dyDescent="0.35">
      <c r="A6" s="45" t="s">
        <v>1613</v>
      </c>
      <c r="B6" s="63" t="s">
        <v>750</v>
      </c>
      <c r="C6" s="106">
        <f>E88</f>
        <v>3113.0038758000001</v>
      </c>
      <c r="D6" s="106">
        <f>G88</f>
        <v>422</v>
      </c>
      <c r="E6" s="106">
        <f>H88</f>
        <v>1905</v>
      </c>
      <c r="F6" s="106">
        <f>I88</f>
        <v>157</v>
      </c>
      <c r="G6" s="108">
        <f t="shared" si="0"/>
        <v>6119.4912566899402</v>
      </c>
      <c r="H6" s="73">
        <f t="shared" si="1"/>
        <v>3.7203791469194316</v>
      </c>
    </row>
    <row r="7" spans="1:9" s="51" customFormat="1" x14ac:dyDescent="0.35">
      <c r="A7" s="45" t="s">
        <v>1614</v>
      </c>
      <c r="B7" s="63" t="s">
        <v>750</v>
      </c>
      <c r="C7" s="106">
        <v>0</v>
      </c>
      <c r="D7" s="106">
        <v>0</v>
      </c>
      <c r="E7" s="106">
        <v>0</v>
      </c>
      <c r="F7" s="106">
        <v>0</v>
      </c>
      <c r="G7" s="106">
        <v>0</v>
      </c>
      <c r="H7" s="44">
        <v>0</v>
      </c>
    </row>
    <row r="8" spans="1:9" s="51" customFormat="1" x14ac:dyDescent="0.35">
      <c r="A8" s="45" t="s">
        <v>1615</v>
      </c>
      <c r="B8" s="63" t="s">
        <v>750</v>
      </c>
      <c r="C8" s="106">
        <f>E96</f>
        <v>285.00004000000001</v>
      </c>
      <c r="D8" s="106">
        <f>G96</f>
        <v>4364</v>
      </c>
      <c r="E8" s="106">
        <f>H96</f>
        <v>50</v>
      </c>
      <c r="F8" s="106">
        <f>I96</f>
        <v>985</v>
      </c>
      <c r="G8" s="108">
        <f t="shared" si="0"/>
        <v>1754.3857186827061</v>
      </c>
      <c r="H8" s="73">
        <f t="shared" si="1"/>
        <v>2.257103574702108</v>
      </c>
    </row>
    <row r="9" spans="1:9" s="51" customFormat="1" x14ac:dyDescent="0.35">
      <c r="A9" s="45" t="s">
        <v>1604</v>
      </c>
      <c r="B9" s="63" t="s">
        <v>750</v>
      </c>
      <c r="C9" s="106">
        <f>E69</f>
        <v>772</v>
      </c>
      <c r="D9" s="106">
        <f>G69</f>
        <v>1100</v>
      </c>
      <c r="E9" s="106">
        <f>H69</f>
        <v>98</v>
      </c>
      <c r="F9" s="106">
        <f>I69</f>
        <v>68</v>
      </c>
      <c r="G9" s="108">
        <f t="shared" si="0"/>
        <v>1269.4300518134717</v>
      </c>
      <c r="H9" s="73">
        <f t="shared" si="1"/>
        <v>0.61818181818181817</v>
      </c>
    </row>
    <row r="10" spans="1:9" s="51" customFormat="1" x14ac:dyDescent="0.35">
      <c r="A10" s="45" t="s">
        <v>1603</v>
      </c>
      <c r="B10" s="63" t="s">
        <v>750</v>
      </c>
      <c r="C10" s="106">
        <f>E74</f>
        <v>8.56</v>
      </c>
      <c r="D10" s="106">
        <f>G74</f>
        <v>45</v>
      </c>
      <c r="E10" s="106">
        <f>H74</f>
        <v>0</v>
      </c>
      <c r="F10" s="106">
        <f>I74</f>
        <v>15</v>
      </c>
      <c r="G10" s="108">
        <f t="shared" si="0"/>
        <v>0</v>
      </c>
      <c r="H10" s="73">
        <f t="shared" si="1"/>
        <v>3.333333333333333</v>
      </c>
    </row>
    <row r="11" spans="1:9" s="51" customFormat="1" x14ac:dyDescent="0.35">
      <c r="A11" s="45" t="s">
        <v>1605</v>
      </c>
      <c r="B11" s="63" t="s">
        <v>750</v>
      </c>
      <c r="C11" s="106">
        <f>E113</f>
        <v>41.1</v>
      </c>
      <c r="D11" s="106">
        <f>G113</f>
        <v>1</v>
      </c>
      <c r="E11" s="106">
        <f>H113</f>
        <v>0</v>
      </c>
      <c r="F11" s="106">
        <f>I113</f>
        <v>0.41500000000000004</v>
      </c>
      <c r="G11" s="108">
        <f t="shared" si="0"/>
        <v>0</v>
      </c>
      <c r="H11" s="73">
        <f t="shared" si="1"/>
        <v>4.1500000000000004</v>
      </c>
    </row>
    <row r="12" spans="1:9" s="51" customFormat="1" x14ac:dyDescent="0.35">
      <c r="A12" s="45" t="s">
        <v>1636</v>
      </c>
      <c r="B12" s="63" t="s">
        <v>750</v>
      </c>
      <c r="C12" s="106">
        <f>Capacity!D157</f>
        <v>1514.823333333333</v>
      </c>
      <c r="D12" s="106">
        <f>G108</f>
        <v>2579</v>
      </c>
      <c r="E12" s="106">
        <f>H108</f>
        <v>0</v>
      </c>
      <c r="F12" s="106">
        <f>I108</f>
        <v>2376</v>
      </c>
      <c r="G12" s="108">
        <f t="shared" si="0"/>
        <v>0</v>
      </c>
      <c r="H12" s="73">
        <f t="shared" si="1"/>
        <v>9.2128732066692525</v>
      </c>
    </row>
    <row r="13" spans="1:9" s="51" customFormat="1" x14ac:dyDescent="0.35">
      <c r="A13" s="45" t="s">
        <v>145</v>
      </c>
      <c r="B13" s="63" t="s">
        <v>750</v>
      </c>
      <c r="C13" s="106">
        <v>0</v>
      </c>
      <c r="D13" s="106">
        <v>0</v>
      </c>
      <c r="E13" s="106">
        <v>0</v>
      </c>
      <c r="F13" s="106">
        <v>0</v>
      </c>
      <c r="G13" s="108">
        <v>0</v>
      </c>
      <c r="H13" s="73">
        <v>0</v>
      </c>
    </row>
    <row r="14" spans="1:9" s="51" customFormat="1" x14ac:dyDescent="0.35">
      <c r="A14" s="45" t="s">
        <v>1606</v>
      </c>
      <c r="B14" s="63" t="s">
        <v>750</v>
      </c>
      <c r="C14" s="106">
        <f>Capacity!D128</f>
        <v>5681.9866666666667</v>
      </c>
      <c r="D14" s="106">
        <f>G102</f>
        <v>6748</v>
      </c>
      <c r="E14" s="106">
        <f>H102</f>
        <v>0</v>
      </c>
      <c r="F14" s="106">
        <f>I102</f>
        <v>2555</v>
      </c>
      <c r="G14" s="108">
        <f t="shared" si="0"/>
        <v>0</v>
      </c>
      <c r="H14" s="73">
        <f t="shared" si="1"/>
        <v>3.7863070539419086</v>
      </c>
    </row>
    <row r="15" spans="1:9" s="51" customFormat="1" x14ac:dyDescent="0.35"/>
    <row r="16" spans="1:9" s="51" customFormat="1" ht="72.5" x14ac:dyDescent="0.35">
      <c r="A16" s="53" t="s">
        <v>49</v>
      </c>
      <c r="B16" s="64" t="s">
        <v>380</v>
      </c>
    </row>
    <row r="17" spans="1:14" s="51" customFormat="1" x14ac:dyDescent="0.35">
      <c r="A17" s="54" t="s">
        <v>50</v>
      </c>
      <c r="B17" s="55" t="s">
        <v>381</v>
      </c>
      <c r="C17" s="55"/>
      <c r="D17" s="55"/>
      <c r="E17" s="55"/>
      <c r="F17" s="55"/>
      <c r="G17" s="55"/>
    </row>
    <row r="18" spans="1:14" s="51" customFormat="1" ht="15" customHeight="1" x14ac:dyDescent="0.35">
      <c r="A18" s="54" t="s">
        <v>47</v>
      </c>
      <c r="B18" s="802" t="s">
        <v>382</v>
      </c>
      <c r="C18" s="802"/>
      <c r="D18" s="802"/>
      <c r="E18" s="802"/>
      <c r="F18" s="56"/>
      <c r="G18" s="56"/>
      <c r="H18" s="56"/>
    </row>
    <row r="19" spans="1:14" s="51" customFormat="1" x14ac:dyDescent="0.35">
      <c r="A19" s="54" t="s">
        <v>140</v>
      </c>
      <c r="B19" s="54" t="s">
        <v>48</v>
      </c>
    </row>
    <row r="20" spans="1:14" s="51" customFormat="1" x14ac:dyDescent="0.35"/>
    <row r="21" spans="1:14" ht="29" x14ac:dyDescent="0.35">
      <c r="A21" s="65" t="s">
        <v>383</v>
      </c>
      <c r="B21" s="65" t="s">
        <v>384</v>
      </c>
      <c r="C21" s="65" t="s">
        <v>157</v>
      </c>
      <c r="D21" s="65" t="s">
        <v>264</v>
      </c>
      <c r="E21" s="66" t="s">
        <v>47</v>
      </c>
      <c r="F21" s="65" t="s">
        <v>385</v>
      </c>
      <c r="G21" s="65" t="s">
        <v>386</v>
      </c>
      <c r="H21" s="65" t="s">
        <v>387</v>
      </c>
      <c r="I21" s="65" t="s">
        <v>390</v>
      </c>
      <c r="J21" s="67" t="s">
        <v>388</v>
      </c>
      <c r="K21" s="65" t="s">
        <v>389</v>
      </c>
      <c r="L21" s="65" t="s">
        <v>391</v>
      </c>
      <c r="M21" s="68" t="s">
        <v>182</v>
      </c>
      <c r="N21" s="68" t="s">
        <v>142</v>
      </c>
    </row>
    <row r="22" spans="1:14" ht="15.75" customHeight="1" x14ac:dyDescent="0.35">
      <c r="A22" s="65">
        <v>12</v>
      </c>
      <c r="B22" s="65" t="s">
        <v>392</v>
      </c>
      <c r="C22" s="65"/>
      <c r="D22" s="65" t="s">
        <v>274</v>
      </c>
      <c r="E22" s="66">
        <v>200</v>
      </c>
      <c r="F22" s="65">
        <v>1489</v>
      </c>
      <c r="G22" s="65">
        <v>1489</v>
      </c>
      <c r="H22" s="65">
        <v>208</v>
      </c>
      <c r="I22" s="65">
        <v>98</v>
      </c>
      <c r="J22" s="70">
        <f t="shared" ref="J22:J44" si="2">(H22/F22)*10</f>
        <v>1.3969106783075891</v>
      </c>
      <c r="K22" s="65">
        <v>0.66</v>
      </c>
      <c r="L22" s="65">
        <v>306</v>
      </c>
      <c r="M22" s="71">
        <f t="shared" ref="M22:M45" si="3">H22/E22*10^7/10^3</f>
        <v>10400</v>
      </c>
      <c r="N22" s="102">
        <f t="shared" ref="N22:N45" si="4">I22/G22*10</f>
        <v>0.65815983881799867</v>
      </c>
    </row>
    <row r="23" spans="1:14" ht="15.75" customHeight="1" x14ac:dyDescent="0.35">
      <c r="A23" s="65">
        <v>7</v>
      </c>
      <c r="B23" s="65" t="s">
        <v>393</v>
      </c>
      <c r="C23" s="65"/>
      <c r="D23" s="65" t="s">
        <v>274</v>
      </c>
      <c r="E23" s="66">
        <v>250</v>
      </c>
      <c r="F23" s="65">
        <v>1265</v>
      </c>
      <c r="G23" s="65">
        <v>1265</v>
      </c>
      <c r="H23" s="65">
        <v>270</v>
      </c>
      <c r="I23" s="65">
        <v>215</v>
      </c>
      <c r="J23" s="70">
        <f t="shared" si="2"/>
        <v>2.1343873517786562</v>
      </c>
      <c r="K23" s="65">
        <v>1.7</v>
      </c>
      <c r="L23" s="65">
        <v>486</v>
      </c>
      <c r="M23" s="71">
        <f t="shared" si="3"/>
        <v>10800</v>
      </c>
      <c r="N23" s="102">
        <f t="shared" si="4"/>
        <v>1.6996047430830039</v>
      </c>
    </row>
    <row r="24" spans="1:14" ht="15.75" customHeight="1" x14ac:dyDescent="0.35">
      <c r="A24" s="65">
        <v>1</v>
      </c>
      <c r="B24" s="65" t="s">
        <v>394</v>
      </c>
      <c r="C24" s="65"/>
      <c r="D24" s="65" t="s">
        <v>274</v>
      </c>
      <c r="E24" s="66">
        <v>210</v>
      </c>
      <c r="F24" s="65">
        <v>1339</v>
      </c>
      <c r="G24" s="65">
        <v>84</v>
      </c>
      <c r="H24" s="65">
        <v>69</v>
      </c>
      <c r="I24" s="65">
        <v>33</v>
      </c>
      <c r="J24" s="70">
        <f t="shared" si="2"/>
        <v>0.51530993278566095</v>
      </c>
      <c r="K24" s="65">
        <v>3.91</v>
      </c>
      <c r="L24" s="65">
        <v>101</v>
      </c>
      <c r="M24" s="71">
        <f t="shared" si="3"/>
        <v>3285.7142857142858</v>
      </c>
      <c r="N24" s="102">
        <f t="shared" si="4"/>
        <v>3.9285714285714284</v>
      </c>
    </row>
    <row r="25" spans="1:14" ht="15.75" customHeight="1" x14ac:dyDescent="0.35">
      <c r="A25" s="65">
        <v>2</v>
      </c>
      <c r="B25" s="65" t="s">
        <v>395</v>
      </c>
      <c r="C25" s="65"/>
      <c r="D25" s="65" t="s">
        <v>274</v>
      </c>
      <c r="E25" s="66">
        <v>210</v>
      </c>
      <c r="F25" s="65">
        <v>1339</v>
      </c>
      <c r="G25" s="65">
        <v>84</v>
      </c>
      <c r="H25" s="65">
        <v>60</v>
      </c>
      <c r="I25" s="65">
        <v>26</v>
      </c>
      <c r="J25" s="70">
        <f t="shared" si="2"/>
        <v>0.44809559372666169</v>
      </c>
      <c r="K25" s="65">
        <v>3.09</v>
      </c>
      <c r="L25" s="65">
        <v>86</v>
      </c>
      <c r="M25" s="71">
        <f t="shared" si="3"/>
        <v>2857.1428571428569</v>
      </c>
      <c r="N25" s="102">
        <f t="shared" si="4"/>
        <v>3.0952380952380953</v>
      </c>
    </row>
    <row r="26" spans="1:14" ht="15.75" customHeight="1" x14ac:dyDescent="0.35">
      <c r="A26" s="65">
        <v>4</v>
      </c>
      <c r="B26" s="65" t="s">
        <v>396</v>
      </c>
      <c r="C26" s="65"/>
      <c r="D26" s="65" t="s">
        <v>274</v>
      </c>
      <c r="E26" s="66">
        <v>250</v>
      </c>
      <c r="F26" s="65">
        <v>1433</v>
      </c>
      <c r="G26" s="65">
        <v>1433</v>
      </c>
      <c r="H26" s="65">
        <v>124</v>
      </c>
      <c r="I26" s="65">
        <v>221</v>
      </c>
      <c r="J26" s="70">
        <f t="shared" si="2"/>
        <v>0.86531751570132587</v>
      </c>
      <c r="K26" s="65">
        <v>1.54</v>
      </c>
      <c r="L26" s="65">
        <v>345</v>
      </c>
      <c r="M26" s="71">
        <f t="shared" si="3"/>
        <v>4960</v>
      </c>
      <c r="N26" s="102">
        <f t="shared" si="4"/>
        <v>1.5422191207257501</v>
      </c>
    </row>
    <row r="27" spans="1:14" ht="15.75" customHeight="1" x14ac:dyDescent="0.35">
      <c r="A27" s="65">
        <v>5</v>
      </c>
      <c r="B27" s="65" t="s">
        <v>397</v>
      </c>
      <c r="C27" s="65"/>
      <c r="D27" s="65" t="s">
        <v>274</v>
      </c>
      <c r="E27" s="66">
        <v>250</v>
      </c>
      <c r="F27" s="65">
        <v>1577</v>
      </c>
      <c r="G27" s="65">
        <v>1577</v>
      </c>
      <c r="H27" s="65">
        <v>144</v>
      </c>
      <c r="I27" s="65">
        <v>146</v>
      </c>
      <c r="J27" s="70">
        <f t="shared" si="2"/>
        <v>0.91312618896639197</v>
      </c>
      <c r="K27" s="65">
        <v>0.93</v>
      </c>
      <c r="L27" s="65">
        <v>290</v>
      </c>
      <c r="M27" s="71">
        <f t="shared" si="3"/>
        <v>5760</v>
      </c>
      <c r="N27" s="102">
        <f t="shared" si="4"/>
        <v>0.92580849714648072</v>
      </c>
    </row>
    <row r="28" spans="1:14" ht="15.75" customHeight="1" x14ac:dyDescent="0.35">
      <c r="A28" s="65">
        <v>6</v>
      </c>
      <c r="B28" s="65" t="s">
        <v>398</v>
      </c>
      <c r="C28" s="65"/>
      <c r="D28" s="65" t="s">
        <v>274</v>
      </c>
      <c r="E28" s="66">
        <v>610</v>
      </c>
      <c r="F28" s="65">
        <v>5421</v>
      </c>
      <c r="G28" s="65">
        <v>339</v>
      </c>
      <c r="H28" s="65">
        <v>364</v>
      </c>
      <c r="I28" s="65">
        <v>97</v>
      </c>
      <c r="J28" s="70">
        <f t="shared" si="2"/>
        <v>0.67146282973621108</v>
      </c>
      <c r="K28" s="65">
        <v>2.86</v>
      </c>
      <c r="L28" s="65">
        <v>461</v>
      </c>
      <c r="M28" s="71">
        <f t="shared" si="3"/>
        <v>5967.2131147540986</v>
      </c>
      <c r="N28" s="102">
        <f t="shared" si="4"/>
        <v>2.861356932153392</v>
      </c>
    </row>
    <row r="29" spans="1:14" ht="15.75" customHeight="1" x14ac:dyDescent="0.35">
      <c r="A29" s="65">
        <v>8</v>
      </c>
      <c r="B29" s="65" t="s">
        <v>399</v>
      </c>
      <c r="C29" s="65"/>
      <c r="D29" s="65" t="s">
        <v>274</v>
      </c>
      <c r="E29" s="66">
        <v>420</v>
      </c>
      <c r="F29" s="65">
        <v>2649</v>
      </c>
      <c r="G29" s="65">
        <v>166</v>
      </c>
      <c r="H29" s="65">
        <v>188</v>
      </c>
      <c r="I29" s="65">
        <v>55</v>
      </c>
      <c r="J29" s="70">
        <f t="shared" si="2"/>
        <v>0.70970177425443559</v>
      </c>
      <c r="K29" s="65">
        <v>3.31</v>
      </c>
      <c r="L29" s="65">
        <v>243</v>
      </c>
      <c r="M29" s="71">
        <f t="shared" si="3"/>
        <v>4476.1904761904771</v>
      </c>
      <c r="N29" s="102">
        <f t="shared" si="4"/>
        <v>3.3132530120481931</v>
      </c>
    </row>
    <row r="30" spans="1:14" ht="15.75" customHeight="1" x14ac:dyDescent="0.35">
      <c r="A30" s="65">
        <v>9</v>
      </c>
      <c r="B30" s="65" t="s">
        <v>400</v>
      </c>
      <c r="C30" s="65"/>
      <c r="D30" s="65" t="s">
        <v>274</v>
      </c>
      <c r="E30" s="66">
        <v>1260</v>
      </c>
      <c r="F30" s="65">
        <v>8035</v>
      </c>
      <c r="G30" s="65">
        <v>502</v>
      </c>
      <c r="H30" s="65">
        <v>484</v>
      </c>
      <c r="I30" s="65">
        <v>164</v>
      </c>
      <c r="J30" s="70">
        <f t="shared" si="2"/>
        <v>0.60236465463596756</v>
      </c>
      <c r="K30" s="65">
        <v>3.27</v>
      </c>
      <c r="L30" s="65">
        <v>648</v>
      </c>
      <c r="M30" s="71">
        <f t="shared" si="3"/>
        <v>3841.2698412698414</v>
      </c>
      <c r="N30" s="102">
        <f t="shared" si="4"/>
        <v>3.2669322709163344</v>
      </c>
    </row>
    <row r="31" spans="1:14" ht="15.75" customHeight="1" x14ac:dyDescent="0.35">
      <c r="A31" s="65">
        <v>10</v>
      </c>
      <c r="B31" s="65" t="s">
        <v>401</v>
      </c>
      <c r="C31" s="65"/>
      <c r="D31" s="65" t="s">
        <v>274</v>
      </c>
      <c r="E31" s="66">
        <v>0</v>
      </c>
      <c r="F31" s="65">
        <v>1480</v>
      </c>
      <c r="G31" s="65">
        <v>93</v>
      </c>
      <c r="H31" s="65">
        <v>119</v>
      </c>
      <c r="I31" s="65">
        <v>36</v>
      </c>
      <c r="J31" s="70">
        <f t="shared" si="2"/>
        <v>0.80405405405405406</v>
      </c>
      <c r="K31" s="65">
        <v>3.87</v>
      </c>
      <c r="L31" s="65">
        <v>155</v>
      </c>
      <c r="M31" s="71" t="e">
        <f t="shared" si="3"/>
        <v>#DIV/0!</v>
      </c>
      <c r="N31" s="102">
        <f t="shared" si="4"/>
        <v>3.870967741935484</v>
      </c>
    </row>
    <row r="32" spans="1:14" ht="15.75" customHeight="1" x14ac:dyDescent="0.35">
      <c r="A32" s="65">
        <v>11</v>
      </c>
      <c r="B32" s="65" t="s">
        <v>402</v>
      </c>
      <c r="C32" s="65"/>
      <c r="D32" s="65" t="s">
        <v>274</v>
      </c>
      <c r="E32" s="66">
        <v>500</v>
      </c>
      <c r="F32" s="65">
        <v>3189</v>
      </c>
      <c r="G32" s="65">
        <v>3189</v>
      </c>
      <c r="H32" s="65">
        <v>622</v>
      </c>
      <c r="I32" s="65">
        <v>773</v>
      </c>
      <c r="J32" s="70">
        <f t="shared" si="2"/>
        <v>1.9504546879899656</v>
      </c>
      <c r="K32" s="65">
        <v>2.4300000000000002</v>
      </c>
      <c r="L32" s="65">
        <v>1396</v>
      </c>
      <c r="M32" s="71">
        <f t="shared" si="3"/>
        <v>12440</v>
      </c>
      <c r="N32" s="102">
        <f t="shared" si="4"/>
        <v>2.4239573534023204</v>
      </c>
    </row>
    <row r="33" spans="1:14" ht="15.75" customHeight="1" x14ac:dyDescent="0.35">
      <c r="A33" s="65">
        <v>12</v>
      </c>
      <c r="B33" s="65" t="s">
        <v>403</v>
      </c>
      <c r="C33" s="65"/>
      <c r="D33" s="65" t="s">
        <v>274</v>
      </c>
      <c r="E33" s="66">
        <v>215</v>
      </c>
      <c r="F33" s="65">
        <v>1243</v>
      </c>
      <c r="G33" s="65">
        <v>1243</v>
      </c>
      <c r="H33" s="65">
        <v>229</v>
      </c>
      <c r="I33" s="65">
        <v>186</v>
      </c>
      <c r="J33" s="70">
        <f t="shared" si="2"/>
        <v>1.8423169750603381</v>
      </c>
      <c r="K33" s="65">
        <v>1.5</v>
      </c>
      <c r="L33" s="65">
        <v>415</v>
      </c>
      <c r="M33" s="71">
        <f t="shared" si="3"/>
        <v>10651.162790697676</v>
      </c>
      <c r="N33" s="102">
        <f t="shared" si="4"/>
        <v>1.4963797264682221</v>
      </c>
    </row>
    <row r="34" spans="1:14" ht="15.75" customHeight="1" x14ac:dyDescent="0.35">
      <c r="A34" s="65">
        <v>13</v>
      </c>
      <c r="B34" s="65" t="s">
        <v>404</v>
      </c>
      <c r="C34" s="65"/>
      <c r="D34" s="65" t="s">
        <v>274</v>
      </c>
      <c r="E34" s="66">
        <v>75</v>
      </c>
      <c r="F34" s="65">
        <v>463</v>
      </c>
      <c r="G34" s="65">
        <v>463</v>
      </c>
      <c r="H34" s="65">
        <v>105</v>
      </c>
      <c r="I34" s="65">
        <v>68</v>
      </c>
      <c r="J34" s="70">
        <f t="shared" si="2"/>
        <v>2.2678185745140391</v>
      </c>
      <c r="K34" s="65">
        <v>1.47</v>
      </c>
      <c r="L34" s="65">
        <v>173</v>
      </c>
      <c r="M34" s="71">
        <f t="shared" si="3"/>
        <v>14000</v>
      </c>
      <c r="N34" s="102">
        <f t="shared" si="4"/>
        <v>1.468682505399568</v>
      </c>
    </row>
    <row r="35" spans="1:14" ht="15.75" customHeight="1" x14ac:dyDescent="0.35">
      <c r="A35" s="65">
        <v>4</v>
      </c>
      <c r="B35" s="65" t="s">
        <v>405</v>
      </c>
      <c r="C35" s="65"/>
      <c r="D35" s="65" t="s">
        <v>274</v>
      </c>
      <c r="E35" s="66">
        <v>230.00040000000001</v>
      </c>
      <c r="F35" s="65">
        <v>1467</v>
      </c>
      <c r="G35" s="65">
        <v>1467</v>
      </c>
      <c r="H35" s="65">
        <v>94</v>
      </c>
      <c r="I35" s="65">
        <v>236</v>
      </c>
      <c r="J35" s="70">
        <f t="shared" si="2"/>
        <v>0.64076346284935248</v>
      </c>
      <c r="K35" s="65">
        <v>1.61</v>
      </c>
      <c r="L35" s="65">
        <v>330</v>
      </c>
      <c r="M35" s="71">
        <f t="shared" si="3"/>
        <v>4086.9494140010188</v>
      </c>
      <c r="N35" s="102">
        <f t="shared" si="4"/>
        <v>1.6087252897068849</v>
      </c>
    </row>
    <row r="36" spans="1:14" ht="15.75" customHeight="1" x14ac:dyDescent="0.35">
      <c r="A36" s="65">
        <v>5</v>
      </c>
      <c r="B36" s="65" t="s">
        <v>406</v>
      </c>
      <c r="C36" s="65"/>
      <c r="D36" s="65" t="s">
        <v>274</v>
      </c>
      <c r="E36" s="66">
        <v>238.999</v>
      </c>
      <c r="F36" s="65">
        <v>1566</v>
      </c>
      <c r="G36" s="65">
        <v>1566</v>
      </c>
      <c r="H36" s="65">
        <v>99</v>
      </c>
      <c r="I36" s="65">
        <v>247</v>
      </c>
      <c r="J36" s="70">
        <f t="shared" si="2"/>
        <v>0.63218390804597702</v>
      </c>
      <c r="K36" s="65">
        <v>1.58</v>
      </c>
      <c r="L36" s="65">
        <v>346</v>
      </c>
      <c r="M36" s="71">
        <f t="shared" si="3"/>
        <v>4142.2767459278066</v>
      </c>
      <c r="N36" s="102">
        <f t="shared" si="4"/>
        <v>1.5772669220945081</v>
      </c>
    </row>
    <row r="37" spans="1:14" ht="15.75" customHeight="1" x14ac:dyDescent="0.35">
      <c r="A37" s="65">
        <v>6</v>
      </c>
      <c r="B37" s="65" t="s">
        <v>407</v>
      </c>
      <c r="C37" s="65"/>
      <c r="D37" s="65" t="s">
        <v>274</v>
      </c>
      <c r="E37" s="66">
        <v>266</v>
      </c>
      <c r="F37" s="65">
        <v>1859</v>
      </c>
      <c r="G37" s="65">
        <v>1852</v>
      </c>
      <c r="H37" s="65">
        <v>194</v>
      </c>
      <c r="I37" s="65">
        <v>281</v>
      </c>
      <c r="J37" s="70">
        <f t="shared" si="2"/>
        <v>1.0435718128025819</v>
      </c>
      <c r="K37" s="65">
        <v>1.52</v>
      </c>
      <c r="L37" s="65">
        <v>475</v>
      </c>
      <c r="M37" s="71">
        <f t="shared" si="3"/>
        <v>7293.2330827067672</v>
      </c>
      <c r="N37" s="102">
        <f t="shared" si="4"/>
        <v>1.5172786177105833</v>
      </c>
    </row>
    <row r="38" spans="1:14" ht="15.75" customHeight="1" x14ac:dyDescent="0.35">
      <c r="A38" s="65">
        <v>7</v>
      </c>
      <c r="B38" s="65" t="s">
        <v>408</v>
      </c>
      <c r="C38" s="65"/>
      <c r="D38" s="65" t="s">
        <v>274</v>
      </c>
      <c r="E38" s="66">
        <v>360.0009</v>
      </c>
      <c r="F38" s="65">
        <v>2506</v>
      </c>
      <c r="G38" s="65">
        <v>2506</v>
      </c>
      <c r="H38" s="65">
        <v>116</v>
      </c>
      <c r="I38" s="65">
        <v>273</v>
      </c>
      <c r="J38" s="70">
        <f t="shared" si="2"/>
        <v>0.46288906624102155</v>
      </c>
      <c r="K38" s="65">
        <v>1.0900000000000001</v>
      </c>
      <c r="L38" s="65">
        <v>390</v>
      </c>
      <c r="M38" s="71">
        <f t="shared" si="3"/>
        <v>3222.2141666868056</v>
      </c>
      <c r="N38" s="102">
        <f t="shared" si="4"/>
        <v>1.0893854748603351</v>
      </c>
    </row>
    <row r="39" spans="1:14" ht="15.75" customHeight="1" x14ac:dyDescent="0.35">
      <c r="A39" s="65">
        <v>8</v>
      </c>
      <c r="B39" s="65" t="s">
        <v>409</v>
      </c>
      <c r="C39" s="65"/>
      <c r="D39" s="65" t="s">
        <v>274</v>
      </c>
      <c r="E39" s="66">
        <v>96</v>
      </c>
      <c r="F39" s="65">
        <v>668</v>
      </c>
      <c r="G39" s="65">
        <v>668</v>
      </c>
      <c r="H39" s="65">
        <v>87</v>
      </c>
      <c r="I39" s="65">
        <v>72</v>
      </c>
      <c r="J39" s="70">
        <f t="shared" si="2"/>
        <v>1.3023952095808382</v>
      </c>
      <c r="K39" s="65">
        <v>1.08</v>
      </c>
      <c r="L39" s="65">
        <v>159</v>
      </c>
      <c r="M39" s="71">
        <f t="shared" si="3"/>
        <v>9062.5</v>
      </c>
      <c r="N39" s="102">
        <f t="shared" si="4"/>
        <v>1.0778443113772456</v>
      </c>
    </row>
    <row r="40" spans="1:14" ht="15.75" customHeight="1" x14ac:dyDescent="0.35">
      <c r="A40" s="65">
        <v>9</v>
      </c>
      <c r="B40" s="65" t="s">
        <v>410</v>
      </c>
      <c r="C40" s="65"/>
      <c r="D40" s="65" t="s">
        <v>274</v>
      </c>
      <c r="E40" s="66">
        <v>186.99993880000002</v>
      </c>
      <c r="F40" s="65">
        <v>636</v>
      </c>
      <c r="G40" s="65">
        <v>79</v>
      </c>
      <c r="H40" s="65">
        <v>94</v>
      </c>
      <c r="I40" s="65">
        <v>23</v>
      </c>
      <c r="J40" s="70">
        <f t="shared" si="2"/>
        <v>1.4779874213836477</v>
      </c>
      <c r="K40" s="65">
        <v>2.94</v>
      </c>
      <c r="L40" s="65">
        <v>117</v>
      </c>
      <c r="M40" s="71">
        <f t="shared" si="3"/>
        <v>5026.7396130292209</v>
      </c>
      <c r="N40" s="102">
        <f t="shared" si="4"/>
        <v>2.9113924050632911</v>
      </c>
    </row>
    <row r="41" spans="1:14" x14ac:dyDescent="0.35">
      <c r="A41" s="65">
        <v>13</v>
      </c>
      <c r="B41" s="65" t="s">
        <v>411</v>
      </c>
      <c r="C41" s="65"/>
      <c r="D41" s="65" t="s">
        <v>274</v>
      </c>
      <c r="E41" s="66">
        <v>250</v>
      </c>
      <c r="F41" s="65">
        <v>3084</v>
      </c>
      <c r="G41" s="65">
        <v>3084</v>
      </c>
      <c r="H41" s="65">
        <v>879</v>
      </c>
      <c r="I41" s="65">
        <v>663</v>
      </c>
      <c r="J41" s="70">
        <f t="shared" si="2"/>
        <v>2.8501945525291825</v>
      </c>
      <c r="K41" s="65">
        <v>2.15</v>
      </c>
      <c r="L41" s="65">
        <v>1541</v>
      </c>
      <c r="M41" s="71">
        <f t="shared" si="3"/>
        <v>35160</v>
      </c>
      <c r="N41" s="102">
        <f t="shared" si="4"/>
        <v>2.1498054474708175</v>
      </c>
    </row>
    <row r="42" spans="1:14" ht="15.75" customHeight="1" x14ac:dyDescent="0.35">
      <c r="A42" s="65">
        <v>12</v>
      </c>
      <c r="B42" s="65" t="s">
        <v>412</v>
      </c>
      <c r="C42" s="65"/>
      <c r="D42" s="65" t="s">
        <v>274</v>
      </c>
      <c r="E42" s="66">
        <v>273</v>
      </c>
      <c r="F42" s="65">
        <v>1901</v>
      </c>
      <c r="G42" s="65">
        <v>1901</v>
      </c>
      <c r="H42" s="65">
        <v>238</v>
      </c>
      <c r="I42" s="65">
        <v>231</v>
      </c>
      <c r="J42" s="70">
        <f t="shared" si="2"/>
        <v>1.251972645975802</v>
      </c>
      <c r="K42" s="65">
        <v>1.22</v>
      </c>
      <c r="L42" s="65">
        <v>469</v>
      </c>
      <c r="M42" s="71">
        <f t="shared" si="3"/>
        <v>8717.9487179487187</v>
      </c>
      <c r="N42" s="102">
        <f t="shared" si="4"/>
        <v>1.215149921094161</v>
      </c>
    </row>
    <row r="43" spans="1:14" ht="15.75" customHeight="1" x14ac:dyDescent="0.35">
      <c r="A43" s="65">
        <v>13</v>
      </c>
      <c r="B43" s="65" t="s">
        <v>413</v>
      </c>
      <c r="C43" s="65"/>
      <c r="D43" s="65" t="s">
        <v>274</v>
      </c>
      <c r="E43" s="66">
        <v>141</v>
      </c>
      <c r="F43" s="65">
        <v>924</v>
      </c>
      <c r="G43" s="65">
        <v>924</v>
      </c>
      <c r="H43" s="65">
        <v>106</v>
      </c>
      <c r="I43" s="65">
        <v>198</v>
      </c>
      <c r="J43" s="70">
        <f t="shared" si="2"/>
        <v>1.1471861471861473</v>
      </c>
      <c r="K43" s="65">
        <v>2.15</v>
      </c>
      <c r="L43" s="65">
        <v>304</v>
      </c>
      <c r="M43" s="71">
        <f t="shared" si="3"/>
        <v>7517.7304964539007</v>
      </c>
      <c r="N43" s="102">
        <f t="shared" si="4"/>
        <v>2.1428571428571428</v>
      </c>
    </row>
    <row r="44" spans="1:14" ht="15.75" customHeight="1" x14ac:dyDescent="0.35">
      <c r="A44" s="65">
        <v>15</v>
      </c>
      <c r="B44" s="65" t="s">
        <v>414</v>
      </c>
      <c r="C44" s="65"/>
      <c r="D44" s="65" t="s">
        <v>274</v>
      </c>
      <c r="E44" s="66">
        <v>239.9</v>
      </c>
      <c r="F44" s="65">
        <v>1573</v>
      </c>
      <c r="G44" s="65">
        <v>98</v>
      </c>
      <c r="H44" s="65">
        <v>402</v>
      </c>
      <c r="I44" s="65">
        <v>30</v>
      </c>
      <c r="J44" s="70">
        <f t="shared" si="2"/>
        <v>2.5556261919898282</v>
      </c>
      <c r="K44" s="65">
        <v>3.03</v>
      </c>
      <c r="L44" s="65">
        <v>432</v>
      </c>
      <c r="M44" s="71">
        <f t="shared" si="3"/>
        <v>16756.982075864944</v>
      </c>
      <c r="N44" s="102">
        <f t="shared" si="4"/>
        <v>3.0612244897959187</v>
      </c>
    </row>
    <row r="45" spans="1:14" ht="15.75" customHeight="1" x14ac:dyDescent="0.35">
      <c r="A45" s="65"/>
      <c r="B45" s="65"/>
      <c r="C45" s="65"/>
      <c r="D45" s="65"/>
      <c r="E45" s="65">
        <f>SUM(E22:E44)</f>
        <v>6731.900238799999</v>
      </c>
      <c r="F45" s="65">
        <f>SUM(F22:F44)</f>
        <v>47106</v>
      </c>
      <c r="G45" s="65">
        <f>SUM(G22:G44)</f>
        <v>26072</v>
      </c>
      <c r="H45" s="65">
        <f>SUM(H22:H44)</f>
        <v>5295</v>
      </c>
      <c r="I45" s="65">
        <f>SUM(I22:I44)</f>
        <v>4372</v>
      </c>
      <c r="J45" s="65"/>
      <c r="K45" s="65"/>
      <c r="L45" s="65">
        <f>SUM(L22:L44)</f>
        <v>9668</v>
      </c>
      <c r="M45" s="72">
        <f t="shared" si="3"/>
        <v>7865.53545384069</v>
      </c>
      <c r="N45" s="72">
        <f t="shared" si="4"/>
        <v>1.6768947529917153</v>
      </c>
    </row>
    <row r="46" spans="1:14" ht="15.75" customHeight="1" x14ac:dyDescent="0.35">
      <c r="A46" s="65"/>
      <c r="B46" s="65"/>
      <c r="C46" s="65"/>
      <c r="D46" s="65"/>
      <c r="E46" s="66"/>
      <c r="F46" s="65"/>
      <c r="G46" s="65"/>
      <c r="H46" s="65"/>
      <c r="I46" s="65"/>
      <c r="J46" s="70"/>
      <c r="K46" s="65"/>
      <c r="L46" s="65"/>
    </row>
    <row r="47" spans="1:14" ht="15.75" customHeight="1" x14ac:dyDescent="0.35">
      <c r="A47" s="65"/>
      <c r="B47" s="65"/>
      <c r="C47" s="65"/>
      <c r="D47" s="65"/>
      <c r="E47" s="66"/>
      <c r="F47" s="65"/>
      <c r="G47" s="65"/>
      <c r="H47" s="65"/>
      <c r="I47" s="65"/>
      <c r="J47" s="70"/>
      <c r="K47" s="65"/>
      <c r="L47" s="65"/>
      <c r="M47" s="71"/>
      <c r="N47" s="71"/>
    </row>
    <row r="48" spans="1:14" ht="15.75" customHeight="1" x14ac:dyDescent="0.35">
      <c r="A48" s="65"/>
      <c r="B48" s="65"/>
      <c r="C48" s="65"/>
      <c r="D48" s="65"/>
      <c r="E48" s="66"/>
      <c r="F48" s="65"/>
      <c r="G48" s="65"/>
      <c r="H48" s="65"/>
      <c r="I48" s="65"/>
      <c r="J48" s="70"/>
      <c r="K48" s="65"/>
      <c r="L48" s="65"/>
      <c r="M48" s="71"/>
      <c r="N48" s="71"/>
    </row>
    <row r="49" spans="1:14" ht="15.75" customHeight="1" x14ac:dyDescent="0.35">
      <c r="A49" s="65">
        <v>7</v>
      </c>
      <c r="B49" s="65" t="s">
        <v>415</v>
      </c>
      <c r="C49" s="65"/>
      <c r="D49" s="65" t="s">
        <v>284</v>
      </c>
      <c r="E49" s="66">
        <v>500</v>
      </c>
      <c r="F49" s="65">
        <v>3294</v>
      </c>
      <c r="G49" s="65">
        <v>1035</v>
      </c>
      <c r="H49" s="65">
        <v>506</v>
      </c>
      <c r="I49" s="65">
        <v>260</v>
      </c>
      <c r="J49" s="70">
        <f t="shared" ref="J49:J61" si="5">(H49/F49)*10</f>
        <v>1.5361262902246509</v>
      </c>
      <c r="K49" s="65">
        <v>2.52</v>
      </c>
      <c r="L49" s="65">
        <v>767</v>
      </c>
      <c r="M49" s="71">
        <f t="shared" ref="M49:M62" si="6">H49/E49*10^7/10^3</f>
        <v>10120</v>
      </c>
      <c r="N49" s="102">
        <f t="shared" ref="N49:N62" si="7">I49/G49*10</f>
        <v>2.5120772946859904</v>
      </c>
    </row>
    <row r="50" spans="1:14" ht="15.75" customHeight="1" x14ac:dyDescent="0.35">
      <c r="A50" s="65">
        <v>9</v>
      </c>
      <c r="B50" s="65" t="s">
        <v>416</v>
      </c>
      <c r="C50" s="65"/>
      <c r="D50" s="65" t="s">
        <v>284</v>
      </c>
      <c r="E50" s="66">
        <v>1000</v>
      </c>
      <c r="F50" s="65">
        <v>14892</v>
      </c>
      <c r="G50" s="65">
        <v>14892</v>
      </c>
      <c r="H50" s="65">
        <v>1554</v>
      </c>
      <c r="I50" s="65">
        <v>2364</v>
      </c>
      <c r="J50" s="70">
        <f t="shared" si="5"/>
        <v>1.0435132957292506</v>
      </c>
      <c r="K50" s="65">
        <v>1.59</v>
      </c>
      <c r="L50" s="65">
        <v>3918</v>
      </c>
      <c r="M50" s="71">
        <f t="shared" si="6"/>
        <v>15540</v>
      </c>
      <c r="N50" s="102">
        <f t="shared" si="7"/>
        <v>1.5874294923448831</v>
      </c>
    </row>
    <row r="51" spans="1:14" ht="15.75" customHeight="1" x14ac:dyDescent="0.35">
      <c r="A51" s="65">
        <v>10</v>
      </c>
      <c r="B51" s="65" t="s">
        <v>417</v>
      </c>
      <c r="C51" s="65"/>
      <c r="D51" s="65" t="s">
        <v>284</v>
      </c>
      <c r="E51" s="66">
        <v>1805</v>
      </c>
      <c r="F51" s="65">
        <v>12649</v>
      </c>
      <c r="G51" s="65">
        <v>12649</v>
      </c>
      <c r="H51" s="65">
        <v>1150</v>
      </c>
      <c r="I51" s="65">
        <v>2029</v>
      </c>
      <c r="J51" s="70">
        <f t="shared" si="5"/>
        <v>0.90916277966637682</v>
      </c>
      <c r="K51" s="65">
        <v>1.6</v>
      </c>
      <c r="L51" s="65">
        <v>3179</v>
      </c>
      <c r="M51" s="71">
        <f t="shared" si="6"/>
        <v>6371.1911357340723</v>
      </c>
      <c r="N51" s="102">
        <f t="shared" si="7"/>
        <v>1.6040793738635464</v>
      </c>
    </row>
    <row r="52" spans="1:14" ht="15.75" customHeight="1" x14ac:dyDescent="0.35">
      <c r="A52" s="65">
        <v>11</v>
      </c>
      <c r="B52" s="65" t="s">
        <v>418</v>
      </c>
      <c r="C52" s="65"/>
      <c r="D52" s="65" t="s">
        <v>284</v>
      </c>
      <c r="E52" s="66">
        <v>1000</v>
      </c>
      <c r="F52" s="65">
        <v>7446</v>
      </c>
      <c r="G52" s="65">
        <v>7446</v>
      </c>
      <c r="H52" s="65">
        <v>795</v>
      </c>
      <c r="I52" s="65">
        <v>1298</v>
      </c>
      <c r="J52" s="70">
        <f t="shared" si="5"/>
        <v>1.0676873489121677</v>
      </c>
      <c r="K52" s="65">
        <v>1.74</v>
      </c>
      <c r="L52" s="65">
        <v>2093</v>
      </c>
      <c r="M52" s="71">
        <f t="shared" si="6"/>
        <v>7950</v>
      </c>
      <c r="N52" s="102">
        <f t="shared" si="7"/>
        <v>1.7432178350792371</v>
      </c>
    </row>
    <row r="53" spans="1:14" ht="15.75" customHeight="1" x14ac:dyDescent="0.35">
      <c r="A53" s="65">
        <v>11</v>
      </c>
      <c r="B53" s="65" t="s">
        <v>419</v>
      </c>
      <c r="C53" s="65"/>
      <c r="D53" s="65" t="s">
        <v>284</v>
      </c>
      <c r="E53" s="66">
        <v>539.99946</v>
      </c>
      <c r="F53" s="65">
        <v>3759</v>
      </c>
      <c r="G53" s="65">
        <v>3759</v>
      </c>
      <c r="H53" s="65">
        <v>488</v>
      </c>
      <c r="I53" s="65">
        <v>448</v>
      </c>
      <c r="J53" s="70">
        <f t="shared" si="5"/>
        <v>1.2982176110667731</v>
      </c>
      <c r="K53" s="65">
        <v>1.19</v>
      </c>
      <c r="L53" s="65">
        <v>937</v>
      </c>
      <c r="M53" s="71">
        <f t="shared" si="6"/>
        <v>9037.0460740831113</v>
      </c>
      <c r="N53" s="102">
        <f t="shared" si="7"/>
        <v>1.191806331471136</v>
      </c>
    </row>
    <row r="54" spans="1:14" ht="15.75" customHeight="1" x14ac:dyDescent="0.35">
      <c r="A54" s="65">
        <v>14</v>
      </c>
      <c r="B54" s="65" t="s">
        <v>420</v>
      </c>
      <c r="C54" s="65"/>
      <c r="D54" s="65" t="s">
        <v>284</v>
      </c>
      <c r="E54" s="66">
        <v>239.92</v>
      </c>
      <c r="F54" s="65">
        <v>1573</v>
      </c>
      <c r="G54" s="65">
        <v>1573</v>
      </c>
      <c r="H54" s="65">
        <v>254</v>
      </c>
      <c r="I54" s="65">
        <v>253</v>
      </c>
      <c r="J54" s="70">
        <f t="shared" si="5"/>
        <v>1.6147488874761602</v>
      </c>
      <c r="K54" s="65">
        <v>1.61</v>
      </c>
      <c r="L54" s="65">
        <v>507</v>
      </c>
      <c r="M54" s="71">
        <f t="shared" si="6"/>
        <v>10586.862287429145</v>
      </c>
      <c r="N54" s="102">
        <f t="shared" si="7"/>
        <v>1.6083916083916083</v>
      </c>
    </row>
    <row r="55" spans="1:14" ht="15.75" customHeight="1" x14ac:dyDescent="0.35">
      <c r="A55" s="65">
        <v>18</v>
      </c>
      <c r="B55" s="65" t="s">
        <v>421</v>
      </c>
      <c r="C55" s="65"/>
      <c r="D55" s="65" t="s">
        <v>284</v>
      </c>
      <c r="E55" s="66">
        <v>146.916</v>
      </c>
      <c r="F55" s="65">
        <v>1032</v>
      </c>
      <c r="G55" s="65">
        <v>1032</v>
      </c>
      <c r="H55" s="65">
        <v>190</v>
      </c>
      <c r="I55" s="65">
        <v>258</v>
      </c>
      <c r="J55" s="70">
        <f t="shared" si="5"/>
        <v>1.8410852713178294</v>
      </c>
      <c r="K55" s="65">
        <v>2.5</v>
      </c>
      <c r="L55" s="65">
        <v>448</v>
      </c>
      <c r="M55" s="71">
        <f t="shared" si="6"/>
        <v>12932.560102371424</v>
      </c>
      <c r="N55" s="102">
        <f t="shared" si="7"/>
        <v>2.5</v>
      </c>
    </row>
    <row r="56" spans="1:14" ht="15.75" customHeight="1" x14ac:dyDescent="0.35">
      <c r="A56" s="65">
        <v>19</v>
      </c>
      <c r="B56" s="103" t="s">
        <v>422</v>
      </c>
      <c r="C56" s="65"/>
      <c r="D56" s="65" t="s">
        <v>284</v>
      </c>
      <c r="E56" s="66">
        <v>0</v>
      </c>
      <c r="F56" s="65">
        <v>901</v>
      </c>
      <c r="G56" s="65">
        <v>901</v>
      </c>
      <c r="H56" s="65">
        <v>190</v>
      </c>
      <c r="I56" s="65">
        <v>135</v>
      </c>
      <c r="J56" s="70">
        <f t="shared" si="5"/>
        <v>2.1087680355160932</v>
      </c>
      <c r="K56" s="65">
        <v>1.5</v>
      </c>
      <c r="L56" s="65">
        <v>325</v>
      </c>
      <c r="M56" s="71" t="e">
        <f t="shared" si="6"/>
        <v>#DIV/0!</v>
      </c>
      <c r="N56" s="102">
        <f t="shared" si="7"/>
        <v>1.4983351831298557</v>
      </c>
    </row>
    <row r="57" spans="1:14" ht="15.75" customHeight="1" x14ac:dyDescent="0.35">
      <c r="A57" s="65">
        <v>20</v>
      </c>
      <c r="B57" s="65" t="s">
        <v>423</v>
      </c>
      <c r="C57" s="65"/>
      <c r="D57" s="65" t="s">
        <v>284</v>
      </c>
      <c r="E57" s="66">
        <v>146.916</v>
      </c>
      <c r="F57" s="65">
        <v>1032</v>
      </c>
      <c r="G57" s="65">
        <v>1032</v>
      </c>
      <c r="H57" s="65">
        <v>190</v>
      </c>
      <c r="I57" s="65">
        <v>258</v>
      </c>
      <c r="J57" s="70">
        <f t="shared" si="5"/>
        <v>1.8410852713178294</v>
      </c>
      <c r="K57" s="65">
        <v>2.5</v>
      </c>
      <c r="L57" s="65">
        <v>448</v>
      </c>
      <c r="M57" s="71">
        <f t="shared" si="6"/>
        <v>12932.560102371424</v>
      </c>
      <c r="N57" s="102">
        <f t="shared" si="7"/>
        <v>2.5</v>
      </c>
    </row>
    <row r="58" spans="1:14" ht="15.75" customHeight="1" x14ac:dyDescent="0.35">
      <c r="A58" s="65">
        <v>21</v>
      </c>
      <c r="B58" s="103" t="s">
        <v>424</v>
      </c>
      <c r="C58" s="65"/>
      <c r="D58" s="65" t="s">
        <v>284</v>
      </c>
      <c r="E58" s="66">
        <v>0</v>
      </c>
      <c r="F58" s="65">
        <v>515</v>
      </c>
      <c r="G58" s="65">
        <v>515</v>
      </c>
      <c r="H58" s="65">
        <v>73</v>
      </c>
      <c r="I58" s="65">
        <v>77</v>
      </c>
      <c r="J58" s="70">
        <f t="shared" si="5"/>
        <v>1.4174757281553398</v>
      </c>
      <c r="K58" s="65">
        <v>1.5</v>
      </c>
      <c r="L58" s="65">
        <v>151</v>
      </c>
      <c r="M58" s="71" t="e">
        <f t="shared" si="6"/>
        <v>#DIV/0!</v>
      </c>
      <c r="N58" s="102">
        <f t="shared" si="7"/>
        <v>1.4951456310679612</v>
      </c>
    </row>
    <row r="59" spans="1:14" ht="15.75" customHeight="1" x14ac:dyDescent="0.35">
      <c r="A59" s="65">
        <v>22</v>
      </c>
      <c r="B59" s="103" t="s">
        <v>425</v>
      </c>
      <c r="C59" s="65"/>
      <c r="D59" s="65" t="s">
        <v>284</v>
      </c>
      <c r="E59" s="66">
        <v>0</v>
      </c>
      <c r="F59" s="65">
        <v>129</v>
      </c>
      <c r="G59" s="65">
        <v>129</v>
      </c>
      <c r="H59" s="65">
        <v>18</v>
      </c>
      <c r="I59" s="65">
        <v>19</v>
      </c>
      <c r="J59" s="70">
        <f t="shared" si="5"/>
        <v>1.3953488372093024</v>
      </c>
      <c r="K59" s="65">
        <v>1.5</v>
      </c>
      <c r="L59" s="65">
        <v>38</v>
      </c>
      <c r="M59" s="71" t="e">
        <f t="shared" si="6"/>
        <v>#DIV/0!</v>
      </c>
      <c r="N59" s="102">
        <f t="shared" si="7"/>
        <v>1.4728682170542637</v>
      </c>
    </row>
    <row r="60" spans="1:14" ht="15.75" customHeight="1" x14ac:dyDescent="0.35">
      <c r="A60" s="65">
        <v>23</v>
      </c>
      <c r="B60" s="103" t="s">
        <v>426</v>
      </c>
      <c r="C60" s="65"/>
      <c r="D60" s="65" t="s">
        <v>284</v>
      </c>
      <c r="E60" s="66">
        <v>0</v>
      </c>
      <c r="F60" s="65">
        <v>327</v>
      </c>
      <c r="G60" s="65">
        <v>327</v>
      </c>
      <c r="H60" s="65">
        <v>69</v>
      </c>
      <c r="I60" s="65">
        <v>49</v>
      </c>
      <c r="J60" s="70">
        <f t="shared" si="5"/>
        <v>2.1100917431192663</v>
      </c>
      <c r="K60" s="65">
        <v>1.5</v>
      </c>
      <c r="L60" s="65">
        <v>118</v>
      </c>
      <c r="M60" s="71" t="e">
        <f t="shared" si="6"/>
        <v>#DIV/0!</v>
      </c>
      <c r="N60" s="102">
        <f t="shared" si="7"/>
        <v>1.4984709480122325</v>
      </c>
    </row>
    <row r="61" spans="1:14" ht="15.75" customHeight="1" x14ac:dyDescent="0.35">
      <c r="A61" s="65">
        <v>16</v>
      </c>
      <c r="B61" s="65" t="s">
        <v>427</v>
      </c>
      <c r="C61" s="65"/>
      <c r="D61" s="65" t="s">
        <v>284</v>
      </c>
      <c r="E61" s="66">
        <v>93.45</v>
      </c>
      <c r="F61" s="65">
        <v>612</v>
      </c>
      <c r="G61" s="65">
        <v>612</v>
      </c>
      <c r="H61" s="65">
        <v>82</v>
      </c>
      <c r="I61" s="65">
        <v>92</v>
      </c>
      <c r="J61" s="70">
        <f t="shared" si="5"/>
        <v>1.3398692810457515</v>
      </c>
      <c r="K61" s="65">
        <v>1.51</v>
      </c>
      <c r="L61" s="65">
        <v>174</v>
      </c>
      <c r="M61" s="71">
        <f t="shared" si="6"/>
        <v>8774.7458533975387</v>
      </c>
      <c r="N61" s="102">
        <f t="shared" si="7"/>
        <v>1.5032679738562091</v>
      </c>
    </row>
    <row r="62" spans="1:14" ht="15.75" customHeight="1" x14ac:dyDescent="0.35">
      <c r="A62" s="65"/>
      <c r="B62" s="65"/>
      <c r="C62" s="65"/>
      <c r="D62" s="65"/>
      <c r="E62" s="65">
        <f>SUM(E49:E61)</f>
        <v>5472.2014600000002</v>
      </c>
      <c r="F62" s="65">
        <f>SUM(F49:F61)</f>
        <v>48161</v>
      </c>
      <c r="G62" s="65">
        <f>SUM(G49:G61)</f>
        <v>45902</v>
      </c>
      <c r="H62" s="65">
        <f>SUM(H49:H61)</f>
        <v>5559</v>
      </c>
      <c r="I62" s="65">
        <f>SUM(I49:I61)</f>
        <v>7540</v>
      </c>
      <c r="J62" s="65"/>
      <c r="K62" s="65"/>
      <c r="L62" s="65"/>
      <c r="M62" s="104">
        <f t="shared" si="6"/>
        <v>10158.617223131254</v>
      </c>
      <c r="N62" s="72">
        <f t="shared" si="7"/>
        <v>1.6426299507646724</v>
      </c>
    </row>
    <row r="63" spans="1:14" ht="15.75" customHeight="1" x14ac:dyDescent="0.35">
      <c r="A63" s="65"/>
      <c r="B63" s="65"/>
      <c r="C63" s="65"/>
      <c r="D63" s="65"/>
      <c r="E63" s="66"/>
      <c r="F63" s="65"/>
      <c r="G63" s="65"/>
      <c r="H63" s="65"/>
      <c r="I63" s="65"/>
      <c r="J63" s="70"/>
      <c r="K63" s="65"/>
      <c r="L63" s="65"/>
    </row>
    <row r="64" spans="1:14" ht="15.75" customHeight="1" x14ac:dyDescent="0.35">
      <c r="A64" s="65"/>
      <c r="B64" s="65" t="s">
        <v>41</v>
      </c>
      <c r="C64" s="65"/>
      <c r="D64" s="65" t="s">
        <v>690</v>
      </c>
      <c r="E64" s="66">
        <f>E45+E62</f>
        <v>12204.101698799999</v>
      </c>
      <c r="F64" s="66">
        <f>F45+F62</f>
        <v>95267</v>
      </c>
      <c r="G64" s="66">
        <f>G45+G62</f>
        <v>71974</v>
      </c>
      <c r="H64" s="66">
        <f>H45+H62</f>
        <v>10854</v>
      </c>
      <c r="I64" s="66">
        <f>I45+I62</f>
        <v>11912</v>
      </c>
      <c r="J64" s="70"/>
      <c r="K64" s="65"/>
      <c r="L64" s="65"/>
      <c r="M64" s="104">
        <f>H64/E64*10^7/10^3</f>
        <v>8893.7311961823852</v>
      </c>
      <c r="N64" s="72">
        <f>I64/G64*10</f>
        <v>1.6550420985355823</v>
      </c>
    </row>
    <row r="65" spans="1:14" ht="15.75" customHeight="1" x14ac:dyDescent="0.35">
      <c r="A65" s="65"/>
      <c r="B65" s="65"/>
      <c r="C65" s="65"/>
      <c r="D65" s="65"/>
      <c r="E65" s="66"/>
      <c r="F65" s="65"/>
      <c r="G65" s="65"/>
      <c r="H65" s="65"/>
      <c r="I65" s="65"/>
      <c r="J65" s="70"/>
      <c r="K65" s="65"/>
      <c r="L65" s="65"/>
      <c r="M65" s="71"/>
      <c r="N65" s="71"/>
    </row>
    <row r="66" spans="1:14" ht="15.75" customHeight="1" x14ac:dyDescent="0.35">
      <c r="A66" s="65">
        <v>14</v>
      </c>
      <c r="B66" s="65" t="s">
        <v>428</v>
      </c>
      <c r="C66" s="65"/>
      <c r="D66" s="65" t="s">
        <v>309</v>
      </c>
      <c r="E66" s="66">
        <v>300</v>
      </c>
      <c r="F66" s="65">
        <v>478</v>
      </c>
      <c r="G66" s="65">
        <v>478</v>
      </c>
      <c r="H66" s="65">
        <v>31</v>
      </c>
      <c r="I66" s="65">
        <v>0</v>
      </c>
      <c r="J66" s="70">
        <f>(H66/F66)*10</f>
        <v>0.64853556485355646</v>
      </c>
      <c r="K66" s="65">
        <v>0</v>
      </c>
      <c r="L66" s="65">
        <v>31</v>
      </c>
      <c r="M66" s="71">
        <f>H66/E66*10^7/10^3</f>
        <v>1033.3333333333335</v>
      </c>
      <c r="N66" s="102">
        <f>I66/G66*10</f>
        <v>0</v>
      </c>
    </row>
    <row r="67" spans="1:14" ht="15.75" customHeight="1" x14ac:dyDescent="0.35">
      <c r="A67" s="65">
        <v>15</v>
      </c>
      <c r="B67" s="65" t="s">
        <v>429</v>
      </c>
      <c r="C67" s="65"/>
      <c r="D67" s="65" t="s">
        <v>309</v>
      </c>
      <c r="E67" s="66">
        <v>240</v>
      </c>
      <c r="F67" s="65">
        <v>287</v>
      </c>
      <c r="G67" s="65">
        <v>287</v>
      </c>
      <c r="H67" s="65">
        <v>67</v>
      </c>
      <c r="I67" s="65">
        <v>0</v>
      </c>
      <c r="J67" s="70">
        <f>(H67/F67)*10</f>
        <v>2.3344947735191637</v>
      </c>
      <c r="K67" s="65">
        <v>0</v>
      </c>
      <c r="L67" s="65">
        <v>67</v>
      </c>
      <c r="M67" s="71">
        <f>H67/E67*10^7/10^3</f>
        <v>2791.6666666666665</v>
      </c>
      <c r="N67" s="102">
        <f>I67/G67*10</f>
        <v>0</v>
      </c>
    </row>
    <row r="68" spans="1:14" x14ac:dyDescent="0.35">
      <c r="A68" s="65">
        <v>17</v>
      </c>
      <c r="B68" s="65" t="s">
        <v>430</v>
      </c>
      <c r="C68" s="65"/>
      <c r="D68" s="65" t="s">
        <v>309</v>
      </c>
      <c r="E68" s="66">
        <v>232</v>
      </c>
      <c r="F68" s="65">
        <v>335</v>
      </c>
      <c r="G68" s="65">
        <v>335</v>
      </c>
      <c r="H68" s="65">
        <v>0</v>
      </c>
      <c r="I68" s="65">
        <v>68</v>
      </c>
      <c r="J68" s="70">
        <f>(H68/F68)*10</f>
        <v>0</v>
      </c>
      <c r="K68" s="65">
        <v>2.04</v>
      </c>
      <c r="L68" s="65">
        <v>68</v>
      </c>
      <c r="M68" s="71">
        <f>H68/E68*10^7/10^3</f>
        <v>0</v>
      </c>
      <c r="N68" s="102">
        <f>I68/G68*10</f>
        <v>2.0298507462686564</v>
      </c>
    </row>
    <row r="69" spans="1:14" ht="15.75" customHeight="1" x14ac:dyDescent="0.35">
      <c r="A69" s="65"/>
      <c r="B69" s="65"/>
      <c r="C69" s="65"/>
      <c r="D69" s="65"/>
      <c r="E69" s="65">
        <f>SUM(E66:E68)</f>
        <v>772</v>
      </c>
      <c r="F69" s="65">
        <f>SUM(F66:F68)</f>
        <v>1100</v>
      </c>
      <c r="G69" s="65">
        <f>SUM(G66:G68)</f>
        <v>1100</v>
      </c>
      <c r="H69" s="65">
        <f>SUM(H66:H68)</f>
        <v>98</v>
      </c>
      <c r="I69" s="65">
        <f>SUM(I66:I68)</f>
        <v>68</v>
      </c>
      <c r="J69" s="65"/>
      <c r="K69" s="65"/>
      <c r="L69" s="65"/>
      <c r="M69" s="104">
        <f>H69/E69*10^7/10^3</f>
        <v>1269.4300518134717</v>
      </c>
      <c r="N69" s="72">
        <f>I69/G69*10</f>
        <v>0.61818181818181817</v>
      </c>
    </row>
    <row r="70" spans="1:14" ht="15.75" customHeight="1" x14ac:dyDescent="0.35">
      <c r="A70" s="65"/>
      <c r="B70" s="65"/>
      <c r="C70" s="65"/>
      <c r="D70" s="65"/>
      <c r="E70" s="66"/>
      <c r="F70" s="65"/>
      <c r="G70" s="65"/>
      <c r="H70" s="65"/>
      <c r="I70" s="65"/>
      <c r="J70" s="70"/>
      <c r="K70" s="65"/>
      <c r="L70" s="65"/>
    </row>
    <row r="71" spans="1:14" ht="15.75" customHeight="1" x14ac:dyDescent="0.35">
      <c r="A71" s="65"/>
      <c r="B71" s="65"/>
      <c r="C71" s="65"/>
      <c r="D71" s="65"/>
      <c r="E71" s="66"/>
      <c r="F71" s="65"/>
      <c r="G71" s="65"/>
      <c r="H71" s="65"/>
      <c r="I71" s="65"/>
      <c r="J71" s="70"/>
      <c r="K71" s="65"/>
      <c r="L71" s="65"/>
      <c r="M71" s="71"/>
      <c r="N71" s="71"/>
    </row>
    <row r="72" spans="1:14" ht="15.75" customHeight="1" x14ac:dyDescent="0.35">
      <c r="A72" s="65"/>
      <c r="B72" s="65"/>
      <c r="C72" s="65"/>
      <c r="D72" s="65"/>
      <c r="E72" s="66"/>
      <c r="F72" s="65"/>
      <c r="G72" s="65"/>
      <c r="H72" s="65"/>
      <c r="I72" s="65"/>
      <c r="J72" s="70"/>
      <c r="K72" s="65"/>
      <c r="L72" s="65"/>
      <c r="M72" s="71"/>
      <c r="N72" s="71"/>
    </row>
    <row r="73" spans="1:14" ht="15.75" customHeight="1" x14ac:dyDescent="0.35">
      <c r="A73" s="65">
        <v>3</v>
      </c>
      <c r="B73" s="65" t="s">
        <v>431</v>
      </c>
      <c r="C73" s="65"/>
      <c r="D73" s="65" t="s">
        <v>312</v>
      </c>
      <c r="E73" s="66">
        <v>8.56</v>
      </c>
      <c r="F73" s="65">
        <v>45</v>
      </c>
      <c r="G73" s="65">
        <v>45</v>
      </c>
      <c r="H73" s="65">
        <v>0</v>
      </c>
      <c r="I73" s="65">
        <v>15</v>
      </c>
      <c r="J73" s="70">
        <f>(H73/F73)*10</f>
        <v>0</v>
      </c>
      <c r="K73" s="65">
        <v>3.39</v>
      </c>
      <c r="L73" s="65">
        <v>15</v>
      </c>
      <c r="M73" s="71">
        <f>H73/E73*10^7/10^3</f>
        <v>0</v>
      </c>
      <c r="N73" s="102">
        <f>I73/G73*10</f>
        <v>3.333333333333333</v>
      </c>
    </row>
    <row r="74" spans="1:14" ht="15.75" customHeight="1" x14ac:dyDescent="0.35">
      <c r="A74" s="65"/>
      <c r="B74" s="65"/>
      <c r="C74" s="65"/>
      <c r="D74" s="65"/>
      <c r="E74" s="65">
        <f>SUM(E73)</f>
        <v>8.56</v>
      </c>
      <c r="F74" s="65">
        <f>SUM(F73)</f>
        <v>45</v>
      </c>
      <c r="G74" s="65">
        <f>SUM(G73)</f>
        <v>45</v>
      </c>
      <c r="H74" s="65">
        <f>SUM(H73)</f>
        <v>0</v>
      </c>
      <c r="I74" s="65">
        <f>SUM(I73)</f>
        <v>15</v>
      </c>
      <c r="J74" s="65"/>
      <c r="K74" s="65"/>
      <c r="L74" s="65"/>
      <c r="M74" s="104">
        <f>H74/E74*10^7/10^3</f>
        <v>0</v>
      </c>
      <c r="N74" s="72">
        <f>I74/G74*10</f>
        <v>3.333333333333333</v>
      </c>
    </row>
    <row r="75" spans="1:14" ht="15.75" customHeight="1" x14ac:dyDescent="0.35">
      <c r="A75" s="65"/>
      <c r="B75" s="65"/>
      <c r="C75" s="65"/>
      <c r="D75" s="65"/>
      <c r="E75" s="66"/>
      <c r="F75" s="65"/>
      <c r="G75" s="65"/>
      <c r="H75" s="65"/>
      <c r="I75" s="65"/>
      <c r="J75" s="70"/>
      <c r="K75" s="65"/>
      <c r="L75" s="65"/>
    </row>
    <row r="76" spans="1:14" ht="15.75" customHeight="1" x14ac:dyDescent="0.35">
      <c r="A76" s="65"/>
      <c r="B76" s="65"/>
      <c r="C76" s="65"/>
      <c r="D76" s="65"/>
      <c r="E76" s="66"/>
      <c r="F76" s="65"/>
      <c r="G76" s="65"/>
      <c r="H76" s="65"/>
      <c r="I76" s="65"/>
      <c r="J76" s="70"/>
      <c r="K76" s="65"/>
      <c r="L76" s="65"/>
      <c r="M76" s="71"/>
      <c r="N76" s="71"/>
    </row>
    <row r="77" spans="1:14" ht="15.75" customHeight="1" x14ac:dyDescent="0.35">
      <c r="A77" s="65"/>
      <c r="B77" s="65"/>
      <c r="C77" s="65"/>
      <c r="D77" s="65"/>
      <c r="E77" s="66"/>
      <c r="F77" s="65"/>
      <c r="G77" s="65"/>
      <c r="H77" s="65"/>
      <c r="I77" s="65"/>
      <c r="J77" s="70"/>
      <c r="K77" s="65"/>
      <c r="L77" s="65"/>
      <c r="M77" s="71"/>
      <c r="N77" s="71"/>
    </row>
    <row r="78" spans="1:14" ht="15.75" customHeight="1" x14ac:dyDescent="0.35">
      <c r="A78" s="65">
        <v>3</v>
      </c>
      <c r="B78" s="65" t="s">
        <v>432</v>
      </c>
      <c r="C78" s="65"/>
      <c r="D78" s="65" t="s">
        <v>433</v>
      </c>
      <c r="E78" s="66">
        <v>375</v>
      </c>
      <c r="F78" s="65">
        <v>1910</v>
      </c>
      <c r="G78" s="65">
        <v>32</v>
      </c>
      <c r="H78" s="65">
        <v>247</v>
      </c>
      <c r="I78" s="65">
        <v>14</v>
      </c>
      <c r="J78" s="70">
        <f t="shared" ref="J78:J87" si="8">(H78/F78)*10</f>
        <v>1.2931937172774868</v>
      </c>
      <c r="K78" s="65">
        <v>4.3499999999999996</v>
      </c>
      <c r="L78" s="65">
        <v>261</v>
      </c>
      <c r="M78" s="71">
        <f t="shared" ref="M78:M88" si="9">H78/E78*10^7/10^3</f>
        <v>6586.6666666666661</v>
      </c>
      <c r="N78" s="102">
        <f t="shared" ref="N78:N88" si="10">I78/G78*10</f>
        <v>4.375</v>
      </c>
    </row>
    <row r="79" spans="1:14" ht="15.75" customHeight="1" x14ac:dyDescent="0.35">
      <c r="A79" s="65">
        <v>4</v>
      </c>
      <c r="B79" s="68" t="s">
        <v>434</v>
      </c>
      <c r="C79" s="65"/>
      <c r="D79" s="65" t="s">
        <v>433</v>
      </c>
      <c r="E79" s="66">
        <v>107</v>
      </c>
      <c r="F79" s="65">
        <v>362</v>
      </c>
      <c r="G79" s="65">
        <v>45</v>
      </c>
      <c r="H79" s="65">
        <v>68</v>
      </c>
      <c r="I79" s="65">
        <v>18</v>
      </c>
      <c r="J79" s="70">
        <f t="shared" si="8"/>
        <v>1.878453038674033</v>
      </c>
      <c r="K79" s="65">
        <v>3.9</v>
      </c>
      <c r="L79" s="65">
        <v>86</v>
      </c>
      <c r="M79" s="71">
        <f t="shared" si="9"/>
        <v>6355.1401869158872</v>
      </c>
      <c r="N79" s="102">
        <f t="shared" si="10"/>
        <v>4</v>
      </c>
    </row>
    <row r="80" spans="1:14" ht="15.75" customHeight="1" x14ac:dyDescent="0.35">
      <c r="A80" s="65">
        <v>5</v>
      </c>
      <c r="B80" s="68" t="s">
        <v>435</v>
      </c>
      <c r="C80" s="65"/>
      <c r="D80" s="65" t="s">
        <v>433</v>
      </c>
      <c r="E80" s="66">
        <v>112</v>
      </c>
      <c r="F80" s="65">
        <v>382</v>
      </c>
      <c r="G80" s="65">
        <v>48</v>
      </c>
      <c r="H80" s="65">
        <v>81</v>
      </c>
      <c r="I80" s="65">
        <v>19</v>
      </c>
      <c r="J80" s="70">
        <f t="shared" si="8"/>
        <v>2.1204188481675392</v>
      </c>
      <c r="K80" s="65">
        <v>4.07</v>
      </c>
      <c r="L80" s="65">
        <v>101</v>
      </c>
      <c r="M80" s="71">
        <f t="shared" si="9"/>
        <v>7232.1428571428569</v>
      </c>
      <c r="N80" s="102">
        <f t="shared" si="10"/>
        <v>3.958333333333333</v>
      </c>
    </row>
    <row r="81" spans="1:14" ht="15.75" customHeight="1" x14ac:dyDescent="0.35">
      <c r="A81" s="65">
        <v>16</v>
      </c>
      <c r="B81" s="65" t="s">
        <v>436</v>
      </c>
      <c r="C81" s="65"/>
      <c r="D81" s="65" t="s">
        <v>433</v>
      </c>
      <c r="E81" s="66">
        <v>376</v>
      </c>
      <c r="F81" s="65">
        <v>1917</v>
      </c>
      <c r="G81" s="65">
        <v>32</v>
      </c>
      <c r="H81" s="65">
        <v>306</v>
      </c>
      <c r="I81" s="65">
        <v>7</v>
      </c>
      <c r="J81" s="70">
        <f t="shared" si="8"/>
        <v>1.596244131455399</v>
      </c>
      <c r="K81" s="65">
        <v>2.2599999999999998</v>
      </c>
      <c r="L81" s="65">
        <v>314</v>
      </c>
      <c r="M81" s="71">
        <f t="shared" si="9"/>
        <v>8138.2978723404249</v>
      </c>
      <c r="N81" s="102">
        <f t="shared" si="10"/>
        <v>2.1875</v>
      </c>
    </row>
    <row r="82" spans="1:14" ht="15.75" customHeight="1" x14ac:dyDescent="0.35">
      <c r="A82" s="65">
        <v>1</v>
      </c>
      <c r="B82" s="65" t="s">
        <v>437</v>
      </c>
      <c r="C82" s="65"/>
      <c r="D82" s="65" t="s">
        <v>433</v>
      </c>
      <c r="E82" s="66">
        <v>655</v>
      </c>
      <c r="F82" s="65">
        <v>3339</v>
      </c>
      <c r="G82" s="65">
        <v>56</v>
      </c>
      <c r="H82" s="65">
        <v>405</v>
      </c>
      <c r="I82" s="65">
        <v>18</v>
      </c>
      <c r="J82" s="70">
        <f t="shared" si="8"/>
        <v>1.2129380053908356</v>
      </c>
      <c r="K82" s="65">
        <v>3.2</v>
      </c>
      <c r="L82" s="65">
        <v>423</v>
      </c>
      <c r="M82" s="71">
        <f t="shared" si="9"/>
        <v>6183.2061068702296</v>
      </c>
      <c r="N82" s="102">
        <f t="shared" si="10"/>
        <v>3.2142857142857144</v>
      </c>
    </row>
    <row r="83" spans="1:14" ht="15.75" customHeight="1" x14ac:dyDescent="0.35">
      <c r="A83" s="65">
        <v>2</v>
      </c>
      <c r="B83" s="65" t="s">
        <v>438</v>
      </c>
      <c r="C83" s="65"/>
      <c r="D83" s="65" t="s">
        <v>433</v>
      </c>
      <c r="E83" s="66">
        <v>156</v>
      </c>
      <c r="F83" s="65">
        <v>795</v>
      </c>
      <c r="G83" s="65">
        <v>13</v>
      </c>
      <c r="H83" s="65">
        <v>66</v>
      </c>
      <c r="I83" s="65">
        <v>3</v>
      </c>
      <c r="J83" s="70">
        <f t="shared" si="8"/>
        <v>0.83018867924528295</v>
      </c>
      <c r="K83" s="65">
        <v>2.59</v>
      </c>
      <c r="L83" s="65">
        <v>69</v>
      </c>
      <c r="M83" s="71">
        <f t="shared" si="9"/>
        <v>4230.7692307692314</v>
      </c>
      <c r="N83" s="102">
        <f t="shared" si="10"/>
        <v>2.3076923076923079</v>
      </c>
    </row>
    <row r="84" spans="1:14" ht="15.75" customHeight="1" x14ac:dyDescent="0.35">
      <c r="A84" s="65">
        <v>3</v>
      </c>
      <c r="B84" s="65" t="s">
        <v>439</v>
      </c>
      <c r="C84" s="65"/>
      <c r="D84" s="65" t="s">
        <v>433</v>
      </c>
      <c r="E84" s="66">
        <v>351</v>
      </c>
      <c r="F84" s="65">
        <v>1845</v>
      </c>
      <c r="G84" s="65">
        <v>31</v>
      </c>
      <c r="H84" s="65">
        <v>188</v>
      </c>
      <c r="I84" s="65">
        <v>13</v>
      </c>
      <c r="J84" s="70">
        <f t="shared" si="8"/>
        <v>1.018970189701897</v>
      </c>
      <c r="K84" s="65">
        <v>4.29</v>
      </c>
      <c r="L84" s="65">
        <v>201</v>
      </c>
      <c r="M84" s="71">
        <f t="shared" si="9"/>
        <v>5356.125356125357</v>
      </c>
      <c r="N84" s="102">
        <f t="shared" si="10"/>
        <v>4.193548387096774</v>
      </c>
    </row>
    <row r="85" spans="1:14" ht="15.75" customHeight="1" x14ac:dyDescent="0.35">
      <c r="A85" s="65">
        <v>6</v>
      </c>
      <c r="B85" s="65" t="s">
        <v>440</v>
      </c>
      <c r="C85" s="65"/>
      <c r="D85" s="65" t="s">
        <v>433</v>
      </c>
      <c r="E85" s="66">
        <v>42</v>
      </c>
      <c r="F85" s="65">
        <v>214</v>
      </c>
      <c r="G85" s="65">
        <v>4</v>
      </c>
      <c r="H85" s="65">
        <v>10</v>
      </c>
      <c r="I85" s="65">
        <v>2</v>
      </c>
      <c r="J85" s="70">
        <f t="shared" si="8"/>
        <v>0.46728971962616822</v>
      </c>
      <c r="K85" s="65">
        <v>4.4800000000000004</v>
      </c>
      <c r="L85" s="65">
        <v>12</v>
      </c>
      <c r="M85" s="71">
        <f t="shared" si="9"/>
        <v>2380.9523809523807</v>
      </c>
      <c r="N85" s="102">
        <f t="shared" si="10"/>
        <v>5</v>
      </c>
    </row>
    <row r="86" spans="1:14" ht="15.75" customHeight="1" x14ac:dyDescent="0.35">
      <c r="A86" s="65">
        <v>8</v>
      </c>
      <c r="B86" s="65" t="s">
        <v>441</v>
      </c>
      <c r="C86" s="65"/>
      <c r="D86" s="65" t="s">
        <v>433</v>
      </c>
      <c r="E86" s="66">
        <v>702</v>
      </c>
      <c r="F86" s="65">
        <v>472</v>
      </c>
      <c r="G86" s="65">
        <v>60</v>
      </c>
      <c r="H86" s="65">
        <v>386</v>
      </c>
      <c r="I86" s="65">
        <v>33</v>
      </c>
      <c r="J86" s="70">
        <f t="shared" si="8"/>
        <v>8.1779661016949152</v>
      </c>
      <c r="K86" s="65">
        <v>5.49</v>
      </c>
      <c r="L86" s="65">
        <v>419</v>
      </c>
      <c r="M86" s="71">
        <f t="shared" si="9"/>
        <v>5498.5754985754984</v>
      </c>
      <c r="N86" s="102">
        <f t="shared" si="10"/>
        <v>5.5</v>
      </c>
    </row>
    <row r="87" spans="1:14" ht="15.75" customHeight="1" x14ac:dyDescent="0.35">
      <c r="A87" s="65">
        <v>10</v>
      </c>
      <c r="B87" s="65" t="s">
        <v>442</v>
      </c>
      <c r="C87" s="65"/>
      <c r="D87" s="65" t="s">
        <v>433</v>
      </c>
      <c r="E87" s="66">
        <v>237.00387579999997</v>
      </c>
      <c r="F87" s="65">
        <v>806</v>
      </c>
      <c r="G87" s="65">
        <v>101</v>
      </c>
      <c r="H87" s="65">
        <v>148</v>
      </c>
      <c r="I87" s="65">
        <v>30</v>
      </c>
      <c r="J87" s="70">
        <f t="shared" si="8"/>
        <v>1.8362282878411911</v>
      </c>
      <c r="K87" s="65">
        <v>2.96</v>
      </c>
      <c r="L87" s="65">
        <v>178</v>
      </c>
      <c r="M87" s="71">
        <f t="shared" si="9"/>
        <v>6244.6236164041684</v>
      </c>
      <c r="N87" s="102">
        <f t="shared" si="10"/>
        <v>2.9702970297029703</v>
      </c>
    </row>
    <row r="88" spans="1:14" ht="15.75" customHeight="1" x14ac:dyDescent="0.35">
      <c r="A88" s="65"/>
      <c r="B88" s="65"/>
      <c r="C88" s="65"/>
      <c r="D88" s="65"/>
      <c r="E88" s="65">
        <f>SUM(E78:E87)</f>
        <v>3113.0038758000001</v>
      </c>
      <c r="F88" s="65">
        <f>SUM(F78:F87)</f>
        <v>12042</v>
      </c>
      <c r="G88" s="65">
        <f>SUM(G78:G87)</f>
        <v>422</v>
      </c>
      <c r="H88" s="65">
        <f>SUM(H78:H87)</f>
        <v>1905</v>
      </c>
      <c r="I88" s="65">
        <f>SUM(I78:I87)</f>
        <v>157</v>
      </c>
      <c r="J88" s="65"/>
      <c r="K88" s="65"/>
      <c r="L88" s="65"/>
      <c r="M88" s="104">
        <f t="shared" si="9"/>
        <v>6119.4912566899402</v>
      </c>
      <c r="N88" s="72">
        <f t="shared" si="10"/>
        <v>3.7203791469194316</v>
      </c>
    </row>
    <row r="89" spans="1:14" ht="15.75" customHeight="1" x14ac:dyDescent="0.35">
      <c r="A89" s="65"/>
      <c r="B89" s="65"/>
      <c r="C89" s="65"/>
      <c r="D89" s="65"/>
      <c r="E89" s="66"/>
      <c r="F89" s="65"/>
      <c r="G89" s="65"/>
      <c r="H89" s="65"/>
      <c r="I89" s="65"/>
      <c r="J89" s="70"/>
      <c r="K89" s="65"/>
      <c r="L89" s="65"/>
    </row>
    <row r="90" spans="1:14" ht="15.75" customHeight="1" x14ac:dyDescent="0.35">
      <c r="A90" s="65"/>
      <c r="B90" s="65"/>
      <c r="C90" s="65"/>
      <c r="D90" s="65"/>
      <c r="E90" s="66"/>
      <c r="F90" s="65"/>
      <c r="G90" s="65"/>
      <c r="H90" s="65"/>
      <c r="I90" s="65"/>
      <c r="J90" s="70"/>
      <c r="K90" s="65"/>
      <c r="L90" s="65"/>
      <c r="M90" s="71"/>
      <c r="N90" s="71"/>
    </row>
    <row r="91" spans="1:14" ht="15.75" customHeight="1" x14ac:dyDescent="0.35">
      <c r="A91" s="65"/>
      <c r="B91" s="65"/>
      <c r="C91" s="65"/>
      <c r="D91" s="65"/>
      <c r="E91" s="66"/>
      <c r="F91" s="65"/>
      <c r="G91" s="65"/>
      <c r="H91" s="65"/>
      <c r="I91" s="65"/>
      <c r="J91" s="70"/>
      <c r="K91" s="65"/>
      <c r="L91" s="65"/>
      <c r="M91" s="71"/>
      <c r="N91" s="71"/>
    </row>
    <row r="92" spans="1:14" ht="15.75" customHeight="1" x14ac:dyDescent="0.35">
      <c r="A92" s="65">
        <v>1</v>
      </c>
      <c r="B92" s="65" t="s">
        <v>443</v>
      </c>
      <c r="C92" s="65"/>
      <c r="D92" s="65" t="s">
        <v>304</v>
      </c>
      <c r="E92" s="66">
        <v>125.00004</v>
      </c>
      <c r="F92" s="65">
        <v>1072</v>
      </c>
      <c r="G92" s="65">
        <v>1072</v>
      </c>
      <c r="H92" s="65">
        <v>0</v>
      </c>
      <c r="I92" s="65">
        <v>107</v>
      </c>
      <c r="J92" s="70">
        <f>(H92/F92)*10</f>
        <v>0</v>
      </c>
      <c r="K92" s="65">
        <v>1</v>
      </c>
      <c r="L92" s="65">
        <v>107</v>
      </c>
      <c r="M92" s="71">
        <f>H92/E92*10^7/10^3</f>
        <v>0</v>
      </c>
      <c r="N92" s="102">
        <f>I92/G92*10</f>
        <v>0.99813432835820892</v>
      </c>
    </row>
    <row r="93" spans="1:14" ht="15.75" customHeight="1" x14ac:dyDescent="0.35">
      <c r="A93" s="65">
        <v>2</v>
      </c>
      <c r="B93" s="65" t="s">
        <v>444</v>
      </c>
      <c r="C93" s="65"/>
      <c r="D93" s="65" t="s">
        <v>304</v>
      </c>
      <c r="E93" s="66">
        <v>160</v>
      </c>
      <c r="F93" s="65">
        <v>1836</v>
      </c>
      <c r="G93" s="65">
        <v>1836</v>
      </c>
      <c r="H93" s="65">
        <v>0</v>
      </c>
      <c r="I93" s="65">
        <v>530</v>
      </c>
      <c r="J93" s="70">
        <f>(H93/F93)*10</f>
        <v>0</v>
      </c>
      <c r="K93" s="65">
        <v>2.89</v>
      </c>
      <c r="L93" s="65">
        <v>530</v>
      </c>
      <c r="M93" s="71">
        <f>H93/E93*10^7/10^3</f>
        <v>0</v>
      </c>
      <c r="N93" s="102">
        <f>I93/G93*10</f>
        <v>2.8867102396514159</v>
      </c>
    </row>
    <row r="94" spans="1:14" ht="15.75" customHeight="1" x14ac:dyDescent="0.35">
      <c r="A94" s="65">
        <v>3</v>
      </c>
      <c r="B94" s="65" t="s">
        <v>445</v>
      </c>
      <c r="C94" s="65"/>
      <c r="D94" s="65" t="s">
        <v>304</v>
      </c>
      <c r="E94" s="66">
        <v>0</v>
      </c>
      <c r="F94" s="65">
        <v>814</v>
      </c>
      <c r="G94" s="65">
        <v>814</v>
      </c>
      <c r="H94" s="65">
        <v>0</v>
      </c>
      <c r="I94" s="65">
        <v>195</v>
      </c>
      <c r="J94" s="70">
        <f>(H94/F94)*10</f>
        <v>0</v>
      </c>
      <c r="K94" s="65">
        <v>2.39</v>
      </c>
      <c r="L94" s="65">
        <v>195</v>
      </c>
      <c r="M94" s="71" t="e">
        <f>H94/E94*10^7/10^3</f>
        <v>#DIV/0!</v>
      </c>
      <c r="N94" s="102">
        <f>I94/G94*10</f>
        <v>2.3955773955773956</v>
      </c>
    </row>
    <row r="95" spans="1:14" ht="15.75" customHeight="1" x14ac:dyDescent="0.35">
      <c r="A95" s="65">
        <v>24</v>
      </c>
      <c r="B95" s="65" t="s">
        <v>446</v>
      </c>
      <c r="C95" s="65"/>
      <c r="D95" s="65" t="s">
        <v>304</v>
      </c>
      <c r="E95" s="66">
        <v>0</v>
      </c>
      <c r="F95" s="65">
        <v>642</v>
      </c>
      <c r="G95" s="65">
        <v>642</v>
      </c>
      <c r="H95" s="65">
        <v>50</v>
      </c>
      <c r="I95" s="65">
        <v>153</v>
      </c>
      <c r="J95" s="70">
        <f>(H95/F95)*10</f>
        <v>0.77881619937694702</v>
      </c>
      <c r="K95" s="65">
        <v>2.38</v>
      </c>
      <c r="L95" s="65">
        <v>203</v>
      </c>
      <c r="M95" s="71" t="e">
        <f>H95/E95*10^7/10^3</f>
        <v>#DIV/0!</v>
      </c>
      <c r="N95" s="102">
        <f>I95/G95*10</f>
        <v>2.3831775700934581</v>
      </c>
    </row>
    <row r="96" spans="1:14" ht="15.75" customHeight="1" x14ac:dyDescent="0.35">
      <c r="A96" s="65"/>
      <c r="B96" s="65"/>
      <c r="C96" s="65"/>
      <c r="D96" s="65"/>
      <c r="E96" s="65">
        <f>SUM(E92:E95)</f>
        <v>285.00004000000001</v>
      </c>
      <c r="F96" s="65">
        <f>SUM(F92:F95)</f>
        <v>4364</v>
      </c>
      <c r="G96" s="65">
        <f>SUM(G92:G95)</f>
        <v>4364</v>
      </c>
      <c r="H96" s="65">
        <f>SUM(H92:H95)</f>
        <v>50</v>
      </c>
      <c r="I96" s="65">
        <f>SUM(I92:I95)</f>
        <v>985</v>
      </c>
      <c r="J96" s="65"/>
      <c r="K96" s="65"/>
      <c r="L96" s="65"/>
      <c r="M96" s="104">
        <f>H96/E96*10^7/10^3</f>
        <v>1754.3857186827061</v>
      </c>
      <c r="N96" s="72">
        <f>I96/G96*10</f>
        <v>2.257103574702108</v>
      </c>
    </row>
    <row r="97" spans="1:14" ht="15.75" customHeight="1" x14ac:dyDescent="0.35">
      <c r="A97" s="65"/>
      <c r="B97" s="65"/>
      <c r="C97" s="65"/>
      <c r="D97" s="65"/>
      <c r="E97" s="66"/>
      <c r="F97" s="65"/>
      <c r="G97" s="65"/>
      <c r="H97" s="65"/>
      <c r="I97" s="65"/>
      <c r="J97" s="70"/>
      <c r="K97" s="65"/>
      <c r="L97" s="65"/>
    </row>
    <row r="98" spans="1:14" ht="15.75" customHeight="1" x14ac:dyDescent="0.35">
      <c r="A98" s="65"/>
      <c r="B98" s="65"/>
      <c r="C98" s="65"/>
      <c r="D98" s="65"/>
      <c r="E98" s="66"/>
      <c r="F98" s="65"/>
      <c r="G98" s="65"/>
      <c r="H98" s="65"/>
      <c r="I98" s="65"/>
      <c r="J98" s="70"/>
      <c r="K98" s="65"/>
      <c r="L98" s="65"/>
      <c r="M98" s="71"/>
      <c r="N98" s="71"/>
    </row>
    <row r="99" spans="1:14" ht="15.75" customHeight="1" x14ac:dyDescent="0.35">
      <c r="A99" s="65"/>
      <c r="B99" s="65"/>
      <c r="C99" s="65"/>
      <c r="D99" s="65"/>
      <c r="E99" s="66"/>
      <c r="F99" s="65"/>
      <c r="G99" s="65"/>
      <c r="H99" s="65"/>
      <c r="I99" s="65"/>
      <c r="J99" s="70"/>
      <c r="K99" s="65"/>
      <c r="L99" s="65"/>
      <c r="M99" s="71"/>
      <c r="N99" s="71"/>
    </row>
    <row r="100" spans="1:14" ht="15.75" customHeight="1" x14ac:dyDescent="0.35">
      <c r="A100" s="65">
        <v>1</v>
      </c>
      <c r="B100" s="103" t="s">
        <v>447</v>
      </c>
      <c r="C100" s="65"/>
      <c r="D100" s="65" t="s">
        <v>348</v>
      </c>
      <c r="E100" s="66"/>
      <c r="F100" s="65">
        <v>4280</v>
      </c>
      <c r="G100" s="65">
        <v>4280</v>
      </c>
      <c r="H100" s="65">
        <v>0</v>
      </c>
      <c r="I100" s="65">
        <v>1521</v>
      </c>
      <c r="J100" s="70">
        <f>(H100/F100)*10</f>
        <v>0</v>
      </c>
      <c r="K100" s="65">
        <v>3.55</v>
      </c>
      <c r="L100" s="65">
        <v>1521</v>
      </c>
      <c r="M100" s="71" t="e">
        <f>H100/E100*10^7/10^3</f>
        <v>#DIV/0!</v>
      </c>
      <c r="N100" s="102">
        <f>I100/G100*10</f>
        <v>3.5537383177570092</v>
      </c>
    </row>
    <row r="101" spans="1:14" ht="15.75" customHeight="1" x14ac:dyDescent="0.35">
      <c r="A101" s="65">
        <v>6</v>
      </c>
      <c r="B101" s="103" t="s">
        <v>448</v>
      </c>
      <c r="C101" s="65"/>
      <c r="D101" s="65" t="s">
        <v>348</v>
      </c>
      <c r="E101" s="66"/>
      <c r="F101" s="65">
        <v>2468</v>
      </c>
      <c r="G101" s="65">
        <v>2468</v>
      </c>
      <c r="H101" s="65">
        <v>0</v>
      </c>
      <c r="I101" s="65">
        <v>1034</v>
      </c>
      <c r="J101" s="70">
        <f>(H101/F101)*10</f>
        <v>0</v>
      </c>
      <c r="K101" s="65">
        <v>4.1900000000000004</v>
      </c>
      <c r="L101" s="65">
        <v>1034</v>
      </c>
      <c r="M101" s="71" t="e">
        <f>H101/E101*10^7/10^3</f>
        <v>#DIV/0!</v>
      </c>
      <c r="N101" s="102">
        <f>I101/G101*10</f>
        <v>4.1896272285251221</v>
      </c>
    </row>
    <row r="102" spans="1:14" ht="15.75" customHeight="1" x14ac:dyDescent="0.35">
      <c r="A102" s="65"/>
      <c r="B102" s="65"/>
      <c r="C102" s="65"/>
      <c r="D102" s="65"/>
      <c r="E102" s="65">
        <f t="shared" ref="E102:J102" si="11">SUM(E100:E101)</f>
        <v>0</v>
      </c>
      <c r="F102" s="65">
        <f t="shared" si="11"/>
        <v>6748</v>
      </c>
      <c r="G102" s="65">
        <f t="shared" si="11"/>
        <v>6748</v>
      </c>
      <c r="H102" s="65">
        <f t="shared" si="11"/>
        <v>0</v>
      </c>
      <c r="I102" s="65">
        <f t="shared" si="11"/>
        <v>2555</v>
      </c>
      <c r="J102" s="65">
        <f t="shared" si="11"/>
        <v>0</v>
      </c>
      <c r="K102" s="65"/>
      <c r="L102" s="65"/>
      <c r="M102" s="72" t="e">
        <f>H102/E102*10^7/10^3</f>
        <v>#DIV/0!</v>
      </c>
      <c r="N102" s="72">
        <f>I102/G102*10</f>
        <v>3.7863070539419086</v>
      </c>
    </row>
    <row r="103" spans="1:14" ht="15.75" customHeight="1" x14ac:dyDescent="0.35">
      <c r="A103" s="65"/>
      <c r="B103" s="65"/>
      <c r="C103" s="65"/>
      <c r="D103" s="65"/>
      <c r="E103" s="66"/>
      <c r="F103" s="65"/>
      <c r="G103" s="65"/>
      <c r="H103" s="65"/>
      <c r="I103" s="65"/>
      <c r="J103" s="70"/>
      <c r="K103" s="65"/>
      <c r="L103" s="65"/>
    </row>
    <row r="104" spans="1:14" ht="15.75" customHeight="1" x14ac:dyDescent="0.35">
      <c r="A104" s="65"/>
      <c r="B104" s="65"/>
      <c r="C104" s="65"/>
      <c r="D104" s="65"/>
      <c r="E104" s="66"/>
      <c r="F104" s="65"/>
      <c r="G104" s="65"/>
      <c r="H104" s="65"/>
      <c r="I104" s="65"/>
      <c r="J104" s="70"/>
      <c r="K104" s="65"/>
      <c r="L104" s="65"/>
      <c r="M104" s="71"/>
      <c r="N104" s="71"/>
    </row>
    <row r="105" spans="1:14" ht="15.75" customHeight="1" x14ac:dyDescent="0.35">
      <c r="A105" s="65"/>
      <c r="B105" s="65"/>
      <c r="C105" s="65"/>
      <c r="D105" s="65"/>
      <c r="E105" s="66"/>
      <c r="F105" s="65"/>
      <c r="G105" s="65"/>
      <c r="H105" s="65"/>
      <c r="I105" s="65"/>
      <c r="J105" s="70"/>
      <c r="K105" s="65"/>
      <c r="L105" s="65"/>
      <c r="M105" s="71"/>
      <c r="N105" s="71"/>
    </row>
    <row r="106" spans="1:14" x14ac:dyDescent="0.35">
      <c r="A106" s="65">
        <v>2</v>
      </c>
      <c r="B106" s="103" t="s">
        <v>449</v>
      </c>
      <c r="C106" s="65"/>
      <c r="D106" s="65" t="s">
        <v>351</v>
      </c>
      <c r="E106" s="66"/>
      <c r="F106" s="65">
        <v>1368</v>
      </c>
      <c r="G106" s="65">
        <v>1368</v>
      </c>
      <c r="H106" s="65">
        <v>0</v>
      </c>
      <c r="I106" s="65">
        <v>1831</v>
      </c>
      <c r="J106" s="70">
        <f>(H106/F106)*10</f>
        <v>0</v>
      </c>
      <c r="K106" s="65">
        <v>13.38</v>
      </c>
      <c r="L106" s="65">
        <v>1831</v>
      </c>
      <c r="M106" s="71" t="e">
        <f>H106/E106*10^7/10^3</f>
        <v>#DIV/0!</v>
      </c>
      <c r="N106" s="102">
        <f>I106/G106*10</f>
        <v>13.384502923976608</v>
      </c>
    </row>
    <row r="107" spans="1:14" ht="15.75" customHeight="1" x14ac:dyDescent="0.35">
      <c r="A107" s="65">
        <v>5</v>
      </c>
      <c r="B107" s="103" t="s">
        <v>450</v>
      </c>
      <c r="C107" s="65"/>
      <c r="D107" s="65" t="s">
        <v>351</v>
      </c>
      <c r="E107" s="66"/>
      <c r="F107" s="65">
        <v>1211</v>
      </c>
      <c r="G107" s="65">
        <v>1211</v>
      </c>
      <c r="H107" s="65">
        <v>0</v>
      </c>
      <c r="I107" s="65">
        <v>545</v>
      </c>
      <c r="J107" s="70">
        <f>(H107/F107)*10</f>
        <v>0</v>
      </c>
      <c r="K107" s="65">
        <v>4.5</v>
      </c>
      <c r="L107" s="65">
        <v>545</v>
      </c>
      <c r="M107" s="71" t="e">
        <f>H107/E107*10^7/10^3</f>
        <v>#DIV/0!</v>
      </c>
      <c r="N107" s="102">
        <f>I107/G107*10</f>
        <v>4.5004128819157714</v>
      </c>
    </row>
    <row r="108" spans="1:14" ht="15.75" customHeight="1" x14ac:dyDescent="0.35">
      <c r="A108" s="65"/>
      <c r="B108" s="65"/>
      <c r="C108" s="65"/>
      <c r="D108" s="65"/>
      <c r="E108" s="65">
        <f t="shared" ref="E108:J108" si="12">SUM(E106:E107)</f>
        <v>0</v>
      </c>
      <c r="F108" s="65">
        <f t="shared" si="12"/>
        <v>2579</v>
      </c>
      <c r="G108" s="65">
        <f t="shared" si="12"/>
        <v>2579</v>
      </c>
      <c r="H108" s="65">
        <f t="shared" si="12"/>
        <v>0</v>
      </c>
      <c r="I108" s="65">
        <f t="shared" si="12"/>
        <v>2376</v>
      </c>
      <c r="J108" s="65">
        <f t="shared" si="12"/>
        <v>0</v>
      </c>
      <c r="K108" s="65"/>
      <c r="L108" s="65"/>
      <c r="M108" s="72" t="e">
        <f>H108/E108*10^7/10^3</f>
        <v>#DIV/0!</v>
      </c>
      <c r="N108" s="72">
        <f>I108/G108*10</f>
        <v>9.2128732066692525</v>
      </c>
    </row>
    <row r="109" spans="1:14" ht="15.75" customHeight="1" x14ac:dyDescent="0.35">
      <c r="A109" s="65"/>
      <c r="B109" s="65"/>
      <c r="C109" s="65"/>
      <c r="D109" s="65"/>
      <c r="E109" s="66"/>
      <c r="F109" s="65"/>
      <c r="G109" s="65"/>
      <c r="H109" s="65"/>
      <c r="I109" s="65"/>
      <c r="J109" s="70"/>
      <c r="K109" s="65"/>
      <c r="L109" s="65"/>
    </row>
    <row r="110" spans="1:14" ht="15.75" customHeight="1" x14ac:dyDescent="0.35">
      <c r="A110" s="65"/>
      <c r="B110" s="65"/>
      <c r="C110" s="65"/>
      <c r="D110" s="65"/>
      <c r="E110" s="66"/>
      <c r="F110" s="65"/>
      <c r="G110" s="65"/>
      <c r="H110" s="65"/>
      <c r="I110" s="65"/>
      <c r="J110" s="70"/>
      <c r="K110" s="65"/>
      <c r="L110" s="65"/>
      <c r="M110" s="71"/>
      <c r="N110" s="71"/>
    </row>
    <row r="111" spans="1:14" ht="15.75" customHeight="1" x14ac:dyDescent="0.35">
      <c r="A111" s="65"/>
      <c r="B111" s="65"/>
      <c r="C111" s="65"/>
      <c r="D111" s="65"/>
      <c r="E111" s="66"/>
      <c r="F111" s="65"/>
      <c r="G111" s="65"/>
      <c r="H111" s="65"/>
      <c r="I111" s="65"/>
      <c r="J111" s="70"/>
      <c r="K111" s="65"/>
      <c r="L111" s="65"/>
      <c r="M111" s="71"/>
      <c r="N111" s="71"/>
    </row>
    <row r="112" spans="1:14" x14ac:dyDescent="0.35">
      <c r="A112" s="65">
        <v>4</v>
      </c>
      <c r="B112" s="65" t="s">
        <v>451</v>
      </c>
      <c r="C112" s="65"/>
      <c r="D112" s="65" t="s">
        <v>452</v>
      </c>
      <c r="E112" s="66">
        <v>41.1</v>
      </c>
      <c r="F112" s="65">
        <v>1</v>
      </c>
      <c r="G112" s="65">
        <v>1</v>
      </c>
      <c r="H112" s="65">
        <v>0</v>
      </c>
      <c r="I112" s="65">
        <f>K112*F112/10</f>
        <v>0.41500000000000004</v>
      </c>
      <c r="J112" s="70">
        <f>(H112/F112)*10</f>
        <v>0</v>
      </c>
      <c r="K112" s="65">
        <v>4.1500000000000004</v>
      </c>
      <c r="L112" s="65">
        <v>0</v>
      </c>
      <c r="M112" s="71">
        <f>H112/E112*10^7/10^3</f>
        <v>0</v>
      </c>
      <c r="N112" s="102">
        <f>I112/G112*10</f>
        <v>4.1500000000000004</v>
      </c>
    </row>
    <row r="113" spans="1:14" ht="15.75" customHeight="1" x14ac:dyDescent="0.35">
      <c r="A113" s="65"/>
      <c r="B113" s="65"/>
      <c r="C113" s="65"/>
      <c r="D113" s="65"/>
      <c r="E113" s="65">
        <f>SUM(E112)</f>
        <v>41.1</v>
      </c>
      <c r="F113" s="65">
        <f>SUM(F112)</f>
        <v>1</v>
      </c>
      <c r="G113" s="65">
        <f>SUM(G112)</f>
        <v>1</v>
      </c>
      <c r="H113" s="65">
        <f>SUM(H112)</f>
        <v>0</v>
      </c>
      <c r="I113" s="65">
        <f>SUM(I112)</f>
        <v>0.41500000000000004</v>
      </c>
      <c r="J113" s="65"/>
      <c r="K113" s="65"/>
      <c r="L113" s="65"/>
      <c r="M113" s="104">
        <f>H113/E113*10^7/10^3</f>
        <v>0</v>
      </c>
      <c r="N113" s="72">
        <f>I113/G113*10</f>
        <v>4.1500000000000004</v>
      </c>
    </row>
    <row r="114" spans="1:14" ht="15.75" customHeight="1" x14ac:dyDescent="0.35">
      <c r="A114" s="65"/>
      <c r="B114" s="65"/>
      <c r="C114" s="65"/>
      <c r="D114" s="65"/>
      <c r="E114" s="66"/>
      <c r="F114" s="65"/>
      <c r="G114" s="65"/>
      <c r="H114" s="65"/>
      <c r="I114" s="65"/>
      <c r="J114" s="70"/>
      <c r="K114" s="65"/>
      <c r="L114" s="65"/>
    </row>
    <row r="115" spans="1:14" ht="15.75" customHeight="1" x14ac:dyDescent="0.35">
      <c r="A115" s="65">
        <v>7</v>
      </c>
      <c r="B115" s="65" t="s">
        <v>453</v>
      </c>
      <c r="C115" s="65"/>
      <c r="D115" s="65"/>
      <c r="E115" s="66"/>
      <c r="F115" s="65">
        <v>384</v>
      </c>
      <c r="G115" s="65">
        <v>384</v>
      </c>
      <c r="H115" s="65">
        <v>0</v>
      </c>
      <c r="I115" s="65">
        <v>230</v>
      </c>
      <c r="J115" s="70">
        <f>(H115/F115)*10</f>
        <v>0</v>
      </c>
      <c r="K115" s="65">
        <v>6</v>
      </c>
      <c r="L115" s="65">
        <v>230</v>
      </c>
      <c r="M115" s="71">
        <f>J115*G115</f>
        <v>0</v>
      </c>
      <c r="N115" s="71">
        <f>K115*G115</f>
        <v>2304</v>
      </c>
    </row>
    <row r="116" spans="1:14" x14ac:dyDescent="0.35">
      <c r="I116" s="65"/>
    </row>
  </sheetData>
  <mergeCells count="1">
    <mergeCell ref="B18:E18"/>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7"/>
  <sheetViews>
    <sheetView workbookViewId="0"/>
  </sheetViews>
  <sheetFormatPr defaultColWidth="9.26953125" defaultRowHeight="14.5" x14ac:dyDescent="0.35"/>
  <cols>
    <col min="1" max="3" width="18" style="51" customWidth="1"/>
    <col min="4" max="4" width="12.7265625" style="51" customWidth="1"/>
    <col min="5" max="5" width="9.26953125" style="76"/>
    <col min="6" max="13" width="9.26953125" style="51"/>
    <col min="14" max="14" width="9.54296875" style="51" bestFit="1" customWidth="1"/>
    <col min="15" max="16384" width="9.26953125" style="51"/>
  </cols>
  <sheetData>
    <row r="1" spans="1:7" x14ac:dyDescent="0.35">
      <c r="E1" s="51"/>
    </row>
    <row r="2" spans="1:7" ht="29" x14ac:dyDescent="0.35">
      <c r="A2" s="50" t="s">
        <v>157</v>
      </c>
      <c r="B2" s="50" t="s">
        <v>180</v>
      </c>
      <c r="C2" s="50" t="s">
        <v>146</v>
      </c>
      <c r="D2" s="50" t="s">
        <v>703</v>
      </c>
      <c r="E2" s="50" t="s">
        <v>182</v>
      </c>
      <c r="F2" s="50" t="s">
        <v>142</v>
      </c>
    </row>
    <row r="3" spans="1:7" ht="15" customHeight="1" x14ac:dyDescent="0.35">
      <c r="A3" s="63" t="s">
        <v>143</v>
      </c>
      <c r="B3" s="63" t="s">
        <v>750</v>
      </c>
      <c r="C3" s="108">
        <f>H54</f>
        <v>7390.0230000000001</v>
      </c>
      <c r="D3" s="108">
        <f>I54</f>
        <v>10019.750395480003</v>
      </c>
      <c r="E3" s="106">
        <f>P54</f>
        <v>6756.7927618087278</v>
      </c>
      <c r="F3" s="44">
        <f>Q54</f>
        <v>2.4892148844338049</v>
      </c>
      <c r="G3" s="52"/>
    </row>
    <row r="4" spans="1:7" x14ac:dyDescent="0.35">
      <c r="A4" s="63" t="s">
        <v>144</v>
      </c>
      <c r="B4" s="63" t="s">
        <v>750</v>
      </c>
      <c r="C4" s="108">
        <f>H69</f>
        <v>3829.1800000000003</v>
      </c>
      <c r="D4" s="108">
        <f>I69</f>
        <v>4453.7021141144005</v>
      </c>
      <c r="E4" s="106">
        <f>P69</f>
        <v>4872.9297197555788</v>
      </c>
      <c r="F4" s="44">
        <f>Q69</f>
        <v>2.238862698609116</v>
      </c>
      <c r="G4" s="52"/>
    </row>
    <row r="5" spans="1:7" x14ac:dyDescent="0.35">
      <c r="A5" s="63" t="s">
        <v>1612</v>
      </c>
      <c r="B5" s="63" t="s">
        <v>750</v>
      </c>
      <c r="C5" s="108">
        <f>H71</f>
        <v>11219.203000000001</v>
      </c>
      <c r="D5" s="108">
        <f>I71</f>
        <v>14473.452509594405</v>
      </c>
      <c r="E5" s="106">
        <f>P71</f>
        <v>6113.819220518043</v>
      </c>
      <c r="F5" s="44">
        <f>Q71</f>
        <v>2.4121776980028926</v>
      </c>
      <c r="G5" s="98"/>
    </row>
    <row r="6" spans="1:7" x14ac:dyDescent="0.35">
      <c r="A6" s="45" t="s">
        <v>1613</v>
      </c>
      <c r="B6" s="63" t="s">
        <v>750</v>
      </c>
      <c r="C6" s="106">
        <f>H29</f>
        <v>839.2701209999999</v>
      </c>
      <c r="D6" s="106">
        <f>I29</f>
        <v>512.29409252000016</v>
      </c>
      <c r="E6" s="106">
        <f>P29</f>
        <v>3356.0314081525612</v>
      </c>
      <c r="F6" s="44">
        <f>Q29</f>
        <v>2.50582258782811</v>
      </c>
    </row>
    <row r="7" spans="1:7" x14ac:dyDescent="0.35">
      <c r="A7" s="45" t="s">
        <v>1614</v>
      </c>
      <c r="B7" s="63" t="s">
        <v>750</v>
      </c>
      <c r="C7" s="106">
        <v>0</v>
      </c>
      <c r="D7" s="106">
        <v>0</v>
      </c>
      <c r="E7" s="106">
        <v>0</v>
      </c>
      <c r="F7" s="44">
        <v>0</v>
      </c>
    </row>
    <row r="8" spans="1:7" x14ac:dyDescent="0.35">
      <c r="A8" s="45" t="s">
        <v>1615</v>
      </c>
      <c r="B8" s="63" t="s">
        <v>750</v>
      </c>
      <c r="C8" s="106">
        <f>H108</f>
        <v>456.74</v>
      </c>
      <c r="D8" s="106">
        <f>I108</f>
        <v>781.42887563999989</v>
      </c>
      <c r="E8" s="108">
        <f>P108</f>
        <v>0</v>
      </c>
      <c r="F8" s="73">
        <f>Q108</f>
        <v>3.0254753761707311</v>
      </c>
    </row>
    <row r="9" spans="1:7" x14ac:dyDescent="0.35">
      <c r="A9" s="45" t="s">
        <v>1604</v>
      </c>
      <c r="B9" s="63" t="s">
        <v>750</v>
      </c>
      <c r="C9" s="106">
        <f>H93</f>
        <v>1638.5182040000002</v>
      </c>
      <c r="D9" s="106">
        <f>I93</f>
        <v>1608.8172421637751</v>
      </c>
      <c r="E9" s="106">
        <f>P93</f>
        <v>2721.3432716918414</v>
      </c>
      <c r="F9" s="44">
        <f>Q93</f>
        <v>1.3536388432519693</v>
      </c>
    </row>
    <row r="10" spans="1:7" x14ac:dyDescent="0.35">
      <c r="A10" s="45" t="s">
        <v>1603</v>
      </c>
      <c r="B10" s="63" t="s">
        <v>750</v>
      </c>
      <c r="C10" s="106">
        <f>H98</f>
        <v>23.85</v>
      </c>
      <c r="D10" s="106">
        <f>I98</f>
        <v>0.27177892000000003</v>
      </c>
      <c r="E10" s="106">
        <f>P98</f>
        <v>0</v>
      </c>
      <c r="F10" s="44">
        <f>Q98</f>
        <v>3.7799999999999994</v>
      </c>
    </row>
    <row r="11" spans="1:7" x14ac:dyDescent="0.35">
      <c r="A11" s="45" t="s">
        <v>1605</v>
      </c>
      <c r="B11" s="63" t="s">
        <v>750</v>
      </c>
      <c r="C11" s="106">
        <f>H120</f>
        <v>97.000000000000014</v>
      </c>
      <c r="D11" s="106">
        <f>I120</f>
        <v>228.35727777002316</v>
      </c>
      <c r="E11" s="106">
        <f>P120</f>
        <v>0</v>
      </c>
      <c r="F11" s="44">
        <f>Q120</f>
        <v>6.7776024302843316</v>
      </c>
    </row>
    <row r="12" spans="1:7" x14ac:dyDescent="0.35">
      <c r="A12" s="45" t="s">
        <v>1636</v>
      </c>
      <c r="B12" s="63" t="s">
        <v>750</v>
      </c>
      <c r="C12" s="106">
        <f>H118</f>
        <v>971.35714285714289</v>
      </c>
      <c r="D12" s="106">
        <f>I118</f>
        <v>1653.958601082777</v>
      </c>
      <c r="E12" s="106">
        <f>P118</f>
        <v>2200.7725497463048</v>
      </c>
      <c r="F12" s="44">
        <f>Q118</f>
        <v>3.8859343922440925</v>
      </c>
    </row>
    <row r="13" spans="1:7" x14ac:dyDescent="0.35">
      <c r="A13" s="45" t="s">
        <v>145</v>
      </c>
      <c r="B13" s="63" t="s">
        <v>750</v>
      </c>
      <c r="C13" s="106">
        <f>H127</f>
        <v>60</v>
      </c>
      <c r="D13" s="106">
        <f>I127</f>
        <v>6.9192875024000005</v>
      </c>
      <c r="E13" s="106">
        <f>P127</f>
        <v>0</v>
      </c>
      <c r="F13" s="44">
        <f>Q127</f>
        <v>5.0000000242799567</v>
      </c>
    </row>
    <row r="14" spans="1:7" x14ac:dyDescent="0.35">
      <c r="A14" s="45" t="s">
        <v>1606</v>
      </c>
      <c r="B14" s="63" t="s">
        <v>750</v>
      </c>
      <c r="C14" s="106">
        <f>H113</f>
        <v>3593.9285714285711</v>
      </c>
      <c r="D14" s="106">
        <f>I113</f>
        <v>1440.4074443955308</v>
      </c>
      <c r="E14" s="106">
        <f>P113</f>
        <v>0</v>
      </c>
      <c r="F14" s="44">
        <f>Q113</f>
        <v>5.0770904958343435</v>
      </c>
    </row>
    <row r="15" spans="1:7" x14ac:dyDescent="0.35">
      <c r="E15" s="51"/>
    </row>
    <row r="16" spans="1:7" x14ac:dyDescent="0.35">
      <c r="A16" s="53" t="s">
        <v>49</v>
      </c>
      <c r="B16" s="74" t="s">
        <v>454</v>
      </c>
      <c r="E16" s="51"/>
    </row>
    <row r="17" spans="1:17" x14ac:dyDescent="0.35">
      <c r="A17" s="54" t="s">
        <v>50</v>
      </c>
      <c r="B17" s="55" t="s">
        <v>455</v>
      </c>
      <c r="C17" s="55"/>
      <c r="D17" s="55"/>
      <c r="E17" s="55"/>
      <c r="F17" s="55"/>
      <c r="G17" s="55"/>
    </row>
    <row r="18" spans="1:17" ht="15" customHeight="1" x14ac:dyDescent="0.35">
      <c r="A18" s="54" t="s">
        <v>47</v>
      </c>
      <c r="B18" s="802" t="s">
        <v>382</v>
      </c>
      <c r="C18" s="802"/>
      <c r="D18" s="802"/>
      <c r="E18" s="802"/>
      <c r="F18" s="56"/>
      <c r="G18" s="56"/>
      <c r="H18" s="56"/>
    </row>
    <row r="19" spans="1:17" x14ac:dyDescent="0.35">
      <c r="A19" s="54" t="s">
        <v>140</v>
      </c>
      <c r="B19" s="54" t="s">
        <v>48</v>
      </c>
      <c r="E19" s="51"/>
    </row>
    <row r="20" spans="1:17" x14ac:dyDescent="0.35">
      <c r="E20" s="51"/>
    </row>
    <row r="21" spans="1:17" s="64" customFormat="1" ht="101.5" x14ac:dyDescent="0.35">
      <c r="A21" s="64" t="s">
        <v>262</v>
      </c>
      <c r="B21" s="64" t="s">
        <v>157</v>
      </c>
      <c r="C21" s="51" t="s">
        <v>264</v>
      </c>
      <c r="D21" s="64" t="s">
        <v>456</v>
      </c>
      <c r="E21" s="75" t="s">
        <v>457</v>
      </c>
      <c r="F21" s="64" t="s">
        <v>266</v>
      </c>
      <c r="G21" s="64" t="s">
        <v>267</v>
      </c>
      <c r="H21" s="105" t="s">
        <v>691</v>
      </c>
      <c r="I21" s="64" t="s">
        <v>268</v>
      </c>
      <c r="J21" s="64" t="s">
        <v>269</v>
      </c>
      <c r="K21" s="64" t="s">
        <v>270</v>
      </c>
      <c r="L21" s="64" t="s">
        <v>458</v>
      </c>
      <c r="M21" s="64" t="s">
        <v>459</v>
      </c>
      <c r="N21" s="64" t="s">
        <v>388</v>
      </c>
      <c r="O21" s="64" t="s">
        <v>460</v>
      </c>
      <c r="P21" s="105" t="s">
        <v>182</v>
      </c>
      <c r="Q21" s="105" t="s">
        <v>142</v>
      </c>
    </row>
    <row r="22" spans="1:17" x14ac:dyDescent="0.35">
      <c r="A22" s="51" t="s">
        <v>461</v>
      </c>
      <c r="C22" s="51" t="s">
        <v>433</v>
      </c>
      <c r="D22" s="51">
        <v>419.33</v>
      </c>
      <c r="E22" s="76">
        <v>0.1981</v>
      </c>
      <c r="F22" s="51">
        <v>28</v>
      </c>
      <c r="G22" s="51">
        <v>23.25939644</v>
      </c>
      <c r="H22" s="51">
        <f>G22/F22*100</f>
        <v>83.069272999999995</v>
      </c>
      <c r="I22" s="51">
        <v>33.656940240000004</v>
      </c>
      <c r="J22" s="51">
        <v>11.628950312000002</v>
      </c>
      <c r="K22" s="51">
        <v>9.6695697386399999</v>
      </c>
      <c r="L22" s="51">
        <v>21.298520050640001</v>
      </c>
      <c r="M22" s="51">
        <v>6.3281213024015512</v>
      </c>
      <c r="N22" s="51">
        <f>(J22*10)/$I$22</f>
        <v>3.4551418605127489</v>
      </c>
      <c r="O22" s="51">
        <f>(K22*10)/$I$22</f>
        <v>2.8729794418888028</v>
      </c>
      <c r="P22" s="51">
        <f t="shared" ref="P22:P29" si="0">J22/G22*10^7/10^3</f>
        <v>4999.6784490939281</v>
      </c>
      <c r="Q22" s="51">
        <f>K22/I22*10</f>
        <v>2.8729794418888028</v>
      </c>
    </row>
    <row r="23" spans="1:17" x14ac:dyDescent="0.35">
      <c r="A23" s="51" t="s">
        <v>462</v>
      </c>
      <c r="C23" s="51" t="s">
        <v>433</v>
      </c>
      <c r="D23" s="51">
        <v>663.36</v>
      </c>
      <c r="E23" s="76">
        <v>9.1999999999999998E-2</v>
      </c>
      <c r="F23" s="51">
        <v>28</v>
      </c>
      <c r="G23" s="51">
        <v>17.088153600000002</v>
      </c>
      <c r="H23" s="51">
        <f t="shared" ref="H23:H28" si="1">G23/F23*100</f>
        <v>61.029120000000006</v>
      </c>
      <c r="I23" s="51">
        <v>12.46728952</v>
      </c>
      <c r="J23" s="51">
        <v>7.9643254880000001</v>
      </c>
      <c r="K23" s="51">
        <v>4.3084187143200001</v>
      </c>
      <c r="L23" s="51">
        <v>12.27274420232</v>
      </c>
      <c r="M23" s="51">
        <v>9.8439554023607858</v>
      </c>
      <c r="N23" s="51">
        <f>(J23*10)/$I$23</f>
        <v>6.3881772178496741</v>
      </c>
      <c r="O23" s="51">
        <f>(K23*10)/$I$23</f>
        <v>3.4557781845111109</v>
      </c>
      <c r="P23" s="51">
        <f t="shared" si="0"/>
        <v>4660.7291076784322</v>
      </c>
      <c r="Q23" s="51">
        <f t="shared" ref="Q23:Q28" si="2">K23/I23*10</f>
        <v>3.4557781845111113</v>
      </c>
    </row>
    <row r="24" spans="1:17" x14ac:dyDescent="0.35">
      <c r="A24" s="51" t="s">
        <v>463</v>
      </c>
      <c r="C24" s="51" t="s">
        <v>433</v>
      </c>
      <c r="D24" s="51">
        <v>829.76</v>
      </c>
      <c r="E24" s="76">
        <v>9.2800000000000007E-2</v>
      </c>
      <c r="F24" s="51">
        <v>28</v>
      </c>
      <c r="G24" s="51">
        <v>21.560483840000003</v>
      </c>
      <c r="H24" s="51">
        <f t="shared" si="1"/>
        <v>77.001728000000014</v>
      </c>
      <c r="I24" s="51">
        <v>54.184346160000004</v>
      </c>
      <c r="J24" s="51">
        <v>8.9803897399999997</v>
      </c>
      <c r="K24" s="51">
        <v>14.980602595392</v>
      </c>
      <c r="L24" s="51">
        <v>23.960992335392</v>
      </c>
      <c r="M24" s="51">
        <v>4.4221244756996807</v>
      </c>
      <c r="N24" s="51">
        <f>(J24*10)/$I$24</f>
        <v>1.6573771534461197</v>
      </c>
      <c r="O24" s="51">
        <f>(K24*10)/$I$24</f>
        <v>2.7647473222535606</v>
      </c>
      <c r="P24" s="51">
        <f t="shared" si="0"/>
        <v>4165.207889880081</v>
      </c>
      <c r="Q24" s="51">
        <f t="shared" si="2"/>
        <v>2.7647473222535601</v>
      </c>
    </row>
    <row r="25" spans="1:17" x14ac:dyDescent="0.35">
      <c r="A25" s="51" t="s">
        <v>464</v>
      </c>
      <c r="C25" s="51" t="s">
        <v>433</v>
      </c>
      <c r="D25" s="51">
        <v>330</v>
      </c>
      <c r="E25" s="76">
        <v>1</v>
      </c>
      <c r="F25" s="51">
        <v>28</v>
      </c>
      <c r="G25" s="51">
        <v>92.4</v>
      </c>
      <c r="H25" s="51">
        <f t="shared" si="1"/>
        <v>330</v>
      </c>
      <c r="I25" s="51">
        <v>26.559540000000005</v>
      </c>
      <c r="J25" s="51">
        <v>2.5200000000000005</v>
      </c>
      <c r="K25" s="51">
        <v>9.1099222200000032</v>
      </c>
      <c r="L25" s="51">
        <v>11.629922220000005</v>
      </c>
      <c r="M25" s="51">
        <v>4.3788116134541495</v>
      </c>
      <c r="N25" s="51">
        <f>(J25*10)/$I$25</f>
        <v>0.94881161345414855</v>
      </c>
      <c r="O25" s="77">
        <f>(K25*10)/$I$25</f>
        <v>3.43</v>
      </c>
      <c r="P25" s="51">
        <f t="shared" si="0"/>
        <v>272.72727272727275</v>
      </c>
      <c r="Q25" s="51">
        <f t="shared" si="2"/>
        <v>3.43</v>
      </c>
    </row>
    <row r="26" spans="1:17" x14ac:dyDescent="0.35">
      <c r="A26" s="51" t="s">
        <v>465</v>
      </c>
      <c r="C26" s="51" t="s">
        <v>433</v>
      </c>
      <c r="D26" s="51">
        <v>110.5</v>
      </c>
      <c r="E26" s="76">
        <v>1</v>
      </c>
      <c r="F26" s="51">
        <v>28</v>
      </c>
      <c r="G26" s="51">
        <v>30.94</v>
      </c>
      <c r="H26" s="51">
        <f t="shared" si="1"/>
        <v>110.5</v>
      </c>
      <c r="I26" s="51">
        <v>120.89680344000004</v>
      </c>
      <c r="J26" s="51">
        <v>7.8400000000000007</v>
      </c>
      <c r="K26" s="51">
        <v>22.24501183296001</v>
      </c>
      <c r="L26" s="51">
        <v>30.08501183296001</v>
      </c>
      <c r="M26" s="51">
        <v>2.4884869555621396</v>
      </c>
      <c r="N26" s="51">
        <f>(J26*10)/$I$26</f>
        <v>0.64848695556213942</v>
      </c>
      <c r="O26" s="77">
        <f>(K26*10)/$I$26</f>
        <v>1.8400000000000003</v>
      </c>
      <c r="P26" s="51">
        <f t="shared" si="0"/>
        <v>2533.93665158371</v>
      </c>
      <c r="Q26" s="51">
        <f t="shared" si="2"/>
        <v>1.8400000000000003</v>
      </c>
    </row>
    <row r="27" spans="1:17" x14ac:dyDescent="0.35">
      <c r="A27" s="51" t="s">
        <v>466</v>
      </c>
      <c r="C27" s="51" t="s">
        <v>433</v>
      </c>
      <c r="D27" s="51">
        <v>160</v>
      </c>
      <c r="E27" s="76">
        <v>1</v>
      </c>
      <c r="F27" s="51">
        <v>28</v>
      </c>
      <c r="G27" s="51">
        <v>44.8</v>
      </c>
      <c r="H27" s="51">
        <f t="shared" si="1"/>
        <v>160</v>
      </c>
      <c r="I27" s="51">
        <v>262.12198040000004</v>
      </c>
      <c r="J27" s="51">
        <v>38.360000000000007</v>
      </c>
      <c r="K27" s="51">
        <v>66.841105002000006</v>
      </c>
      <c r="L27" s="51">
        <v>105.20110500200002</v>
      </c>
      <c r="M27" s="51">
        <v>4.0134407973517661</v>
      </c>
      <c r="N27" s="51">
        <f>(J27*10)/$I$27</f>
        <v>1.4634407973517662</v>
      </c>
      <c r="O27" s="77">
        <f>(K27*10)/$I$27</f>
        <v>2.5499999999999998</v>
      </c>
      <c r="P27" s="51">
        <f t="shared" si="0"/>
        <v>8562.5000000000018</v>
      </c>
      <c r="Q27" s="51">
        <f t="shared" si="2"/>
        <v>2.5499999999999998</v>
      </c>
    </row>
    <row r="28" spans="1:17" x14ac:dyDescent="0.35">
      <c r="A28" s="51" t="s">
        <v>467</v>
      </c>
      <c r="C28" s="51" t="s">
        <v>433</v>
      </c>
      <c r="D28" s="51">
        <v>1500</v>
      </c>
      <c r="E28" s="76">
        <v>1.1780000000000001E-2</v>
      </c>
      <c r="F28" s="51">
        <v>28</v>
      </c>
      <c r="G28" s="51">
        <v>4.9476000000000004</v>
      </c>
      <c r="H28" s="51">
        <f t="shared" si="1"/>
        <v>17.670000000000002</v>
      </c>
      <c r="I28" s="51">
        <v>2.4071927600000005</v>
      </c>
      <c r="J28" s="51">
        <v>1.5716072679999999</v>
      </c>
      <c r="K28" s="51">
        <v>1.2171807614400003</v>
      </c>
      <c r="L28" s="51">
        <v>2.78878802944</v>
      </c>
      <c r="M28" s="51">
        <v>11.585229383292095</v>
      </c>
      <c r="N28" s="51">
        <f>(J28*10)/$I$28</f>
        <v>6.5287969211073884</v>
      </c>
      <c r="O28" s="51">
        <f>(K28*10)/I28</f>
        <v>5.0564324621847065</v>
      </c>
      <c r="P28" s="51">
        <f t="shared" si="0"/>
        <v>3176.5043010752684</v>
      </c>
      <c r="Q28" s="51">
        <f t="shared" si="2"/>
        <v>5.0564324621847065</v>
      </c>
    </row>
    <row r="29" spans="1:17" x14ac:dyDescent="0.35">
      <c r="D29" s="51">
        <f>SUM(D22:D28)</f>
        <v>4012.95</v>
      </c>
      <c r="G29" s="51">
        <f t="shared" ref="G29:L29" si="3">SUM(G22:G28)</f>
        <v>234.99563387999999</v>
      </c>
      <c r="H29" s="51">
        <f t="shared" si="3"/>
        <v>839.2701209999999</v>
      </c>
      <c r="I29" s="51">
        <f t="shared" si="3"/>
        <v>512.29409252000016</v>
      </c>
      <c r="J29" s="51">
        <f t="shared" si="3"/>
        <v>78.865272808</v>
      </c>
      <c r="K29" s="51">
        <f t="shared" si="3"/>
        <v>128.37181086475201</v>
      </c>
      <c r="L29" s="51">
        <f t="shared" si="3"/>
        <v>207.23708367275202</v>
      </c>
      <c r="P29" s="78">
        <f t="shared" si="0"/>
        <v>3356.0314081525612</v>
      </c>
      <c r="Q29" s="78">
        <f>K29/I29*10</f>
        <v>2.50582258782811</v>
      </c>
    </row>
    <row r="34" spans="1:19" x14ac:dyDescent="0.35">
      <c r="A34" s="51" t="s">
        <v>468</v>
      </c>
      <c r="C34" s="51" t="s">
        <v>274</v>
      </c>
      <c r="D34" s="51">
        <v>420</v>
      </c>
      <c r="E34" s="76">
        <v>4.7600000000000003E-2</v>
      </c>
      <c r="F34" s="51">
        <v>28</v>
      </c>
      <c r="G34" s="51">
        <v>5.597760000000001</v>
      </c>
      <c r="H34" s="51">
        <f t="shared" ref="H34:H53" si="4">G34/F34*100</f>
        <v>19.992000000000004</v>
      </c>
      <c r="I34" s="51">
        <v>16.785024480000001</v>
      </c>
      <c r="J34" s="51">
        <v>3.9715732560000001</v>
      </c>
      <c r="K34" s="51">
        <v>5.0830851637440002</v>
      </c>
      <c r="L34" s="51">
        <v>9.0546584197440012</v>
      </c>
      <c r="M34" s="51">
        <v>5.3944862758663081</v>
      </c>
      <c r="N34" s="51">
        <f t="shared" ref="N34:N53" si="5">(J34*10)/I34</f>
        <v>2.3661408779786299</v>
      </c>
      <c r="O34" s="51">
        <f t="shared" ref="O34:O53" si="6">(K34*10)/I34</f>
        <v>3.0283453978876773</v>
      </c>
      <c r="P34" s="51">
        <f t="shared" ref="P34:P54" si="7">J34/G34*10^7/10^3</f>
        <v>7094.9330732292901</v>
      </c>
      <c r="Q34" s="51">
        <f>K34/I34*10</f>
        <v>3.0283453978876773</v>
      </c>
    </row>
    <row r="35" spans="1:19" x14ac:dyDescent="0.35">
      <c r="A35" s="51" t="s">
        <v>469</v>
      </c>
      <c r="C35" s="51" t="s">
        <v>274</v>
      </c>
      <c r="D35" s="51">
        <v>420</v>
      </c>
      <c r="E35" s="76">
        <v>9.0499999999999997E-2</v>
      </c>
      <c r="F35" s="51">
        <v>28</v>
      </c>
      <c r="G35" s="51">
        <v>10.642799999999999</v>
      </c>
      <c r="H35" s="51">
        <f t="shared" si="4"/>
        <v>38.01</v>
      </c>
      <c r="I35" s="51">
        <v>36.921134040000005</v>
      </c>
      <c r="J35" s="51">
        <v>7.2206239560000016</v>
      </c>
      <c r="K35" s="51">
        <v>11.091385756080001</v>
      </c>
      <c r="L35" s="51">
        <v>18.312009712080002</v>
      </c>
      <c r="M35" s="51">
        <v>4.9597636118763155</v>
      </c>
      <c r="N35" s="51">
        <f t="shared" si="5"/>
        <v>1.9556885625932416</v>
      </c>
      <c r="O35" s="51">
        <f t="shared" si="6"/>
        <v>3.0040750492830743</v>
      </c>
      <c r="P35" s="51">
        <f t="shared" si="7"/>
        <v>6784.5153117600648</v>
      </c>
      <c r="Q35" s="51">
        <f t="shared" ref="Q35:Q53" si="8">K35/I35*10</f>
        <v>3.0040750492830743</v>
      </c>
    </row>
    <row r="36" spans="1:19" x14ac:dyDescent="0.35">
      <c r="A36" s="51" t="s">
        <v>470</v>
      </c>
      <c r="C36" s="51" t="s">
        <v>274</v>
      </c>
      <c r="D36" s="51">
        <v>210</v>
      </c>
      <c r="E36" s="76">
        <v>0.1095</v>
      </c>
      <c r="F36" s="51">
        <v>28</v>
      </c>
      <c r="G36" s="51">
        <v>6.4386000000000001</v>
      </c>
      <c r="H36" s="51">
        <f t="shared" si="4"/>
        <v>22.995000000000001</v>
      </c>
      <c r="I36" s="51">
        <v>24.620827000000002</v>
      </c>
      <c r="J36" s="51">
        <v>6.0757608240000005</v>
      </c>
      <c r="K36" s="51">
        <v>7.3191106756320012</v>
      </c>
      <c r="L36" s="51">
        <v>13.394871499632002</v>
      </c>
      <c r="M36" s="51">
        <v>5.4404636772079185</v>
      </c>
      <c r="N36" s="51">
        <f t="shared" si="5"/>
        <v>2.4677322268663029</v>
      </c>
      <c r="O36" s="51">
        <f t="shared" si="6"/>
        <v>2.9727314503416156</v>
      </c>
      <c r="P36" s="51">
        <f t="shared" si="7"/>
        <v>9436.4626223091982</v>
      </c>
      <c r="Q36" s="51">
        <f t="shared" si="8"/>
        <v>2.972731450341616</v>
      </c>
    </row>
    <row r="37" spans="1:19" x14ac:dyDescent="0.35">
      <c r="A37" s="51" t="s">
        <v>471</v>
      </c>
      <c r="C37" s="51" t="s">
        <v>274</v>
      </c>
      <c r="D37" s="51">
        <v>1600</v>
      </c>
      <c r="E37" s="76">
        <v>6.8999999999999999E-3</v>
      </c>
      <c r="F37" s="51">
        <v>28</v>
      </c>
      <c r="G37" s="51">
        <v>3.0912000000000002</v>
      </c>
      <c r="H37" s="51">
        <f t="shared" si="4"/>
        <v>11.040000000000001</v>
      </c>
      <c r="I37" s="51">
        <v>14.824728240000002</v>
      </c>
      <c r="J37" s="51">
        <v>1.788200204</v>
      </c>
      <c r="K37" s="51">
        <v>3.8525534076960009</v>
      </c>
      <c r="L37" s="51">
        <v>5.6407536116960006</v>
      </c>
      <c r="M37" s="51">
        <v>3.8049625735979085</v>
      </c>
      <c r="N37" s="51">
        <f t="shared" si="5"/>
        <v>1.2062279827667179</v>
      </c>
      <c r="O37" s="51">
        <f t="shared" si="6"/>
        <v>2.598734590831191</v>
      </c>
      <c r="P37" s="51">
        <f t="shared" si="7"/>
        <v>5784.8091485507248</v>
      </c>
      <c r="Q37" s="51">
        <f t="shared" si="8"/>
        <v>2.598734590831191</v>
      </c>
    </row>
    <row r="38" spans="1:19" x14ac:dyDescent="0.35">
      <c r="A38" s="51" t="s">
        <v>472</v>
      </c>
      <c r="C38" s="51" t="s">
        <v>274</v>
      </c>
      <c r="D38" s="51">
        <v>840</v>
      </c>
      <c r="E38" s="76">
        <v>3.04E-2</v>
      </c>
      <c r="F38" s="51">
        <v>28</v>
      </c>
      <c r="G38" s="51">
        <v>7.15008</v>
      </c>
      <c r="H38" s="51">
        <f t="shared" si="4"/>
        <v>25.535999999999998</v>
      </c>
      <c r="I38" s="51">
        <v>31.461532200000001</v>
      </c>
      <c r="J38" s="51">
        <v>4.8847865920000002</v>
      </c>
      <c r="K38" s="51">
        <v>7.7210509894560007</v>
      </c>
      <c r="L38" s="51">
        <v>12.605837581456001</v>
      </c>
      <c r="M38" s="51">
        <v>4.0067462389692512</v>
      </c>
      <c r="N38" s="51">
        <f t="shared" si="5"/>
        <v>1.5526219641648604</v>
      </c>
      <c r="O38" s="51">
        <f t="shared" si="6"/>
        <v>2.4541242748043914</v>
      </c>
      <c r="P38" s="51">
        <f t="shared" si="7"/>
        <v>6831.7929197994981</v>
      </c>
      <c r="Q38" s="51">
        <f t="shared" si="8"/>
        <v>2.454124274804391</v>
      </c>
    </row>
    <row r="39" spans="1:19" x14ac:dyDescent="0.35">
      <c r="A39" s="51" t="s">
        <v>473</v>
      </c>
      <c r="C39" s="51" t="s">
        <v>274</v>
      </c>
      <c r="D39" s="51">
        <v>1500</v>
      </c>
      <c r="E39" s="76">
        <v>7.110000000000001E-2</v>
      </c>
      <c r="F39" s="51">
        <v>28</v>
      </c>
      <c r="G39" s="51">
        <v>29.862000000000002</v>
      </c>
      <c r="H39" s="51">
        <f t="shared" si="4"/>
        <v>106.65</v>
      </c>
      <c r="I39" s="51">
        <v>146.33689224</v>
      </c>
      <c r="J39" s="51">
        <v>23.687093388000005</v>
      </c>
      <c r="K39" s="51">
        <v>33.645424444799993</v>
      </c>
      <c r="L39" s="51">
        <v>57.332517832799994</v>
      </c>
      <c r="M39" s="51">
        <v>3.9178444311070737</v>
      </c>
      <c r="N39" s="51">
        <f t="shared" si="5"/>
        <v>1.6186686094954073</v>
      </c>
      <c r="O39" s="51">
        <f t="shared" si="6"/>
        <v>2.2991758216116667</v>
      </c>
      <c r="P39" s="51">
        <f t="shared" si="7"/>
        <v>7932.1858509142066</v>
      </c>
      <c r="Q39" s="51">
        <f t="shared" si="8"/>
        <v>2.2991758216116667</v>
      </c>
    </row>
    <row r="40" spans="1:19" x14ac:dyDescent="0.35">
      <c r="A40" s="51" t="s">
        <v>474</v>
      </c>
      <c r="C40" s="51" t="s">
        <v>274</v>
      </c>
      <c r="D40" s="51">
        <v>1000</v>
      </c>
      <c r="E40" s="76">
        <v>9.5000000000000001E-2</v>
      </c>
      <c r="F40" s="51">
        <v>28</v>
      </c>
      <c r="G40" s="51">
        <v>26.6</v>
      </c>
      <c r="H40" s="51">
        <f t="shared" si="4"/>
        <v>95</v>
      </c>
      <c r="I40" s="51">
        <v>153.47483200000002</v>
      </c>
      <c r="J40" s="51">
        <v>15.627775576000003</v>
      </c>
      <c r="K40" s="51">
        <v>25.334092062383995</v>
      </c>
      <c r="L40" s="51">
        <v>40.961867638384</v>
      </c>
      <c r="M40" s="51">
        <v>2.6689631846858122</v>
      </c>
      <c r="N40" s="51">
        <f t="shared" si="5"/>
        <v>1.0182630840736153</v>
      </c>
      <c r="O40" s="51">
        <f t="shared" si="6"/>
        <v>1.6507001006121964</v>
      </c>
      <c r="P40" s="51">
        <f t="shared" si="7"/>
        <v>5875.1036000000013</v>
      </c>
      <c r="Q40" s="51">
        <f t="shared" si="8"/>
        <v>1.6507001006121964</v>
      </c>
    </row>
    <row r="41" spans="1:19" x14ac:dyDescent="0.35">
      <c r="A41" s="51" t="s">
        <v>475</v>
      </c>
      <c r="C41" s="51" t="s">
        <v>274</v>
      </c>
      <c r="D41" s="51">
        <v>1000</v>
      </c>
      <c r="E41" s="76">
        <v>0.1</v>
      </c>
      <c r="F41" s="51">
        <v>28</v>
      </c>
      <c r="G41" s="51">
        <v>28</v>
      </c>
      <c r="H41" s="51">
        <f t="shared" si="4"/>
        <v>100</v>
      </c>
      <c r="I41" s="51">
        <v>201.64481036000001</v>
      </c>
      <c r="J41" s="51">
        <v>17.518608156000003</v>
      </c>
      <c r="K41" s="51">
        <v>32.195748432960002</v>
      </c>
      <c r="L41" s="51">
        <v>49.714356588960001</v>
      </c>
      <c r="M41" s="51">
        <v>2.465441907490904</v>
      </c>
      <c r="N41" s="51">
        <f t="shared" si="5"/>
        <v>0.8687854710827283</v>
      </c>
      <c r="O41" s="51">
        <f t="shared" si="6"/>
        <v>1.5966564364081757</v>
      </c>
      <c r="P41" s="51">
        <f t="shared" si="7"/>
        <v>6256.645770000001</v>
      </c>
      <c r="Q41" s="51">
        <f t="shared" si="8"/>
        <v>1.5966564364081759</v>
      </c>
    </row>
    <row r="42" spans="1:19" x14ac:dyDescent="0.35">
      <c r="A42" s="51" t="s">
        <v>476</v>
      </c>
      <c r="C42" s="51" t="s">
        <v>274</v>
      </c>
      <c r="D42" s="51">
        <v>1000</v>
      </c>
      <c r="E42" s="76">
        <v>0.1152</v>
      </c>
      <c r="F42" s="51">
        <v>28</v>
      </c>
      <c r="G42" s="51">
        <v>32.256</v>
      </c>
      <c r="H42" s="51">
        <f t="shared" si="4"/>
        <v>115.19999999999999</v>
      </c>
      <c r="I42" s="51">
        <v>230.68758495999998</v>
      </c>
      <c r="J42" s="51">
        <v>33.686250387999998</v>
      </c>
      <c r="K42" s="51">
        <v>37.714904030160007</v>
      </c>
      <c r="L42" s="51">
        <v>71.401154418160004</v>
      </c>
      <c r="M42" s="51">
        <v>3.0951450824950371</v>
      </c>
      <c r="N42" s="51">
        <f t="shared" si="5"/>
        <v>1.46025415255186</v>
      </c>
      <c r="O42" s="51">
        <f t="shared" si="6"/>
        <v>1.6348909299431771</v>
      </c>
      <c r="P42" s="51">
        <f t="shared" si="7"/>
        <v>10443.405998263888</v>
      </c>
      <c r="Q42" s="51">
        <f t="shared" si="8"/>
        <v>1.6348909299431771</v>
      </c>
    </row>
    <row r="43" spans="1:19" x14ac:dyDescent="0.35">
      <c r="A43" s="79" t="s">
        <v>477</v>
      </c>
      <c r="C43" s="51" t="s">
        <v>478</v>
      </c>
      <c r="D43" s="51">
        <v>800</v>
      </c>
      <c r="E43" s="76">
        <v>0.107</v>
      </c>
      <c r="F43" s="51">
        <v>28</v>
      </c>
      <c r="G43" s="51">
        <v>23.967999999999996</v>
      </c>
      <c r="H43" s="51">
        <f t="shared" si="4"/>
        <v>85.6</v>
      </c>
      <c r="I43" s="51">
        <v>97.178334120000002</v>
      </c>
      <c r="J43" s="51">
        <v>23.695740235999999</v>
      </c>
      <c r="K43" s="51">
        <v>21.483646959600001</v>
      </c>
      <c r="L43" s="51">
        <v>45.1793871956</v>
      </c>
      <c r="M43" s="51">
        <v>4.649121391586168</v>
      </c>
      <c r="N43" s="51">
        <f t="shared" si="5"/>
        <v>2.4383768718178969</v>
      </c>
      <c r="O43" s="51">
        <f t="shared" si="6"/>
        <v>2.2107445197682716</v>
      </c>
      <c r="P43" s="51">
        <f t="shared" si="7"/>
        <v>9886.4069742990669</v>
      </c>
      <c r="Q43" s="51">
        <f t="shared" si="8"/>
        <v>2.2107445197682711</v>
      </c>
      <c r="S43" s="51" t="s">
        <v>479</v>
      </c>
    </row>
    <row r="44" spans="1:19" x14ac:dyDescent="0.35">
      <c r="A44" s="51" t="s">
        <v>480</v>
      </c>
      <c r="C44" s="51" t="s">
        <v>274</v>
      </c>
      <c r="D44" s="51">
        <v>1320</v>
      </c>
      <c r="E44" s="76">
        <v>1</v>
      </c>
      <c r="F44" s="51">
        <v>28</v>
      </c>
      <c r="G44" s="51">
        <v>336.00000000000006</v>
      </c>
      <c r="H44" s="51">
        <f t="shared" si="4"/>
        <v>1200.0000000000002</v>
      </c>
      <c r="I44" s="51">
        <v>2203.8754049200002</v>
      </c>
      <c r="J44" s="51">
        <v>334.04738735200004</v>
      </c>
      <c r="K44" s="51">
        <v>483.59627468376004</v>
      </c>
      <c r="L44" s="51">
        <v>817.64366203576014</v>
      </c>
      <c r="M44" s="51">
        <v>3.7100267111762624</v>
      </c>
      <c r="N44" s="51">
        <f t="shared" si="5"/>
        <v>1.5157271895056419</v>
      </c>
      <c r="O44" s="51">
        <f t="shared" si="6"/>
        <v>2.19429952167062</v>
      </c>
      <c r="P44" s="51">
        <f t="shared" si="7"/>
        <v>9941.8865283333325</v>
      </c>
      <c r="Q44" s="51">
        <f t="shared" si="8"/>
        <v>2.19429952167062</v>
      </c>
    </row>
    <row r="45" spans="1:19" x14ac:dyDescent="0.35">
      <c r="A45" s="51" t="s">
        <v>481</v>
      </c>
      <c r="C45" s="51" t="s">
        <v>274</v>
      </c>
      <c r="D45" s="51">
        <v>1080</v>
      </c>
      <c r="E45" s="76">
        <v>1</v>
      </c>
      <c r="F45" s="51">
        <v>28</v>
      </c>
      <c r="G45" s="51">
        <v>302.39999999999998</v>
      </c>
      <c r="H45" s="51">
        <f t="shared" si="4"/>
        <v>1080</v>
      </c>
      <c r="I45" s="51">
        <v>1631.3770460400003</v>
      </c>
      <c r="J45" s="51">
        <v>313.88000000000005</v>
      </c>
      <c r="K45" s="51">
        <v>347.38370711352002</v>
      </c>
      <c r="L45" s="51">
        <v>661.26370711352001</v>
      </c>
      <c r="M45" s="51">
        <v>4.0534081849359689</v>
      </c>
      <c r="N45" s="51">
        <f t="shared" si="5"/>
        <v>1.9240187347364694</v>
      </c>
      <c r="O45" s="51">
        <f t="shared" si="6"/>
        <v>2.1293894501994997</v>
      </c>
      <c r="P45" s="51">
        <f t="shared" si="7"/>
        <v>10379.629629629633</v>
      </c>
      <c r="Q45" s="51">
        <f t="shared" si="8"/>
        <v>2.1293894501994997</v>
      </c>
    </row>
    <row r="46" spans="1:19" x14ac:dyDescent="0.35">
      <c r="A46" s="80" t="s">
        <v>482</v>
      </c>
      <c r="C46" s="51" t="s">
        <v>274</v>
      </c>
      <c r="D46" s="51">
        <v>1240</v>
      </c>
      <c r="E46" s="76">
        <v>1</v>
      </c>
      <c r="F46" s="51">
        <v>28</v>
      </c>
      <c r="G46" s="51">
        <v>347.2</v>
      </c>
      <c r="H46" s="51">
        <f t="shared" si="4"/>
        <v>1240</v>
      </c>
      <c r="I46" s="51">
        <v>1855.9121837200005</v>
      </c>
      <c r="J46" s="51">
        <v>113.4</v>
      </c>
      <c r="K46" s="51">
        <v>560.48547948344014</v>
      </c>
      <c r="L46" s="51">
        <v>673.88547948344012</v>
      </c>
      <c r="M46" s="51">
        <v>3.6310202896168309</v>
      </c>
      <c r="N46" s="51">
        <f t="shared" si="5"/>
        <v>0.61102028961683097</v>
      </c>
      <c r="O46" s="51">
        <f t="shared" si="6"/>
        <v>3.02</v>
      </c>
      <c r="P46" s="51">
        <f t="shared" si="7"/>
        <v>3266.1290322580649</v>
      </c>
      <c r="Q46" s="51">
        <f t="shared" si="8"/>
        <v>3.02</v>
      </c>
    </row>
    <row r="47" spans="1:19" x14ac:dyDescent="0.35">
      <c r="A47" s="51" t="s">
        <v>483</v>
      </c>
      <c r="C47" s="51" t="s">
        <v>274</v>
      </c>
      <c r="D47" s="51">
        <v>1500</v>
      </c>
      <c r="E47" s="76">
        <v>1</v>
      </c>
      <c r="F47" s="51">
        <v>28</v>
      </c>
      <c r="G47" s="51">
        <v>420</v>
      </c>
      <c r="H47" s="51">
        <f t="shared" si="4"/>
        <v>1500</v>
      </c>
      <c r="I47" s="51">
        <v>1126.5192369200001</v>
      </c>
      <c r="J47" s="51">
        <v>96.320000000000007</v>
      </c>
      <c r="K47" s="51">
        <v>429.20382926652007</v>
      </c>
      <c r="L47" s="51">
        <v>525.52382926652012</v>
      </c>
      <c r="M47" s="51">
        <v>4.6650231264878101</v>
      </c>
      <c r="N47" s="51">
        <f t="shared" si="5"/>
        <v>0.85502312648780965</v>
      </c>
      <c r="O47" s="51">
        <f t="shared" si="6"/>
        <v>3.8100000000000005</v>
      </c>
      <c r="P47" s="51">
        <f t="shared" si="7"/>
        <v>2293.3333333333335</v>
      </c>
      <c r="Q47" s="51">
        <f t="shared" si="8"/>
        <v>3.81</v>
      </c>
    </row>
    <row r="48" spans="1:19" x14ac:dyDescent="0.35">
      <c r="A48" s="51" t="s">
        <v>484</v>
      </c>
      <c r="C48" s="51" t="s">
        <v>274</v>
      </c>
      <c r="D48" s="51">
        <v>300</v>
      </c>
      <c r="E48" s="76">
        <v>0.83330000000000004</v>
      </c>
      <c r="F48" s="51">
        <v>28</v>
      </c>
      <c r="G48" s="51">
        <v>70</v>
      </c>
      <c r="H48" s="51">
        <f t="shared" si="4"/>
        <v>250</v>
      </c>
      <c r="I48" s="51">
        <v>34.520500699999999</v>
      </c>
      <c r="J48" s="51">
        <v>6.0263542080000008</v>
      </c>
      <c r="K48" s="51">
        <v>5.772069762480001</v>
      </c>
      <c r="L48" s="51">
        <v>11.798423970480002</v>
      </c>
      <c r="M48" s="51">
        <v>3.4178020976619274</v>
      </c>
      <c r="N48" s="51">
        <f t="shared" si="5"/>
        <v>1.7457319812281868</v>
      </c>
      <c r="O48" s="51">
        <f t="shared" si="6"/>
        <v>1.6720701164337402</v>
      </c>
      <c r="P48" s="51">
        <f t="shared" si="7"/>
        <v>860.90774400000021</v>
      </c>
      <c r="Q48" s="51">
        <f t="shared" si="8"/>
        <v>1.6720701164337402</v>
      </c>
    </row>
    <row r="49" spans="1:17" x14ac:dyDescent="0.35">
      <c r="A49" s="51" t="s">
        <v>485</v>
      </c>
      <c r="C49" s="51" t="s">
        <v>274</v>
      </c>
      <c r="D49" s="51">
        <v>250</v>
      </c>
      <c r="E49" s="76">
        <v>1</v>
      </c>
      <c r="F49" s="51">
        <v>28</v>
      </c>
      <c r="G49" s="51">
        <v>70</v>
      </c>
      <c r="H49" s="51">
        <f t="shared" si="4"/>
        <v>250</v>
      </c>
      <c r="I49" s="51">
        <v>355.91415999999998</v>
      </c>
      <c r="J49" s="51">
        <v>86.558168312000006</v>
      </c>
      <c r="K49" s="51">
        <v>56.341616420880008</v>
      </c>
      <c r="L49" s="51">
        <v>142.89978473288002</v>
      </c>
      <c r="M49" s="51">
        <v>4.0150070099172233</v>
      </c>
      <c r="N49" s="51">
        <f t="shared" si="5"/>
        <v>2.4319956337786621</v>
      </c>
      <c r="O49" s="51">
        <f t="shared" si="6"/>
        <v>1.5830113761385614</v>
      </c>
      <c r="P49" s="51">
        <f t="shared" si="7"/>
        <v>12365.452616</v>
      </c>
      <c r="Q49" s="51">
        <f t="shared" si="8"/>
        <v>1.5830113761385614</v>
      </c>
    </row>
    <row r="50" spans="1:17" x14ac:dyDescent="0.35">
      <c r="A50" s="51" t="s">
        <v>486</v>
      </c>
      <c r="C50" s="51" t="s">
        <v>274</v>
      </c>
      <c r="D50" s="51">
        <v>500</v>
      </c>
      <c r="E50" s="76">
        <v>1</v>
      </c>
      <c r="F50" s="51">
        <v>28</v>
      </c>
      <c r="G50" s="51">
        <v>140</v>
      </c>
      <c r="H50" s="51">
        <f t="shared" si="4"/>
        <v>500</v>
      </c>
      <c r="I50" s="51">
        <v>856.64999868000018</v>
      </c>
      <c r="J50" s="51">
        <v>127.68</v>
      </c>
      <c r="K50" s="51">
        <v>203.88269968584004</v>
      </c>
      <c r="L50" s="51">
        <v>331.56269968584002</v>
      </c>
      <c r="M50" s="51">
        <v>3.8704570150789737</v>
      </c>
      <c r="N50" s="51">
        <f t="shared" si="5"/>
        <v>1.4904570150789742</v>
      </c>
      <c r="O50" s="51">
        <f t="shared" si="6"/>
        <v>2.38</v>
      </c>
      <c r="P50" s="51">
        <f t="shared" si="7"/>
        <v>9120</v>
      </c>
      <c r="Q50" s="51">
        <f t="shared" si="8"/>
        <v>2.38</v>
      </c>
    </row>
    <row r="51" spans="1:17" x14ac:dyDescent="0.35">
      <c r="A51" s="51" t="s">
        <v>487</v>
      </c>
      <c r="C51" s="51" t="s">
        <v>274</v>
      </c>
      <c r="D51" s="51">
        <v>250</v>
      </c>
      <c r="E51" s="76">
        <v>1</v>
      </c>
      <c r="F51" s="51">
        <v>28</v>
      </c>
      <c r="G51" s="51">
        <v>70</v>
      </c>
      <c r="H51" s="51">
        <f t="shared" si="4"/>
        <v>250</v>
      </c>
      <c r="I51" s="51">
        <v>436.50982872000009</v>
      </c>
      <c r="J51" s="51">
        <v>68.88000000000001</v>
      </c>
      <c r="K51" s="51">
        <v>100.83377043432003</v>
      </c>
      <c r="L51" s="51">
        <v>169.71377043432005</v>
      </c>
      <c r="M51" s="51">
        <v>3.8879713414925927</v>
      </c>
      <c r="N51" s="51">
        <f t="shared" si="5"/>
        <v>1.577971341492592</v>
      </c>
      <c r="O51" s="51">
        <f t="shared" si="6"/>
        <v>2.3100000000000005</v>
      </c>
      <c r="P51" s="51">
        <f t="shared" si="7"/>
        <v>9840.0000000000018</v>
      </c>
      <c r="Q51" s="51">
        <f t="shared" si="8"/>
        <v>2.31</v>
      </c>
    </row>
    <row r="52" spans="1:17" x14ac:dyDescent="0.35">
      <c r="A52" s="51" t="s">
        <v>488</v>
      </c>
      <c r="C52" s="51" t="s">
        <v>489</v>
      </c>
      <c r="D52" s="51">
        <v>1200</v>
      </c>
      <c r="E52" s="76">
        <v>0.20830000000000001</v>
      </c>
      <c r="F52" s="51">
        <v>28</v>
      </c>
      <c r="G52" s="51">
        <v>70</v>
      </c>
      <c r="H52" s="51">
        <f t="shared" si="4"/>
        <v>250</v>
      </c>
      <c r="I52" s="51">
        <v>140.23663850000003</v>
      </c>
      <c r="J52" s="51">
        <v>36.7315872</v>
      </c>
      <c r="K52" s="51">
        <v>23.177503345920002</v>
      </c>
      <c r="L52" s="51">
        <v>59.909090545920002</v>
      </c>
      <c r="M52" s="51">
        <v>4.2719998986513064</v>
      </c>
      <c r="N52" s="51">
        <f t="shared" si="5"/>
        <v>2.6192575344709219</v>
      </c>
      <c r="O52" s="51">
        <f t="shared" si="6"/>
        <v>1.6527423641803849</v>
      </c>
      <c r="P52" s="51">
        <f t="shared" si="7"/>
        <v>5247.3696000000009</v>
      </c>
      <c r="Q52" s="51">
        <f t="shared" si="8"/>
        <v>1.6527423641803849</v>
      </c>
    </row>
    <row r="53" spans="1:17" x14ac:dyDescent="0.35">
      <c r="A53" s="51" t="s">
        <v>490</v>
      </c>
      <c r="C53" s="51" t="s">
        <v>274</v>
      </c>
      <c r="D53" s="51">
        <v>250</v>
      </c>
      <c r="E53" s="76">
        <v>1</v>
      </c>
      <c r="F53" s="51">
        <v>28</v>
      </c>
      <c r="G53" s="51">
        <v>70</v>
      </c>
      <c r="H53" s="51">
        <f t="shared" si="4"/>
        <v>250</v>
      </c>
      <c r="I53" s="51">
        <v>424.29969764000009</v>
      </c>
      <c r="J53" s="51">
        <v>76.440000000000012</v>
      </c>
      <c r="K53" s="51">
        <v>98.013230154840031</v>
      </c>
      <c r="L53" s="51">
        <v>174.45323015484004</v>
      </c>
      <c r="M53" s="51">
        <v>4.1115567869872969</v>
      </c>
      <c r="N53" s="51">
        <f t="shared" si="5"/>
        <v>1.8015567869872968</v>
      </c>
      <c r="O53" s="51">
        <f t="shared" si="6"/>
        <v>2.31</v>
      </c>
      <c r="P53" s="51">
        <f t="shared" si="7"/>
        <v>10920</v>
      </c>
      <c r="Q53" s="51">
        <f t="shared" si="8"/>
        <v>2.31</v>
      </c>
    </row>
    <row r="54" spans="1:17" x14ac:dyDescent="0.35">
      <c r="D54" s="51">
        <f>SUM(D34:D53)</f>
        <v>16680</v>
      </c>
      <c r="G54" s="51">
        <f t="shared" ref="G54:L54" si="9">SUM(G34:G53)</f>
        <v>2069.2064399999999</v>
      </c>
      <c r="H54" s="51">
        <f t="shared" si="9"/>
        <v>7390.0230000000001</v>
      </c>
      <c r="I54" s="51">
        <f t="shared" si="9"/>
        <v>10019.750395480003</v>
      </c>
      <c r="J54" s="51">
        <f t="shared" si="9"/>
        <v>1398.1199096480004</v>
      </c>
      <c r="K54" s="51">
        <f t="shared" si="9"/>
        <v>2494.1311822740327</v>
      </c>
      <c r="L54" s="51">
        <f t="shared" si="9"/>
        <v>3892.2510919220326</v>
      </c>
      <c r="P54" s="78">
        <f t="shared" si="7"/>
        <v>6756.7927618087278</v>
      </c>
      <c r="Q54" s="78">
        <f>K54/I54*10</f>
        <v>2.4892148844338049</v>
      </c>
    </row>
    <row r="59" spans="1:17" x14ac:dyDescent="0.35">
      <c r="A59" s="79" t="s">
        <v>491</v>
      </c>
      <c r="C59" s="51" t="s">
        <v>284</v>
      </c>
      <c r="D59" s="51">
        <v>980</v>
      </c>
      <c r="E59" s="76">
        <v>4.8000000000000001E-2</v>
      </c>
      <c r="F59" s="51">
        <v>28</v>
      </c>
      <c r="G59" s="51">
        <v>13.171199999999999</v>
      </c>
      <c r="H59" s="51">
        <f t="shared" ref="H59:H68" si="10">G59/F59*100</f>
        <v>47.04</v>
      </c>
      <c r="I59" s="51">
        <v>3.5168207200000006</v>
      </c>
      <c r="J59" s="51">
        <v>0.92309898800000001</v>
      </c>
      <c r="K59" s="51">
        <v>1.0876163336640001</v>
      </c>
      <c r="L59" s="51">
        <v>2.0107153216640001</v>
      </c>
      <c r="M59" s="51">
        <v>5.7174234393841941</v>
      </c>
      <c r="N59" s="51">
        <f t="shared" ref="N59:N65" si="11">(J59*10)/I59</f>
        <v>2.6248110480877735</v>
      </c>
      <c r="O59" s="51">
        <f t="shared" ref="O59:O65" si="12">(K59*10)/I59</f>
        <v>3.0926123912964205</v>
      </c>
      <c r="P59" s="51">
        <f t="shared" ref="P59:P69" si="13">J59/G59*10^7/10^3</f>
        <v>700.84653486394552</v>
      </c>
      <c r="Q59" s="51">
        <f t="shared" ref="Q59:Q68" si="14">K59/I59*10</f>
        <v>3.0926123912964205</v>
      </c>
    </row>
    <row r="60" spans="1:17" x14ac:dyDescent="0.35">
      <c r="A60" s="51" t="s">
        <v>492</v>
      </c>
      <c r="C60" s="51" t="s">
        <v>493</v>
      </c>
      <c r="D60" s="51">
        <v>2000</v>
      </c>
      <c r="E60" s="76">
        <v>0.15</v>
      </c>
      <c r="F60" s="51">
        <v>28</v>
      </c>
      <c r="G60" s="51">
        <v>84</v>
      </c>
      <c r="H60" s="51">
        <f t="shared" si="10"/>
        <v>300</v>
      </c>
      <c r="I60" s="51">
        <v>592.22974579999993</v>
      </c>
      <c r="J60" s="51">
        <v>35.246662724000004</v>
      </c>
      <c r="K60" s="51">
        <v>86.711225750351986</v>
      </c>
      <c r="L60" s="51">
        <v>121.95788847435199</v>
      </c>
      <c r="M60" s="51">
        <v>2.0593002857296199</v>
      </c>
      <c r="N60" s="51">
        <f t="shared" si="11"/>
        <v>0.5951518473018923</v>
      </c>
      <c r="O60" s="51">
        <f t="shared" si="12"/>
        <v>1.4641484384277275</v>
      </c>
      <c r="P60" s="51">
        <f t="shared" si="13"/>
        <v>4196.0312766666675</v>
      </c>
      <c r="Q60" s="51">
        <f t="shared" si="14"/>
        <v>1.4641484384277272</v>
      </c>
    </row>
    <row r="61" spans="1:17" x14ac:dyDescent="0.35">
      <c r="A61" s="51" t="s">
        <v>494</v>
      </c>
      <c r="C61" s="51" t="s">
        <v>284</v>
      </c>
      <c r="D61" s="51">
        <v>3960</v>
      </c>
      <c r="E61" s="76">
        <v>0.1</v>
      </c>
      <c r="F61" s="51">
        <v>28</v>
      </c>
      <c r="G61" s="51">
        <v>110.88</v>
      </c>
      <c r="H61" s="51">
        <f t="shared" si="10"/>
        <v>396</v>
      </c>
      <c r="I61" s="51">
        <v>723.8675049200001</v>
      </c>
      <c r="J61" s="51">
        <v>12.478493216</v>
      </c>
      <c r="K61" s="51">
        <v>111.14455064663998</v>
      </c>
      <c r="L61" s="51">
        <v>123.62304386263999</v>
      </c>
      <c r="M61" s="51">
        <v>1.7078131429080032</v>
      </c>
      <c r="N61" s="51">
        <f t="shared" si="11"/>
        <v>0.17238642612337032</v>
      </c>
      <c r="O61" s="51">
        <f t="shared" si="12"/>
        <v>1.5354267167846329</v>
      </c>
      <c r="P61" s="51">
        <f t="shared" si="13"/>
        <v>1125.4052323232324</v>
      </c>
      <c r="Q61" s="51">
        <f t="shared" si="14"/>
        <v>1.5354267167846327</v>
      </c>
    </row>
    <row r="62" spans="1:17" x14ac:dyDescent="0.35">
      <c r="A62" s="51" t="s">
        <v>495</v>
      </c>
      <c r="C62" s="51" t="s">
        <v>284</v>
      </c>
      <c r="D62" s="51">
        <v>600</v>
      </c>
      <c r="E62" s="76">
        <v>1</v>
      </c>
      <c r="F62" s="51">
        <v>28</v>
      </c>
      <c r="G62" s="51">
        <v>168</v>
      </c>
      <c r="H62" s="51">
        <f t="shared" si="10"/>
        <v>600</v>
      </c>
      <c r="I62" s="51">
        <v>1151.2584720000002</v>
      </c>
      <c r="J62" s="51">
        <v>197.4</v>
      </c>
      <c r="K62" s="51">
        <v>353.43635090400005</v>
      </c>
      <c r="L62" s="51">
        <v>550.83635090400003</v>
      </c>
      <c r="M62" s="51">
        <v>4.7846453624534107</v>
      </c>
      <c r="N62" s="51">
        <f t="shared" si="11"/>
        <v>1.7146453624534106</v>
      </c>
      <c r="O62" s="51">
        <f t="shared" si="12"/>
        <v>3.07</v>
      </c>
      <c r="P62" s="51">
        <f t="shared" si="13"/>
        <v>11750</v>
      </c>
      <c r="Q62" s="51">
        <f t="shared" si="14"/>
        <v>3.07</v>
      </c>
    </row>
    <row r="63" spans="1:17" x14ac:dyDescent="0.35">
      <c r="A63" s="51" t="s">
        <v>496</v>
      </c>
      <c r="C63" s="51" t="s">
        <v>284</v>
      </c>
      <c r="D63" s="51">
        <v>600</v>
      </c>
      <c r="E63" s="76">
        <v>1</v>
      </c>
      <c r="F63" s="51">
        <v>28</v>
      </c>
      <c r="G63" s="51">
        <v>168</v>
      </c>
      <c r="H63" s="51">
        <f t="shared" si="10"/>
        <v>600</v>
      </c>
      <c r="I63" s="51">
        <v>1151.2584720000002</v>
      </c>
      <c r="J63" s="51">
        <v>110.60000000000001</v>
      </c>
      <c r="K63" s="51">
        <v>294.72216883200008</v>
      </c>
      <c r="L63" s="51">
        <v>405.3221688320001</v>
      </c>
      <c r="M63" s="51">
        <v>3.5206878271902093</v>
      </c>
      <c r="N63" s="51">
        <f t="shared" si="11"/>
        <v>0.96068782719020873</v>
      </c>
      <c r="O63" s="51">
        <f t="shared" si="12"/>
        <v>2.56</v>
      </c>
      <c r="P63" s="51">
        <f t="shared" si="13"/>
        <v>6583.3333333333339</v>
      </c>
      <c r="Q63" s="51">
        <f t="shared" si="14"/>
        <v>2.56</v>
      </c>
    </row>
    <row r="64" spans="1:17" x14ac:dyDescent="0.35">
      <c r="A64" s="51" t="s">
        <v>497</v>
      </c>
      <c r="C64" s="51" t="s">
        <v>493</v>
      </c>
      <c r="D64" s="51">
        <v>1500</v>
      </c>
      <c r="E64" s="76">
        <v>7.4700000000000003E-2</v>
      </c>
      <c r="F64" s="51">
        <v>28</v>
      </c>
      <c r="G64" s="51">
        <v>31.374000000000002</v>
      </c>
      <c r="H64" s="51">
        <f t="shared" si="10"/>
        <v>112.05000000000001</v>
      </c>
      <c r="I64" s="51">
        <v>155.52293761200002</v>
      </c>
      <c r="J64" s="51">
        <v>24.550147020000001</v>
      </c>
      <c r="K64" s="51">
        <v>22.282698896640003</v>
      </c>
      <c r="L64" s="51">
        <v>46.832845916640004</v>
      </c>
      <c r="M64" s="51">
        <v>3.0113143846008743</v>
      </c>
      <c r="N64" s="51">
        <f t="shared" si="11"/>
        <v>1.578554739060287</v>
      </c>
      <c r="O64" s="51">
        <f t="shared" si="12"/>
        <v>1.4327596455405873</v>
      </c>
      <c r="P64" s="51">
        <f t="shared" si="13"/>
        <v>7824.997456492637</v>
      </c>
      <c r="Q64" s="51">
        <f t="shared" si="14"/>
        <v>1.4327596455405871</v>
      </c>
    </row>
    <row r="65" spans="1:17" x14ac:dyDescent="0.35">
      <c r="A65" s="51" t="s">
        <v>498</v>
      </c>
      <c r="C65" s="51" t="s">
        <v>284</v>
      </c>
      <c r="D65" s="51">
        <v>660</v>
      </c>
      <c r="E65" s="76">
        <v>1</v>
      </c>
      <c r="F65" s="51">
        <v>28</v>
      </c>
      <c r="G65" s="51">
        <v>184.8</v>
      </c>
      <c r="H65" s="51">
        <f t="shared" si="10"/>
        <v>660</v>
      </c>
      <c r="I65" s="51">
        <v>204.16023935999996</v>
      </c>
      <c r="J65" s="51">
        <v>31.157462268493155</v>
      </c>
      <c r="K65" s="51">
        <v>47.161015292159995</v>
      </c>
      <c r="L65" s="51">
        <v>78.31847756065315</v>
      </c>
      <c r="M65" s="51">
        <v>3.8361278281297744</v>
      </c>
      <c r="N65" s="51">
        <f t="shared" si="11"/>
        <v>1.5261278281297741</v>
      </c>
      <c r="O65" s="51">
        <f t="shared" si="12"/>
        <v>2.31</v>
      </c>
      <c r="P65" s="51">
        <f t="shared" si="13"/>
        <v>1686.0098630136988</v>
      </c>
      <c r="Q65" s="51">
        <f t="shared" si="14"/>
        <v>2.31</v>
      </c>
    </row>
    <row r="66" spans="1:17" x14ac:dyDescent="0.35">
      <c r="A66" s="51" t="s">
        <v>499</v>
      </c>
      <c r="C66" s="51" t="s">
        <v>284</v>
      </c>
      <c r="D66" s="51">
        <v>660</v>
      </c>
      <c r="E66" s="76">
        <v>1</v>
      </c>
      <c r="F66" s="51">
        <v>28</v>
      </c>
      <c r="G66" s="51">
        <v>184.8</v>
      </c>
      <c r="H66" s="51">
        <f t="shared" si="10"/>
        <v>660</v>
      </c>
      <c r="I66" s="51">
        <v>0</v>
      </c>
      <c r="J66" s="51">
        <v>31.157462268493155</v>
      </c>
      <c r="K66" s="51">
        <v>0</v>
      </c>
      <c r="L66" s="51">
        <v>31.157462268493155</v>
      </c>
      <c r="N66" s="51">
        <v>0</v>
      </c>
      <c r="O66" s="51">
        <v>0</v>
      </c>
      <c r="P66" s="51">
        <f t="shared" si="13"/>
        <v>1686.0098630136988</v>
      </c>
      <c r="Q66" s="51" t="e">
        <f t="shared" si="14"/>
        <v>#DIV/0!</v>
      </c>
    </row>
    <row r="67" spans="1:17" x14ac:dyDescent="0.35">
      <c r="A67" s="51" t="s">
        <v>500</v>
      </c>
      <c r="C67" s="51" t="s">
        <v>284</v>
      </c>
      <c r="D67" s="51">
        <v>3800</v>
      </c>
      <c r="E67" s="76">
        <v>0.1</v>
      </c>
      <c r="F67" s="51">
        <v>28</v>
      </c>
      <c r="G67" s="51">
        <v>106.4</v>
      </c>
      <c r="H67" s="51">
        <f t="shared" si="10"/>
        <v>380</v>
      </c>
      <c r="I67" s="51">
        <v>387.5522112000001</v>
      </c>
      <c r="J67" s="51">
        <v>67.483803351999995</v>
      </c>
      <c r="K67" s="51">
        <v>56.585061799880044</v>
      </c>
      <c r="L67" s="51">
        <v>124.06886515188003</v>
      </c>
      <c r="M67" s="51">
        <v>3.2013458204178091</v>
      </c>
      <c r="N67" s="51">
        <f>(J67*10)/I67</f>
        <v>1.7412828878732503</v>
      </c>
      <c r="O67" s="51">
        <f>(K67*10)/I67</f>
        <v>1.4600629325445591</v>
      </c>
      <c r="P67" s="51">
        <f t="shared" si="13"/>
        <v>6342.4627210526305</v>
      </c>
      <c r="Q67" s="51">
        <f t="shared" si="14"/>
        <v>1.4600629325445591</v>
      </c>
    </row>
    <row r="68" spans="1:17" x14ac:dyDescent="0.35">
      <c r="A68" s="51" t="s">
        <v>501</v>
      </c>
      <c r="C68" s="51" t="s">
        <v>493</v>
      </c>
      <c r="D68" s="51">
        <v>1500</v>
      </c>
      <c r="E68" s="76">
        <v>4.9393333333333338E-2</v>
      </c>
      <c r="F68" s="51">
        <v>28</v>
      </c>
      <c r="G68" s="51">
        <v>20.745200000000004</v>
      </c>
      <c r="H68" s="51">
        <f t="shared" si="10"/>
        <v>74.090000000000018</v>
      </c>
      <c r="I68" s="51">
        <v>84.335710502400005</v>
      </c>
      <c r="J68" s="51">
        <v>11.463970843236531</v>
      </c>
      <c r="K68" s="51">
        <v>23.992064945393167</v>
      </c>
      <c r="L68" s="51">
        <v>35.456035788629698</v>
      </c>
      <c r="M68" s="51">
        <v>4.2041545126510433</v>
      </c>
      <c r="N68" s="51">
        <f>(J68*10)/I68</f>
        <v>1.3593258152381715</v>
      </c>
      <c r="O68" s="51">
        <f>(K68*10)/I68</f>
        <v>2.844828697412872</v>
      </c>
      <c r="P68" s="51">
        <f t="shared" si="13"/>
        <v>5526.0835485975213</v>
      </c>
      <c r="Q68" s="51">
        <f t="shared" si="14"/>
        <v>2.844828697412872</v>
      </c>
    </row>
    <row r="69" spans="1:17" x14ac:dyDescent="0.35">
      <c r="D69" s="51">
        <f>SUM(D59:D68)</f>
        <v>16260</v>
      </c>
      <c r="G69" s="51">
        <f t="shared" ref="G69:L69" si="15">SUM(G59:G68)</f>
        <v>1072.1704000000002</v>
      </c>
      <c r="H69" s="51">
        <f t="shared" si="15"/>
        <v>3829.1800000000003</v>
      </c>
      <c r="I69" s="51">
        <f t="shared" si="15"/>
        <v>4453.7021141144005</v>
      </c>
      <c r="J69" s="51">
        <f t="shared" si="15"/>
        <v>522.46110068022278</v>
      </c>
      <c r="K69" s="51">
        <f t="shared" si="15"/>
        <v>997.12275340072927</v>
      </c>
      <c r="L69" s="51">
        <f t="shared" si="15"/>
        <v>1519.5838540809525</v>
      </c>
      <c r="P69" s="78">
        <f t="shared" si="13"/>
        <v>4872.9297197555788</v>
      </c>
      <c r="Q69" s="78">
        <f>K69/I69*10</f>
        <v>2.238862698609116</v>
      </c>
    </row>
    <row r="71" spans="1:17" x14ac:dyDescent="0.35">
      <c r="A71" s="99" t="s">
        <v>41</v>
      </c>
      <c r="C71" s="99" t="s">
        <v>690</v>
      </c>
      <c r="D71" s="51">
        <f>D54+D69</f>
        <v>32940</v>
      </c>
      <c r="G71" s="51">
        <f t="shared" ref="G71:L71" si="16">G54+G69</f>
        <v>3141.3768399999999</v>
      </c>
      <c r="H71" s="51">
        <f t="shared" si="16"/>
        <v>11219.203000000001</v>
      </c>
      <c r="I71" s="51">
        <f t="shared" si="16"/>
        <v>14473.452509594405</v>
      </c>
      <c r="J71" s="51">
        <f t="shared" si="16"/>
        <v>1920.5810103282233</v>
      </c>
      <c r="K71" s="51">
        <f t="shared" si="16"/>
        <v>3491.253935674762</v>
      </c>
      <c r="L71" s="51">
        <f t="shared" si="16"/>
        <v>5411.8349460029849</v>
      </c>
      <c r="P71" s="78">
        <f>J71/G71*10^7/10^3</f>
        <v>6113.819220518043</v>
      </c>
      <c r="Q71" s="78">
        <f>K71/I71*10</f>
        <v>2.4121776980028926</v>
      </c>
    </row>
    <row r="74" spans="1:17" x14ac:dyDescent="0.35">
      <c r="A74" s="51" t="s">
        <v>502</v>
      </c>
      <c r="C74" s="51" t="s">
        <v>309</v>
      </c>
      <c r="D74" s="51">
        <v>94.2</v>
      </c>
      <c r="E74" s="76">
        <v>0.1153</v>
      </c>
      <c r="F74" s="51">
        <v>28</v>
      </c>
      <c r="G74" s="51">
        <v>3.0411527999999999</v>
      </c>
      <c r="H74" s="51">
        <f t="shared" ref="H74:H92" si="17">G74/F74*100</f>
        <v>10.86126</v>
      </c>
      <c r="I74" s="51">
        <v>8.9501413680000006</v>
      </c>
      <c r="J74" s="51">
        <v>2.99790204</v>
      </c>
      <c r="K74" s="51">
        <v>1.5198818325600001</v>
      </c>
      <c r="L74" s="51">
        <v>4.5177838725599999</v>
      </c>
      <c r="M74" s="51">
        <v>5.0477234792209149</v>
      </c>
      <c r="N74" s="51">
        <f t="shared" ref="N74:N92" si="18">(J74*10)/I74</f>
        <v>3.3495583105743854</v>
      </c>
      <c r="O74" s="51">
        <f t="shared" ref="O74:O92" si="19">(K74*10)/I74</f>
        <v>1.6981651686465296</v>
      </c>
      <c r="P74" s="51">
        <f t="shared" ref="P74:P93" si="20">J74/G74*10^7/10^3</f>
        <v>9857.7816938366268</v>
      </c>
      <c r="Q74" s="51">
        <f t="shared" ref="Q74:Q92" si="21">K74/I74*10</f>
        <v>1.6981651686465293</v>
      </c>
    </row>
    <row r="75" spans="1:17" x14ac:dyDescent="0.35">
      <c r="A75" s="51" t="s">
        <v>503</v>
      </c>
      <c r="C75" s="51" t="s">
        <v>309</v>
      </c>
      <c r="D75" s="51">
        <v>1000</v>
      </c>
      <c r="E75" s="76">
        <v>0.104</v>
      </c>
      <c r="F75" s="51">
        <v>28</v>
      </c>
      <c r="G75" s="51">
        <v>29.12</v>
      </c>
      <c r="H75" s="51">
        <f t="shared" si="17"/>
        <v>104</v>
      </c>
      <c r="I75" s="51">
        <v>115.28469708000002</v>
      </c>
      <c r="J75" s="51">
        <v>0</v>
      </c>
      <c r="K75" s="51">
        <v>62.277096650160004</v>
      </c>
      <c r="L75" s="51">
        <v>62.277096650160004</v>
      </c>
      <c r="M75" s="51">
        <v>5.4020263077018615</v>
      </c>
      <c r="N75" s="51">
        <f t="shared" si="18"/>
        <v>0</v>
      </c>
      <c r="O75" s="51">
        <f t="shared" si="19"/>
        <v>5.4020263077018615</v>
      </c>
      <c r="P75" s="51">
        <f t="shared" si="20"/>
        <v>0</v>
      </c>
      <c r="Q75" s="51">
        <f t="shared" si="21"/>
        <v>5.4020263077018615</v>
      </c>
    </row>
    <row r="76" spans="1:17" x14ac:dyDescent="0.35">
      <c r="A76" s="51" t="s">
        <v>504</v>
      </c>
      <c r="C76" s="51" t="s">
        <v>309</v>
      </c>
      <c r="D76" s="51">
        <v>690</v>
      </c>
      <c r="E76" s="76">
        <v>2.9500000000000002E-2</v>
      </c>
      <c r="F76" s="51">
        <v>28</v>
      </c>
      <c r="G76" s="51">
        <v>5.6994000000000007</v>
      </c>
      <c r="H76" s="51">
        <f t="shared" si="17"/>
        <v>20.355000000000004</v>
      </c>
      <c r="I76" s="51">
        <v>26.722822056000002</v>
      </c>
      <c r="J76" s="51">
        <v>1.6329068840000001</v>
      </c>
      <c r="K76" s="51">
        <v>4.7033220897600012</v>
      </c>
      <c r="L76" s="51">
        <v>6.3362289737600008</v>
      </c>
      <c r="M76" s="51">
        <v>2.3710927537824715</v>
      </c>
      <c r="N76" s="51">
        <f t="shared" si="18"/>
        <v>0.61105330888261034</v>
      </c>
      <c r="O76" s="51">
        <f t="shared" si="19"/>
        <v>1.7600394448998611</v>
      </c>
      <c r="P76" s="51">
        <f t="shared" si="20"/>
        <v>2865.050503561778</v>
      </c>
      <c r="Q76" s="51">
        <f t="shared" si="21"/>
        <v>1.7600394448998613</v>
      </c>
    </row>
    <row r="77" spans="1:17" x14ac:dyDescent="0.35">
      <c r="A77" s="51" t="s">
        <v>505</v>
      </c>
      <c r="C77" s="51" t="s">
        <v>309</v>
      </c>
      <c r="D77" s="51">
        <v>540</v>
      </c>
      <c r="E77" s="76">
        <v>0.19600000000000001</v>
      </c>
      <c r="F77" s="51">
        <v>28</v>
      </c>
      <c r="G77" s="51">
        <v>29.635200000000001</v>
      </c>
      <c r="H77" s="51">
        <f t="shared" si="17"/>
        <v>105.84</v>
      </c>
      <c r="I77" s="51">
        <v>117.576427192</v>
      </c>
      <c r="J77" s="51">
        <v>10.610735352000003</v>
      </c>
      <c r="K77" s="51">
        <v>14.603281949760003</v>
      </c>
      <c r="L77" s="51">
        <v>25.214017301760006</v>
      </c>
      <c r="M77" s="51">
        <v>2.1444789490486906</v>
      </c>
      <c r="N77" s="51">
        <f t="shared" si="18"/>
        <v>0.90245431039275248</v>
      </c>
      <c r="O77" s="51">
        <f t="shared" si="19"/>
        <v>1.2420246386559384</v>
      </c>
      <c r="P77" s="51">
        <f t="shared" si="20"/>
        <v>3580.4500566893435</v>
      </c>
      <c r="Q77" s="51">
        <f t="shared" si="21"/>
        <v>1.2420246386559384</v>
      </c>
    </row>
    <row r="78" spans="1:17" x14ac:dyDescent="0.35">
      <c r="A78" s="51" t="s">
        <v>506</v>
      </c>
      <c r="C78" s="51" t="s">
        <v>309</v>
      </c>
      <c r="D78" s="51">
        <v>300</v>
      </c>
      <c r="E78" s="76">
        <v>9.6699999999999994E-2</v>
      </c>
      <c r="F78" s="51">
        <v>28</v>
      </c>
      <c r="G78" s="51">
        <v>8.1227999999999998</v>
      </c>
      <c r="H78" s="51">
        <f t="shared" si="17"/>
        <v>29.009999999999998</v>
      </c>
      <c r="I78" s="51">
        <v>41.408298288000005</v>
      </c>
      <c r="J78" s="51">
        <v>4.6856016480000005</v>
      </c>
      <c r="K78" s="51">
        <v>4.4316839313599994</v>
      </c>
      <c r="L78" s="51">
        <v>9.1172855793600007</v>
      </c>
      <c r="M78" s="51">
        <v>2.2018015606311843</v>
      </c>
      <c r="N78" s="51">
        <f t="shared" si="18"/>
        <v>1.1315610256212518</v>
      </c>
      <c r="O78" s="51">
        <f t="shared" si="19"/>
        <v>1.0702405350099324</v>
      </c>
      <c r="P78" s="51">
        <f t="shared" si="20"/>
        <v>5768.4562564632888</v>
      </c>
      <c r="Q78" s="51">
        <f t="shared" si="21"/>
        <v>1.0702405350099324</v>
      </c>
    </row>
    <row r="79" spans="1:17" x14ac:dyDescent="0.35">
      <c r="A79" s="51" t="s">
        <v>507</v>
      </c>
      <c r="C79" s="51" t="s">
        <v>309</v>
      </c>
      <c r="D79" s="51">
        <v>231</v>
      </c>
      <c r="E79" s="76">
        <v>0.10913419913419914</v>
      </c>
      <c r="F79" s="51">
        <v>28</v>
      </c>
      <c r="G79" s="51">
        <v>7.0587999999999997</v>
      </c>
      <c r="H79" s="51">
        <f t="shared" si="17"/>
        <v>25.21</v>
      </c>
      <c r="I79" s="51">
        <v>29.052059400000005</v>
      </c>
      <c r="J79" s="51">
        <v>7.184000600000001</v>
      </c>
      <c r="K79" s="51">
        <v>6.2977817649600025</v>
      </c>
      <c r="L79" s="51">
        <v>13.481782364960004</v>
      </c>
      <c r="M79" s="51">
        <v>4.6405599614600828</v>
      </c>
      <c r="N79" s="51">
        <f t="shared" si="18"/>
        <v>2.4728025304808514</v>
      </c>
      <c r="O79" s="51">
        <f t="shared" si="19"/>
        <v>2.1677574309792309</v>
      </c>
      <c r="P79" s="51">
        <f t="shared" si="20"/>
        <v>10177.368107893693</v>
      </c>
      <c r="Q79" s="51">
        <f t="shared" si="21"/>
        <v>2.1677574309792309</v>
      </c>
    </row>
    <row r="80" spans="1:17" x14ac:dyDescent="0.35">
      <c r="A80" s="51" t="s">
        <v>508</v>
      </c>
      <c r="C80" s="51" t="s">
        <v>309</v>
      </c>
      <c r="D80" s="51">
        <v>480</v>
      </c>
      <c r="E80" s="76">
        <v>8.9599999999999999E-2</v>
      </c>
      <c r="F80" s="51">
        <v>28</v>
      </c>
      <c r="G80" s="51">
        <v>12.042240000000001</v>
      </c>
      <c r="H80" s="51">
        <f t="shared" si="17"/>
        <v>43.00800000000001</v>
      </c>
      <c r="I80" s="51">
        <v>68.538113112000005</v>
      </c>
      <c r="J80" s="51">
        <v>5.7470801080000014</v>
      </c>
      <c r="K80" s="51">
        <v>9.881935444079998</v>
      </c>
      <c r="L80" s="51">
        <v>15.629015552079998</v>
      </c>
      <c r="M80" s="51">
        <v>2.2803393385721309</v>
      </c>
      <c r="N80" s="51">
        <f t="shared" si="18"/>
        <v>0.83852324597972816</v>
      </c>
      <c r="O80" s="51">
        <f t="shared" si="19"/>
        <v>1.4418160925924028</v>
      </c>
      <c r="P80" s="51">
        <f t="shared" si="20"/>
        <v>4772.4344540550601</v>
      </c>
      <c r="Q80" s="51">
        <f t="shared" si="21"/>
        <v>1.4418160925924028</v>
      </c>
    </row>
    <row r="81" spans="1:17" x14ac:dyDescent="0.35">
      <c r="A81" s="51" t="s">
        <v>509</v>
      </c>
      <c r="C81" s="51" t="s">
        <v>309</v>
      </c>
      <c r="D81" s="51">
        <v>240</v>
      </c>
      <c r="E81" s="76">
        <v>0.11405</v>
      </c>
      <c r="F81" s="51">
        <v>28</v>
      </c>
      <c r="G81" s="51">
        <v>7.664159999999999</v>
      </c>
      <c r="H81" s="51">
        <f t="shared" si="17"/>
        <v>27.371999999999996</v>
      </c>
      <c r="I81" s="51">
        <v>36.04501806377472</v>
      </c>
      <c r="J81" s="51">
        <v>13.266723568000002</v>
      </c>
      <c r="K81" s="51">
        <v>10.862304981599545</v>
      </c>
      <c r="L81" s="51">
        <v>24.129028549599546</v>
      </c>
      <c r="M81" s="51">
        <v>6.694136900391582</v>
      </c>
      <c r="N81" s="51">
        <f t="shared" si="18"/>
        <v>3.6805983962962889</v>
      </c>
      <c r="O81" s="51">
        <f t="shared" si="19"/>
        <v>3.0135385040952918</v>
      </c>
      <c r="P81" s="51">
        <f t="shared" si="20"/>
        <v>17310.081689317554</v>
      </c>
      <c r="Q81" s="51">
        <f t="shared" si="21"/>
        <v>3.0135385040952922</v>
      </c>
    </row>
    <row r="82" spans="1:17" x14ac:dyDescent="0.35">
      <c r="A82" s="51" t="s">
        <v>510</v>
      </c>
      <c r="C82" s="51" t="s">
        <v>309</v>
      </c>
      <c r="D82" s="51">
        <v>280</v>
      </c>
      <c r="E82" s="76">
        <v>9.64E-2</v>
      </c>
      <c r="F82" s="51">
        <v>28</v>
      </c>
      <c r="G82" s="51">
        <v>7.5577600000000009</v>
      </c>
      <c r="H82" s="51">
        <f t="shared" si="17"/>
        <v>26.992000000000004</v>
      </c>
      <c r="I82" s="51">
        <v>26.626276880000002</v>
      </c>
      <c r="J82" s="51">
        <v>4.4059296400000001</v>
      </c>
      <c r="K82" s="51">
        <v>6.3765117175199997</v>
      </c>
      <c r="L82" s="51">
        <v>10.78244135752</v>
      </c>
      <c r="M82" s="51">
        <v>4.049549024865394</v>
      </c>
      <c r="N82" s="51">
        <f t="shared" si="18"/>
        <v>1.6547298970324535</v>
      </c>
      <c r="O82" s="51">
        <f t="shared" si="19"/>
        <v>2.3948191278329407</v>
      </c>
      <c r="P82" s="51">
        <f t="shared" si="20"/>
        <v>5829.6765708358025</v>
      </c>
      <c r="Q82" s="51">
        <f t="shared" si="21"/>
        <v>2.3948191278329407</v>
      </c>
    </row>
    <row r="83" spans="1:17" x14ac:dyDescent="0.35">
      <c r="A83" s="51" t="s">
        <v>511</v>
      </c>
      <c r="C83" s="51" t="s">
        <v>309</v>
      </c>
      <c r="D83" s="51">
        <v>390</v>
      </c>
      <c r="E83" s="76">
        <v>0.10879999999999999</v>
      </c>
      <c r="F83" s="51">
        <v>28</v>
      </c>
      <c r="G83" s="51">
        <v>11.880959999999998</v>
      </c>
      <c r="H83" s="51">
        <f t="shared" si="17"/>
        <v>42.431999999999995</v>
      </c>
      <c r="I83" s="51">
        <v>71.34879757600001</v>
      </c>
      <c r="J83" s="51">
        <v>18.575193924000001</v>
      </c>
      <c r="K83" s="51">
        <v>23.89413789168</v>
      </c>
      <c r="L83" s="51">
        <v>42.46933181568</v>
      </c>
      <c r="M83" s="51">
        <v>5.9523542454155729</v>
      </c>
      <c r="N83" s="51">
        <f t="shared" si="18"/>
        <v>2.6034347536430302</v>
      </c>
      <c r="O83" s="51">
        <f t="shared" si="19"/>
        <v>3.3489194917725431</v>
      </c>
      <c r="P83" s="51">
        <f t="shared" si="20"/>
        <v>15634.421733597288</v>
      </c>
      <c r="Q83" s="51">
        <f t="shared" si="21"/>
        <v>3.3489194917725431</v>
      </c>
    </row>
    <row r="84" spans="1:17" x14ac:dyDescent="0.35">
      <c r="A84" s="51" t="s">
        <v>512</v>
      </c>
      <c r="C84" s="51" t="s">
        <v>309</v>
      </c>
      <c r="D84" s="51">
        <v>520</v>
      </c>
      <c r="E84" s="76">
        <v>0.1091</v>
      </c>
      <c r="F84" s="51">
        <v>28</v>
      </c>
      <c r="G84" s="51">
        <v>15.884960000000001</v>
      </c>
      <c r="H84" s="51">
        <f t="shared" si="17"/>
        <v>56.732000000000006</v>
      </c>
      <c r="I84" s="51">
        <v>21.610965376000003</v>
      </c>
      <c r="J84" s="51">
        <v>4.8976082120000006</v>
      </c>
      <c r="K84" s="51">
        <v>6.050443596960001</v>
      </c>
      <c r="L84" s="51">
        <v>10.948051808960003</v>
      </c>
      <c r="M84" s="51">
        <v>5.0659707322090899</v>
      </c>
      <c r="N84" s="51">
        <f t="shared" si="18"/>
        <v>2.2662607277317774</v>
      </c>
      <c r="O84" s="51">
        <f t="shared" si="19"/>
        <v>2.7997100044773124</v>
      </c>
      <c r="P84" s="51">
        <f t="shared" si="20"/>
        <v>3083.1731474300223</v>
      </c>
      <c r="Q84" s="51">
        <f t="shared" si="21"/>
        <v>2.799710004477312</v>
      </c>
    </row>
    <row r="85" spans="1:17" x14ac:dyDescent="0.35">
      <c r="A85" s="51" t="s">
        <v>513</v>
      </c>
      <c r="C85" s="51" t="s">
        <v>309</v>
      </c>
      <c r="D85" s="51">
        <v>120</v>
      </c>
      <c r="E85" s="76">
        <v>0.1084</v>
      </c>
      <c r="F85" s="51">
        <v>28</v>
      </c>
      <c r="G85" s="51">
        <v>3.6422399999999997</v>
      </c>
      <c r="H85" s="51">
        <f t="shared" si="17"/>
        <v>13.008000000000001</v>
      </c>
      <c r="I85" s="51">
        <v>15.348655839999999</v>
      </c>
      <c r="J85" s="51">
        <v>4.298231308000001</v>
      </c>
      <c r="K85" s="51">
        <v>3.6857575070400004</v>
      </c>
      <c r="L85" s="51">
        <v>7.9839888150400018</v>
      </c>
      <c r="M85" s="51">
        <v>5.2017511489396995</v>
      </c>
      <c r="N85" s="51">
        <f t="shared" si="18"/>
        <v>2.8003959127146612</v>
      </c>
      <c r="O85" s="51">
        <f t="shared" si="19"/>
        <v>2.4013552362250379</v>
      </c>
      <c r="P85" s="51">
        <f t="shared" si="20"/>
        <v>11801.065575030754</v>
      </c>
      <c r="Q85" s="51">
        <f t="shared" si="21"/>
        <v>2.4013552362250379</v>
      </c>
    </row>
    <row r="86" spans="1:17" x14ac:dyDescent="0.35">
      <c r="A86" s="51" t="s">
        <v>514</v>
      </c>
      <c r="C86" s="51" t="s">
        <v>309</v>
      </c>
      <c r="D86" s="51">
        <v>140</v>
      </c>
      <c r="E86" s="76">
        <v>1</v>
      </c>
      <c r="F86" s="51">
        <v>28</v>
      </c>
      <c r="G86" s="51">
        <v>39.200000000000003</v>
      </c>
      <c r="H86" s="51">
        <f t="shared" si="17"/>
        <v>140</v>
      </c>
      <c r="I86" s="51">
        <v>58.39409156</v>
      </c>
      <c r="J86" s="51">
        <v>12.600000000000001</v>
      </c>
      <c r="K86" s="51">
        <v>1.7518227467999998</v>
      </c>
      <c r="L86" s="51">
        <v>14.351822746800002</v>
      </c>
      <c r="M86" s="51">
        <v>2.4577525505390363</v>
      </c>
      <c r="N86" s="51">
        <f t="shared" si="18"/>
        <v>2.1577525505390365</v>
      </c>
      <c r="O86" s="51">
        <f t="shared" si="19"/>
        <v>0.3</v>
      </c>
      <c r="P86" s="51">
        <f t="shared" si="20"/>
        <v>3214.2857142857147</v>
      </c>
      <c r="Q86" s="51">
        <f t="shared" si="21"/>
        <v>0.3</v>
      </c>
    </row>
    <row r="87" spans="1:17" x14ac:dyDescent="0.35">
      <c r="A87" s="51" t="s">
        <v>515</v>
      </c>
      <c r="C87" s="51" t="s">
        <v>309</v>
      </c>
      <c r="D87" s="51">
        <v>2900.73</v>
      </c>
      <c r="E87" s="76">
        <v>0.22570640937284631</v>
      </c>
      <c r="F87" s="51">
        <v>28</v>
      </c>
      <c r="G87" s="51">
        <v>184.92600000000002</v>
      </c>
      <c r="H87" s="51">
        <f t="shared" si="17"/>
        <v>660.45</v>
      </c>
      <c r="I87" s="51">
        <v>604.59040572000004</v>
      </c>
      <c r="J87" s="51">
        <v>0</v>
      </c>
      <c r="K87" s="51">
        <v>29.522849534639999</v>
      </c>
      <c r="L87" s="51">
        <v>29.522849534639999</v>
      </c>
      <c r="M87" s="51">
        <v>0.48831157847239676</v>
      </c>
      <c r="N87" s="51">
        <f t="shared" si="18"/>
        <v>0</v>
      </c>
      <c r="O87" s="51">
        <f t="shared" si="19"/>
        <v>0.48831157847239676</v>
      </c>
      <c r="P87" s="51">
        <f t="shared" si="20"/>
        <v>0</v>
      </c>
      <c r="Q87" s="51">
        <f t="shared" si="21"/>
        <v>0.48831157847239676</v>
      </c>
    </row>
    <row r="88" spans="1:17" x14ac:dyDescent="0.35">
      <c r="A88" s="51" t="s">
        <v>516</v>
      </c>
      <c r="C88" s="51" t="s">
        <v>309</v>
      </c>
      <c r="D88" s="51">
        <v>636</v>
      </c>
      <c r="E88" s="76">
        <v>0.30345911949685533</v>
      </c>
      <c r="F88" s="51">
        <v>28</v>
      </c>
      <c r="G88" s="51">
        <v>54.04</v>
      </c>
      <c r="H88" s="51">
        <f t="shared" si="17"/>
        <v>193</v>
      </c>
      <c r="I88" s="51">
        <v>211.65564000000003</v>
      </c>
      <c r="J88" s="51">
        <v>0</v>
      </c>
      <c r="K88" s="51">
        <v>0</v>
      </c>
      <c r="L88" s="51">
        <v>0</v>
      </c>
      <c r="M88" s="51">
        <v>0</v>
      </c>
      <c r="N88" s="51">
        <f t="shared" si="18"/>
        <v>0</v>
      </c>
      <c r="O88" s="51">
        <f t="shared" si="19"/>
        <v>0</v>
      </c>
      <c r="P88" s="51">
        <f t="shared" si="20"/>
        <v>0</v>
      </c>
      <c r="Q88" s="51">
        <f t="shared" si="21"/>
        <v>0</v>
      </c>
    </row>
    <row r="89" spans="1:17" x14ac:dyDescent="0.35">
      <c r="A89" s="51" t="s">
        <v>517</v>
      </c>
      <c r="C89" s="51" t="s">
        <v>309</v>
      </c>
      <c r="D89" s="51">
        <v>1000</v>
      </c>
      <c r="E89" s="76">
        <v>7.4999999999999997E-2</v>
      </c>
      <c r="F89" s="51">
        <v>28</v>
      </c>
      <c r="G89" s="51">
        <v>21</v>
      </c>
      <c r="H89" s="51">
        <f t="shared" si="17"/>
        <v>75</v>
      </c>
      <c r="I89" s="51">
        <v>68.532113468000006</v>
      </c>
      <c r="J89" s="51">
        <v>19.506107488000001</v>
      </c>
      <c r="K89" s="51">
        <v>15.962937412799999</v>
      </c>
      <c r="L89" s="51">
        <v>35.4690449008</v>
      </c>
      <c r="M89" s="51">
        <v>5.175536417297522</v>
      </c>
      <c r="N89" s="51">
        <f t="shared" si="18"/>
        <v>2.8462725722165376</v>
      </c>
      <c r="O89" s="51">
        <f t="shared" si="19"/>
        <v>2.3292638450809844</v>
      </c>
      <c r="P89" s="51">
        <f t="shared" si="20"/>
        <v>9288.622613333333</v>
      </c>
      <c r="Q89" s="51">
        <f t="shared" si="21"/>
        <v>2.3292638450809839</v>
      </c>
    </row>
    <row r="90" spans="1:17" x14ac:dyDescent="0.35">
      <c r="A90" s="51" t="s">
        <v>518</v>
      </c>
      <c r="C90" s="51" t="s">
        <v>309</v>
      </c>
      <c r="D90" s="51">
        <v>400</v>
      </c>
      <c r="E90" s="76">
        <v>8.3599999999999994E-2</v>
      </c>
      <c r="F90" s="51">
        <v>28</v>
      </c>
      <c r="G90" s="51">
        <v>9.3631999999999991</v>
      </c>
      <c r="H90" s="51">
        <f t="shared" si="17"/>
        <v>33.44</v>
      </c>
      <c r="I90" s="51">
        <v>29.795399816000003</v>
      </c>
      <c r="J90" s="51">
        <v>5.8805375440000001</v>
      </c>
      <c r="K90" s="51">
        <v>5.7596308828800007</v>
      </c>
      <c r="L90" s="51">
        <v>11.640168426880001</v>
      </c>
      <c r="M90" s="51">
        <v>3.9066998592948159</v>
      </c>
      <c r="N90" s="51">
        <f t="shared" si="18"/>
        <v>1.9736394142434619</v>
      </c>
      <c r="O90" s="51">
        <f t="shared" si="19"/>
        <v>1.9330604450513542</v>
      </c>
      <c r="P90" s="51">
        <f t="shared" si="20"/>
        <v>6280.4784090909088</v>
      </c>
      <c r="Q90" s="51">
        <f t="shared" si="21"/>
        <v>1.9330604450513544</v>
      </c>
    </row>
    <row r="91" spans="1:17" x14ac:dyDescent="0.35">
      <c r="A91" s="81" t="s">
        <v>346</v>
      </c>
      <c r="C91" s="51" t="s">
        <v>309</v>
      </c>
      <c r="F91" s="51">
        <v>28</v>
      </c>
      <c r="H91" s="51">
        <f t="shared" si="17"/>
        <v>0</v>
      </c>
      <c r="I91" s="51">
        <v>13.613771080000001</v>
      </c>
      <c r="J91" s="51">
        <v>0</v>
      </c>
      <c r="K91" s="51">
        <v>2.8129985503200001</v>
      </c>
      <c r="L91" s="51">
        <v>2.8129985503200001</v>
      </c>
      <c r="M91" s="51">
        <v>2.0662890052944829</v>
      </c>
      <c r="N91" s="51">
        <f t="shared" si="18"/>
        <v>0</v>
      </c>
      <c r="O91" s="51">
        <f t="shared" si="19"/>
        <v>2.0662890052944829</v>
      </c>
      <c r="P91" s="51" t="e">
        <f t="shared" si="20"/>
        <v>#DIV/0!</v>
      </c>
      <c r="Q91" s="51">
        <f t="shared" si="21"/>
        <v>2.0662890052944829</v>
      </c>
    </row>
    <row r="92" spans="1:17" x14ac:dyDescent="0.35">
      <c r="A92" s="51" t="s">
        <v>519</v>
      </c>
      <c r="C92" s="51" t="s">
        <v>309</v>
      </c>
      <c r="D92" s="51">
        <v>412.02</v>
      </c>
      <c r="E92" s="76">
        <v>7.7200000000000005E-2</v>
      </c>
      <c r="F92" s="51">
        <v>28</v>
      </c>
      <c r="G92" s="51">
        <v>8.9062243199999998</v>
      </c>
      <c r="H92" s="51">
        <f t="shared" si="17"/>
        <v>31.807943999999999</v>
      </c>
      <c r="I92" s="51">
        <v>43.723548288000011</v>
      </c>
      <c r="J92" s="51">
        <v>8.5626154040000007</v>
      </c>
      <c r="K92" s="51">
        <v>7.3813725837599993</v>
      </c>
      <c r="L92" s="51">
        <v>15.94398798776</v>
      </c>
      <c r="M92" s="51">
        <v>3.6465448510124348</v>
      </c>
      <c r="N92" s="51">
        <f t="shared" si="18"/>
        <v>1.9583532762710436</v>
      </c>
      <c r="O92" s="51">
        <f t="shared" si="19"/>
        <v>1.6881915747413909</v>
      </c>
      <c r="P92" s="51">
        <f t="shared" si="20"/>
        <v>9614.1923853990702</v>
      </c>
      <c r="Q92" s="51">
        <f t="shared" si="21"/>
        <v>1.6881915747413911</v>
      </c>
    </row>
    <row r="93" spans="1:17" x14ac:dyDescent="0.35">
      <c r="D93" s="51">
        <f>SUM(D74:D92)</f>
        <v>10373.950000000001</v>
      </c>
      <c r="G93" s="81">
        <f t="shared" ref="G93:L93" si="22">SUM(G74:G92)</f>
        <v>458.78509711999999</v>
      </c>
      <c r="H93" s="81">
        <f t="shared" si="22"/>
        <v>1638.5182040000002</v>
      </c>
      <c r="I93" s="51">
        <f t="shared" si="22"/>
        <v>1608.8172421637751</v>
      </c>
      <c r="J93" s="51">
        <f t="shared" si="22"/>
        <v>124.85117372000002</v>
      </c>
      <c r="K93" s="51">
        <f t="shared" si="22"/>
        <v>217.77575106863955</v>
      </c>
      <c r="L93" s="51">
        <f t="shared" si="22"/>
        <v>342.6269247886396</v>
      </c>
      <c r="P93" s="78">
        <f t="shared" si="20"/>
        <v>2721.3432716918414</v>
      </c>
      <c r="Q93" s="78">
        <f>K93/I93*10</f>
        <v>1.3536388432519693</v>
      </c>
    </row>
    <row r="98" spans="1:17" x14ac:dyDescent="0.35">
      <c r="A98" s="51" t="s">
        <v>520</v>
      </c>
      <c r="C98" s="51" t="s">
        <v>312</v>
      </c>
      <c r="D98" s="51">
        <v>23.85</v>
      </c>
      <c r="E98" s="76">
        <v>1</v>
      </c>
      <c r="F98" s="51">
        <v>28</v>
      </c>
      <c r="G98" s="51">
        <v>6.6780000000000008</v>
      </c>
      <c r="H98" s="51">
        <f>G98/F98*100</f>
        <v>23.85</v>
      </c>
      <c r="I98" s="51">
        <v>0.27177892000000003</v>
      </c>
      <c r="J98" s="51">
        <v>0</v>
      </c>
      <c r="K98" s="51">
        <v>0.10273243175999999</v>
      </c>
      <c r="L98" s="51">
        <v>0.10273243175999999</v>
      </c>
      <c r="M98" s="51">
        <v>3.7799999999999994</v>
      </c>
      <c r="N98" s="51">
        <f>(J98*10)/I98</f>
        <v>0</v>
      </c>
      <c r="O98" s="51">
        <f>(K98*10)/I98</f>
        <v>3.7799999999999994</v>
      </c>
      <c r="P98" s="78">
        <f>J98/F98*10^7/10^3</f>
        <v>0</v>
      </c>
      <c r="Q98" s="78">
        <f>K98/I98*10</f>
        <v>3.7799999999999994</v>
      </c>
    </row>
    <row r="104" spans="1:17" x14ac:dyDescent="0.35">
      <c r="A104" s="51" t="s">
        <v>521</v>
      </c>
      <c r="C104" s="51" t="s">
        <v>304</v>
      </c>
      <c r="D104" s="51">
        <v>440</v>
      </c>
      <c r="E104" s="76">
        <v>0.1</v>
      </c>
      <c r="F104" s="51">
        <v>28</v>
      </c>
      <c r="G104" s="51">
        <v>12.32</v>
      </c>
      <c r="H104" s="51">
        <f>G104/F104*100</f>
        <v>44</v>
      </c>
      <c r="I104" s="51">
        <v>91.771512560000005</v>
      </c>
      <c r="J104" s="51">
        <v>0</v>
      </c>
      <c r="K104" s="51">
        <v>24.142914969599996</v>
      </c>
      <c r="L104" s="51">
        <v>24.142914969599996</v>
      </c>
      <c r="M104" s="51">
        <v>2.6307635448217566</v>
      </c>
      <c r="N104" s="51">
        <f>(J104*10)/I104</f>
        <v>0</v>
      </c>
      <c r="O104" s="51">
        <f>(K104*10)/I104</f>
        <v>2.6307635448217566</v>
      </c>
      <c r="P104" s="51">
        <f>J104/G104*10^7/10^3</f>
        <v>0</v>
      </c>
      <c r="Q104" s="51">
        <f>K104/I104*10</f>
        <v>2.6307635448217566</v>
      </c>
    </row>
    <row r="105" spans="1:17" x14ac:dyDescent="0.35">
      <c r="A105" s="51" t="s">
        <v>522</v>
      </c>
      <c r="C105" s="51" t="s">
        <v>304</v>
      </c>
      <c r="D105" s="51">
        <v>200</v>
      </c>
      <c r="E105" s="76">
        <v>1</v>
      </c>
      <c r="F105" s="51">
        <v>28</v>
      </c>
      <c r="G105" s="51">
        <v>56</v>
      </c>
      <c r="H105" s="51">
        <f>G105/F105*100</f>
        <v>200</v>
      </c>
      <c r="I105" s="51">
        <v>241.29106512000001</v>
      </c>
      <c r="J105" s="51">
        <v>0</v>
      </c>
      <c r="K105" s="51">
        <v>70.922081244000012</v>
      </c>
      <c r="L105" s="51">
        <v>70.922081244000012</v>
      </c>
      <c r="M105" s="51">
        <v>2.9392750704933359</v>
      </c>
      <c r="N105" s="51">
        <f>(J105*10)/I105</f>
        <v>0</v>
      </c>
      <c r="O105" s="51">
        <f>(K105*10)/I105</f>
        <v>2.9392750704933359</v>
      </c>
      <c r="P105" s="51">
        <f>J105/G105*10^7/10^3</f>
        <v>0</v>
      </c>
      <c r="Q105" s="51">
        <f>K105/I105*10</f>
        <v>2.9392750704933359</v>
      </c>
    </row>
    <row r="106" spans="1:17" x14ac:dyDescent="0.35">
      <c r="A106" s="51" t="s">
        <v>523</v>
      </c>
      <c r="C106" s="51" t="s">
        <v>304</v>
      </c>
      <c r="D106" s="51">
        <v>440</v>
      </c>
      <c r="E106" s="76">
        <v>0.28410000000000002</v>
      </c>
      <c r="F106" s="51">
        <v>28</v>
      </c>
      <c r="G106" s="51">
        <v>35.00112</v>
      </c>
      <c r="H106" s="51">
        <f>G106/F106*100</f>
        <v>125.004</v>
      </c>
      <c r="I106" s="51">
        <v>300.5218888</v>
      </c>
      <c r="J106" s="51">
        <v>0</v>
      </c>
      <c r="K106" s="51">
        <v>88.122792920400016</v>
      </c>
      <c r="L106" s="51">
        <v>88.122792920400016</v>
      </c>
      <c r="M106" s="51">
        <v>2.9323252716226111</v>
      </c>
      <c r="N106" s="51">
        <f>(J106*10)/I106</f>
        <v>0</v>
      </c>
      <c r="O106" s="51">
        <f>(K106*10)/I106</f>
        <v>2.9323252716226111</v>
      </c>
      <c r="P106" s="51">
        <f>J106/G106*10^7/10^3</f>
        <v>0</v>
      </c>
      <c r="Q106" s="51">
        <f>K106/I106*10</f>
        <v>2.9323252716226111</v>
      </c>
    </row>
    <row r="107" spans="1:17" x14ac:dyDescent="0.35">
      <c r="A107" s="51" t="s">
        <v>524</v>
      </c>
      <c r="C107" s="51" t="s">
        <v>304</v>
      </c>
      <c r="D107" s="51">
        <v>440</v>
      </c>
      <c r="E107" s="76">
        <v>0.19940000000000002</v>
      </c>
      <c r="F107" s="51">
        <v>28</v>
      </c>
      <c r="G107" s="51">
        <v>24.566080000000003</v>
      </c>
      <c r="H107" s="51">
        <f>G107/F107*100</f>
        <v>87.736000000000018</v>
      </c>
      <c r="I107" s="51">
        <v>147.84440916</v>
      </c>
      <c r="J107" s="51">
        <v>0</v>
      </c>
      <c r="K107" s="51">
        <v>53.231593013760005</v>
      </c>
      <c r="L107" s="51">
        <v>53.231593013760005</v>
      </c>
      <c r="M107" s="51">
        <v>3.600514440566486</v>
      </c>
      <c r="N107" s="51">
        <f>(J107*10)/I107</f>
        <v>0</v>
      </c>
      <c r="O107" s="51">
        <f>(K107*10)/I107</f>
        <v>3.600514440566486</v>
      </c>
      <c r="P107" s="51">
        <f>J107/G107*10^7/10^3</f>
        <v>0</v>
      </c>
      <c r="Q107" s="51">
        <f>K107/I107*10</f>
        <v>3.600514440566486</v>
      </c>
    </row>
    <row r="108" spans="1:17" x14ac:dyDescent="0.35">
      <c r="D108" s="51">
        <f>SUM(D104:D107)</f>
        <v>1520</v>
      </c>
      <c r="G108" s="51">
        <f t="shared" ref="G108:L108" si="23">SUM(G104:G107)</f>
        <v>127.88719999999999</v>
      </c>
      <c r="H108" s="51">
        <f t="shared" si="23"/>
        <v>456.74</v>
      </c>
      <c r="I108" s="51">
        <f t="shared" si="23"/>
        <v>781.42887563999989</v>
      </c>
      <c r="J108" s="51">
        <f t="shared" si="23"/>
        <v>0</v>
      </c>
      <c r="K108" s="51">
        <f t="shared" si="23"/>
        <v>236.41938214776002</v>
      </c>
      <c r="L108" s="51">
        <f t="shared" si="23"/>
        <v>236.41938214776002</v>
      </c>
      <c r="P108" s="78">
        <f>J108/G108*10^7/10^3</f>
        <v>0</v>
      </c>
      <c r="Q108" s="78">
        <f>K108/I108*10</f>
        <v>3.0254753761707311</v>
      </c>
    </row>
    <row r="113" spans="1:17" x14ac:dyDescent="0.35">
      <c r="A113" s="51" t="s">
        <v>525</v>
      </c>
      <c r="C113" s="51" t="s">
        <v>314</v>
      </c>
      <c r="D113" s="51">
        <v>4133</v>
      </c>
      <c r="F113" s="107">
        <v>28</v>
      </c>
      <c r="G113" s="51">
        <v>1006.3</v>
      </c>
      <c r="H113" s="51">
        <f>G113/F113*100</f>
        <v>3593.9285714285711</v>
      </c>
      <c r="I113" s="51">
        <v>1440.4074443955308</v>
      </c>
      <c r="J113" s="51">
        <v>0</v>
      </c>
      <c r="K113" s="51">
        <v>731.30789460695848</v>
      </c>
      <c r="L113" s="51">
        <v>731.30789460695848</v>
      </c>
      <c r="M113" s="51">
        <v>5.0770904958343435</v>
      </c>
      <c r="N113" s="51">
        <f>(J113*10)/I113</f>
        <v>0</v>
      </c>
      <c r="O113" s="51">
        <f>(K113*10)/I113</f>
        <v>5.0770904958343435</v>
      </c>
      <c r="P113" s="78">
        <f>J113/G113*10^7/10^3</f>
        <v>0</v>
      </c>
      <c r="Q113" s="78">
        <f>K113/I113*10</f>
        <v>5.0770904958343435</v>
      </c>
    </row>
    <row r="115" spans="1:17" x14ac:dyDescent="0.35">
      <c r="A115" s="51" t="s">
        <v>351</v>
      </c>
      <c r="C115" s="51" t="s">
        <v>314</v>
      </c>
      <c r="D115" s="51">
        <v>873.7</v>
      </c>
      <c r="F115" s="107">
        <v>28</v>
      </c>
      <c r="G115" s="51">
        <v>110.98</v>
      </c>
      <c r="H115" s="51">
        <f>G115/F115*100</f>
        <v>396.35714285714283</v>
      </c>
      <c r="I115" s="51">
        <v>834.38236108277704</v>
      </c>
      <c r="J115" s="51">
        <v>0</v>
      </c>
      <c r="K115" s="51">
        <v>392.7120642361163</v>
      </c>
      <c r="L115" s="51">
        <v>392.7120642361163</v>
      </c>
      <c r="M115" s="51">
        <v>4.7066199209496027</v>
      </c>
      <c r="N115" s="51">
        <f>(J115*10)/I115</f>
        <v>0</v>
      </c>
      <c r="O115" s="51">
        <f>(K115*10)/I115</f>
        <v>4.7066199209496027</v>
      </c>
      <c r="P115" s="51">
        <f>J115/G115*10^7/10^3</f>
        <v>0</v>
      </c>
      <c r="Q115" s="51">
        <f>K115/I115*10</f>
        <v>4.7066199209496027</v>
      </c>
    </row>
    <row r="116" spans="1:17" x14ac:dyDescent="0.35">
      <c r="A116" s="51" t="s">
        <v>529</v>
      </c>
      <c r="C116" s="99" t="s">
        <v>351</v>
      </c>
      <c r="F116" s="107">
        <v>28</v>
      </c>
      <c r="G116" s="51">
        <v>91.000000000000014</v>
      </c>
      <c r="H116" s="51">
        <f>G116/F116*100</f>
        <v>325.00000000000006</v>
      </c>
      <c r="I116" s="51">
        <v>457.78824000000009</v>
      </c>
      <c r="J116" s="51">
        <v>0</v>
      </c>
      <c r="K116" s="51">
        <v>117.96769250938338</v>
      </c>
      <c r="L116" s="51">
        <v>117.96769250938338</v>
      </c>
      <c r="M116" s="51">
        <v>2.576905263214786</v>
      </c>
      <c r="N116" s="51">
        <f>(J116*10)/I116</f>
        <v>0</v>
      </c>
      <c r="O116" s="51">
        <f>(K116*10)/I116</f>
        <v>2.576905263214786</v>
      </c>
      <c r="P116" s="51">
        <f>J116/G116*10^7/10^3</f>
        <v>0</v>
      </c>
      <c r="Q116" s="51">
        <f>K116/I116*10</f>
        <v>2.576905263214786</v>
      </c>
    </row>
    <row r="117" spans="1:17" x14ac:dyDescent="0.35">
      <c r="A117" s="51" t="s">
        <v>530</v>
      </c>
      <c r="C117" s="99" t="s">
        <v>351</v>
      </c>
      <c r="D117" s="51">
        <v>570</v>
      </c>
      <c r="E117" s="76">
        <v>0</v>
      </c>
      <c r="F117" s="51">
        <v>28</v>
      </c>
      <c r="G117" s="51">
        <v>70</v>
      </c>
      <c r="H117" s="51">
        <f>G117/F117*100</f>
        <v>250</v>
      </c>
      <c r="I117" s="51">
        <v>361.78800000000001</v>
      </c>
      <c r="J117" s="51">
        <v>59.856611807999997</v>
      </c>
      <c r="K117" s="51">
        <v>132.03770438404933</v>
      </c>
      <c r="L117" s="51">
        <v>191.89431619204933</v>
      </c>
      <c r="M117" s="51">
        <v>5.3040542027941591</v>
      </c>
      <c r="N117" s="51">
        <f>(J117*10)/I117</f>
        <v>1.6544664778267937</v>
      </c>
      <c r="O117" s="51">
        <f>(K117*10)/I117</f>
        <v>3.6495877249673656</v>
      </c>
      <c r="P117" s="51">
        <f>J117/G117*10^7/10^3</f>
        <v>8550.944544</v>
      </c>
      <c r="Q117" s="51">
        <f>K117/I117*10</f>
        <v>3.6495877249673656</v>
      </c>
    </row>
    <row r="118" spans="1:17" x14ac:dyDescent="0.35">
      <c r="C118" s="99"/>
      <c r="D118" s="51">
        <f>SUM(D115:D117)</f>
        <v>1443.7</v>
      </c>
      <c r="G118" s="51">
        <f t="shared" ref="G118:L118" si="24">SUM(G115:G117)</f>
        <v>271.98</v>
      </c>
      <c r="H118" s="51">
        <f t="shared" si="24"/>
        <v>971.35714285714289</v>
      </c>
      <c r="I118" s="51">
        <f t="shared" si="24"/>
        <v>1653.958601082777</v>
      </c>
      <c r="J118" s="51">
        <f t="shared" si="24"/>
        <v>59.856611807999997</v>
      </c>
      <c r="K118" s="51">
        <f t="shared" si="24"/>
        <v>642.71746112954906</v>
      </c>
      <c r="L118" s="51">
        <f t="shared" si="24"/>
        <v>702.57407293754898</v>
      </c>
      <c r="P118" s="78">
        <f>J118/G118*10^7/10^3</f>
        <v>2200.7725497463048</v>
      </c>
      <c r="Q118" s="78">
        <f>K118/I118*10</f>
        <v>3.8859343922440925</v>
      </c>
    </row>
    <row r="120" spans="1:17" x14ac:dyDescent="0.35">
      <c r="A120" s="51" t="s">
        <v>452</v>
      </c>
      <c r="C120" s="51" t="s">
        <v>314</v>
      </c>
      <c r="D120" s="51">
        <v>97</v>
      </c>
      <c r="F120" s="107">
        <v>28</v>
      </c>
      <c r="G120" s="51">
        <v>27.160000000000004</v>
      </c>
      <c r="H120" s="51">
        <f>G120/F120*100</f>
        <v>97.000000000000014</v>
      </c>
      <c r="I120" s="51">
        <v>228.35727777002316</v>
      </c>
      <c r="J120" s="51">
        <v>0</v>
      </c>
      <c r="K120" s="51">
        <v>154.77148407872232</v>
      </c>
      <c r="L120" s="51">
        <v>154.77148407872232</v>
      </c>
      <c r="M120" s="51">
        <v>6.7776024302843316</v>
      </c>
      <c r="N120" s="51">
        <f>(J120*10)/I120</f>
        <v>0</v>
      </c>
      <c r="O120" s="51">
        <f>(K120*10)/I120</f>
        <v>6.7776024302843316</v>
      </c>
      <c r="P120" s="78">
        <f>J120/G120*10^7/10^3</f>
        <v>0</v>
      </c>
      <c r="Q120" s="78">
        <f>K120/I120*10</f>
        <v>6.7776024302843316</v>
      </c>
    </row>
    <row r="126" spans="1:17" x14ac:dyDescent="0.35">
      <c r="A126" s="51" t="s">
        <v>526</v>
      </c>
    </row>
    <row r="127" spans="1:17" x14ac:dyDescent="0.35">
      <c r="A127" s="51" t="s">
        <v>527</v>
      </c>
      <c r="C127" s="51" t="s">
        <v>528</v>
      </c>
      <c r="D127" s="51">
        <v>60</v>
      </c>
      <c r="E127" s="76">
        <v>1</v>
      </c>
      <c r="F127" s="51">
        <v>28</v>
      </c>
      <c r="G127" s="51">
        <v>16.8</v>
      </c>
      <c r="H127" s="51">
        <f>G127/F127*100</f>
        <v>60</v>
      </c>
      <c r="I127" s="51">
        <v>6.9192875024000005</v>
      </c>
      <c r="J127" s="51">
        <v>0</v>
      </c>
      <c r="K127" s="51">
        <v>3.4596437680000003</v>
      </c>
      <c r="L127" s="51">
        <v>3.4596437680000003</v>
      </c>
      <c r="M127" s="51">
        <v>5.0000000242799567</v>
      </c>
      <c r="N127" s="51">
        <f>(J127*10)/I127</f>
        <v>0</v>
      </c>
      <c r="O127" s="51">
        <f>(K127*10)/I127</f>
        <v>5.0000000242799567</v>
      </c>
      <c r="P127" s="78">
        <f>J127/G127*10^7/10^3</f>
        <v>0</v>
      </c>
      <c r="Q127" s="78">
        <f>K127/I127*10</f>
        <v>5.0000000242799567</v>
      </c>
    </row>
  </sheetData>
  <mergeCells count="1">
    <mergeCell ref="B18:E18"/>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24"/>
  <sheetViews>
    <sheetView zoomScaleNormal="100" workbookViewId="0"/>
  </sheetViews>
  <sheetFormatPr defaultColWidth="9.26953125" defaultRowHeight="14.5" x14ac:dyDescent="0.35"/>
  <cols>
    <col min="1" max="1" width="23.7265625" style="83" customWidth="1"/>
    <col min="2" max="2" width="12.26953125" style="83" customWidth="1"/>
    <col min="3" max="16384" width="9.26953125" style="83"/>
  </cols>
  <sheetData>
    <row r="1" spans="1:8" s="51" customFormat="1" ht="29" x14ac:dyDescent="0.35">
      <c r="A1" s="50" t="s">
        <v>157</v>
      </c>
      <c r="B1" s="50" t="s">
        <v>180</v>
      </c>
      <c r="C1" s="50" t="s">
        <v>146</v>
      </c>
      <c r="D1" s="50" t="s">
        <v>703</v>
      </c>
      <c r="E1" s="50" t="s">
        <v>738</v>
      </c>
      <c r="F1" s="50" t="s">
        <v>182</v>
      </c>
      <c r="G1" s="50" t="s">
        <v>142</v>
      </c>
    </row>
    <row r="2" spans="1:8" s="51" customFormat="1" ht="15" customHeight="1" x14ac:dyDescent="0.35">
      <c r="A2" s="63" t="s">
        <v>143</v>
      </c>
      <c r="B2" s="63" t="s">
        <v>750</v>
      </c>
      <c r="C2" s="108">
        <f>D51</f>
        <v>9247.8099999999977</v>
      </c>
      <c r="D2" s="108">
        <f>E51</f>
        <v>50607.880000000012</v>
      </c>
      <c r="E2" s="108">
        <f>F51</f>
        <v>6519.9299999999994</v>
      </c>
      <c r="F2" s="106">
        <f>E2/C2*10^7/10^3</f>
        <v>7050.2421654424134</v>
      </c>
      <c r="G2" s="73">
        <f>H51</f>
        <v>2.5961134906263608</v>
      </c>
      <c r="H2" s="52"/>
    </row>
    <row r="3" spans="1:8" s="51" customFormat="1" x14ac:dyDescent="0.35">
      <c r="A3" s="63" t="s">
        <v>144</v>
      </c>
      <c r="B3" s="63" t="s">
        <v>750</v>
      </c>
      <c r="C3" s="108">
        <f>D65</f>
        <v>9026.1</v>
      </c>
      <c r="D3" s="108">
        <f>E65</f>
        <v>52753.130000000005</v>
      </c>
      <c r="E3" s="108">
        <f>F65</f>
        <v>7843.0499999999993</v>
      </c>
      <c r="F3" s="106">
        <f t="shared" ref="F3:F9" si="0">E3/C3*10^7/10^3</f>
        <v>8689.3010270216364</v>
      </c>
      <c r="G3" s="73">
        <f>H65</f>
        <v>2.4569613215367503</v>
      </c>
      <c r="H3" s="52"/>
    </row>
    <row r="4" spans="1:8" s="51" customFormat="1" x14ac:dyDescent="0.35">
      <c r="A4" s="63" t="s">
        <v>1612</v>
      </c>
      <c r="B4" s="63" t="s">
        <v>750</v>
      </c>
      <c r="C4" s="108">
        <f>D67</f>
        <v>18273.909999999996</v>
      </c>
      <c r="D4" s="108">
        <f>E67</f>
        <v>103361.01000000001</v>
      </c>
      <c r="E4" s="108">
        <f>F67</f>
        <v>14362.98</v>
      </c>
      <c r="F4" s="106">
        <f t="shared" si="0"/>
        <v>7859.8285752748052</v>
      </c>
      <c r="G4" s="73">
        <f>H67</f>
        <v>2.5250933596720855</v>
      </c>
      <c r="H4" s="98"/>
    </row>
    <row r="5" spans="1:8" s="51" customFormat="1" x14ac:dyDescent="0.35">
      <c r="A5" s="45" t="s">
        <v>1613</v>
      </c>
      <c r="B5" s="63" t="s">
        <v>750</v>
      </c>
      <c r="C5" s="106">
        <f>D75</f>
        <v>576.94000000000005</v>
      </c>
      <c r="D5" s="106">
        <f>E75</f>
        <v>354.8</v>
      </c>
      <c r="E5" s="106">
        <f>F75</f>
        <v>63.819999999999993</v>
      </c>
      <c r="F5" s="106">
        <f t="shared" si="0"/>
        <v>1106.1808853606958</v>
      </c>
      <c r="G5" s="44">
        <f>H75</f>
        <v>2.9357384441939116</v>
      </c>
    </row>
    <row r="6" spans="1:8" s="51" customFormat="1" x14ac:dyDescent="0.35">
      <c r="A6" s="45" t="s">
        <v>1614</v>
      </c>
      <c r="B6" s="63" t="s">
        <v>750</v>
      </c>
      <c r="C6" s="157">
        <v>0</v>
      </c>
      <c r="D6" s="157">
        <v>0</v>
      </c>
      <c r="E6" s="157">
        <v>0</v>
      </c>
      <c r="F6" s="106">
        <v>0</v>
      </c>
      <c r="G6" s="77">
        <v>0</v>
      </c>
    </row>
    <row r="7" spans="1:8" s="51" customFormat="1" x14ac:dyDescent="0.35">
      <c r="A7" s="45" t="s">
        <v>1615</v>
      </c>
      <c r="B7" s="63" t="s">
        <v>750</v>
      </c>
      <c r="C7" s="106">
        <f>D120</f>
        <v>329.12</v>
      </c>
      <c r="D7" s="106">
        <f>E120</f>
        <v>2196.67</v>
      </c>
      <c r="E7" s="106">
        <f>F120</f>
        <v>0</v>
      </c>
      <c r="F7" s="106">
        <f t="shared" si="0"/>
        <v>0</v>
      </c>
      <c r="G7" s="44">
        <f>H120</f>
        <v>3.1850938010716217</v>
      </c>
    </row>
    <row r="8" spans="1:8" s="51" customFormat="1" x14ac:dyDescent="0.35">
      <c r="A8" s="45" t="s">
        <v>1604</v>
      </c>
      <c r="B8" s="63" t="s">
        <v>750</v>
      </c>
      <c r="C8" s="106">
        <f>D106</f>
        <v>3382.23</v>
      </c>
      <c r="D8" s="106">
        <f>E106</f>
        <v>13041.439999999999</v>
      </c>
      <c r="E8" s="106">
        <f>F106</f>
        <v>2082.5800000000004</v>
      </c>
      <c r="F8" s="106">
        <f t="shared" si="0"/>
        <v>6157.4168521951506</v>
      </c>
      <c r="G8" s="44">
        <f>H106</f>
        <v>1.6460835613245164</v>
      </c>
    </row>
    <row r="9" spans="1:8" s="51" customFormat="1" x14ac:dyDescent="0.35">
      <c r="A9" s="45" t="s">
        <v>1603</v>
      </c>
      <c r="B9" s="63" t="s">
        <v>750</v>
      </c>
      <c r="C9" s="106">
        <f>D113</f>
        <v>23.3</v>
      </c>
      <c r="D9" s="106">
        <f>E113</f>
        <v>25.910000000000004</v>
      </c>
      <c r="E9" s="106">
        <f>F113</f>
        <v>6.27</v>
      </c>
      <c r="F9" s="106">
        <f t="shared" si="0"/>
        <v>2690.9871244635192</v>
      </c>
      <c r="G9" s="44">
        <f>H113</f>
        <v>0</v>
      </c>
    </row>
    <row r="10" spans="1:8" s="51" customFormat="1" x14ac:dyDescent="0.35">
      <c r="A10" s="45" t="s">
        <v>1605</v>
      </c>
      <c r="B10" s="63" t="s">
        <v>750</v>
      </c>
      <c r="C10" s="106">
        <f>D122</f>
        <v>2057.6733333333332</v>
      </c>
      <c r="D10" s="106">
        <f>E122</f>
        <v>3412.33</v>
      </c>
      <c r="E10" s="106">
        <f>F122</f>
        <v>0</v>
      </c>
      <c r="F10" s="106">
        <f>G122</f>
        <v>0</v>
      </c>
      <c r="G10" s="45">
        <f>H122</f>
        <v>5.18</v>
      </c>
    </row>
    <row r="11" spans="1:8" s="51" customFormat="1" x14ac:dyDescent="0.35">
      <c r="A11" s="45" t="s">
        <v>1636</v>
      </c>
      <c r="B11" s="63" t="s">
        <v>750</v>
      </c>
      <c r="C11" s="106">
        <f>D124</f>
        <v>649.01</v>
      </c>
      <c r="D11" s="106">
        <f>E124</f>
        <v>553.14</v>
      </c>
      <c r="E11" s="106">
        <f>F124</f>
        <v>0</v>
      </c>
      <c r="F11" s="106">
        <f>G124</f>
        <v>0</v>
      </c>
      <c r="G11" s="45">
        <f>H124</f>
        <v>6.46</v>
      </c>
    </row>
    <row r="12" spans="1:8" s="51" customFormat="1" x14ac:dyDescent="0.35">
      <c r="A12" s="45" t="s">
        <v>145</v>
      </c>
      <c r="B12" s="63" t="s">
        <v>750</v>
      </c>
      <c r="C12" s="106">
        <v>0</v>
      </c>
      <c r="D12" s="106">
        <v>0</v>
      </c>
      <c r="E12" s="106">
        <v>0</v>
      </c>
      <c r="F12" s="106">
        <v>0</v>
      </c>
      <c r="G12" s="45">
        <v>0</v>
      </c>
    </row>
    <row r="13" spans="1:8" s="51" customFormat="1" x14ac:dyDescent="0.35">
      <c r="A13" s="45" t="s">
        <v>1606</v>
      </c>
      <c r="B13" s="63" t="s">
        <v>750</v>
      </c>
      <c r="C13" s="106">
        <v>0</v>
      </c>
      <c r="D13" s="106">
        <v>0</v>
      </c>
      <c r="E13" s="106">
        <v>0</v>
      </c>
      <c r="F13" s="106">
        <v>0</v>
      </c>
      <c r="G13" s="45">
        <v>0</v>
      </c>
    </row>
    <row r="14" spans="1:8" s="51" customFormat="1" x14ac:dyDescent="0.35"/>
    <row r="15" spans="1:8" s="51" customFormat="1" x14ac:dyDescent="0.35"/>
    <row r="17" spans="1:24" s="51" customFormat="1" x14ac:dyDescent="0.35">
      <c r="A17" s="53" t="s">
        <v>49</v>
      </c>
      <c r="B17" s="82" t="s">
        <v>531</v>
      </c>
    </row>
    <row r="18" spans="1:24" s="51" customFormat="1" x14ac:dyDescent="0.35">
      <c r="A18" s="54" t="s">
        <v>50</v>
      </c>
      <c r="B18" s="55" t="s">
        <v>532</v>
      </c>
      <c r="C18" s="55"/>
      <c r="D18" s="55"/>
      <c r="E18" s="55"/>
      <c r="F18" s="55"/>
      <c r="G18" s="55"/>
    </row>
    <row r="19" spans="1:24" s="51" customFormat="1" ht="15" customHeight="1" x14ac:dyDescent="0.35">
      <c r="A19" s="54" t="s">
        <v>47</v>
      </c>
      <c r="B19" s="802" t="s">
        <v>990</v>
      </c>
      <c r="C19" s="802"/>
      <c r="D19" s="802"/>
      <c r="E19" s="802"/>
      <c r="F19" s="56"/>
      <c r="G19" s="56"/>
      <c r="H19" s="56"/>
    </row>
    <row r="20" spans="1:24" s="51" customFormat="1" x14ac:dyDescent="0.35">
      <c r="A20" s="54" t="s">
        <v>140</v>
      </c>
      <c r="B20" s="54" t="s">
        <v>48</v>
      </c>
    </row>
    <row r="21" spans="1:24" s="51" customFormat="1" x14ac:dyDescent="0.35">
      <c r="A21" s="54"/>
      <c r="B21" s="54"/>
    </row>
    <row r="22" spans="1:24" x14ac:dyDescent="0.35">
      <c r="A22" s="161" t="s">
        <v>533</v>
      </c>
      <c r="B22" s="161" t="s">
        <v>534</v>
      </c>
      <c r="C22" s="161"/>
      <c r="D22" s="161" t="s">
        <v>535</v>
      </c>
      <c r="E22" s="161" t="s">
        <v>536</v>
      </c>
      <c r="F22" s="803" t="s">
        <v>537</v>
      </c>
      <c r="G22" s="803"/>
      <c r="H22" s="803" t="s">
        <v>538</v>
      </c>
      <c r="I22" s="803"/>
      <c r="J22" s="803" t="s">
        <v>539</v>
      </c>
      <c r="K22" s="803"/>
      <c r="N22" s="84"/>
      <c r="O22" s="84"/>
      <c r="P22" s="84"/>
      <c r="Q22" s="84"/>
      <c r="R22" s="84"/>
      <c r="S22" s="84"/>
      <c r="T22" s="84"/>
      <c r="U22" s="84"/>
      <c r="V22" s="84"/>
      <c r="W22" s="84"/>
      <c r="X22" s="84"/>
    </row>
    <row r="23" spans="1:24" x14ac:dyDescent="0.35">
      <c r="A23" s="161"/>
      <c r="B23" s="161"/>
      <c r="C23" s="161"/>
      <c r="D23" s="161"/>
      <c r="E23" s="161"/>
      <c r="F23" s="161" t="s">
        <v>541</v>
      </c>
      <c r="G23" s="161" t="s">
        <v>540</v>
      </c>
      <c r="H23" s="161" t="s">
        <v>540</v>
      </c>
      <c r="I23" s="161" t="s">
        <v>541</v>
      </c>
      <c r="J23" s="161" t="s">
        <v>540</v>
      </c>
      <c r="K23" s="161" t="s">
        <v>541</v>
      </c>
      <c r="Q23" s="85"/>
      <c r="U23" s="85"/>
      <c r="V23" s="85"/>
      <c r="W23" s="85"/>
      <c r="X23" s="85"/>
    </row>
    <row r="24" spans="1:24" x14ac:dyDescent="0.35">
      <c r="A24" s="159" t="s">
        <v>542</v>
      </c>
      <c r="B24" s="159" t="s">
        <v>274</v>
      </c>
      <c r="C24" s="159" t="s">
        <v>273</v>
      </c>
      <c r="D24" s="164">
        <v>630</v>
      </c>
      <c r="E24" s="164">
        <v>3534.79</v>
      </c>
      <c r="F24" s="164">
        <v>279.52</v>
      </c>
      <c r="G24" s="159">
        <v>0.79</v>
      </c>
      <c r="H24" s="159">
        <v>2.08</v>
      </c>
      <c r="I24" s="164">
        <v>735.86</v>
      </c>
      <c r="J24" s="159">
        <v>2.87</v>
      </c>
      <c r="K24" s="164">
        <v>1015.38</v>
      </c>
      <c r="Q24" s="85"/>
      <c r="U24" s="85"/>
      <c r="V24" s="85"/>
      <c r="W24" s="85"/>
      <c r="X24" s="85"/>
    </row>
    <row r="25" spans="1:24" x14ac:dyDescent="0.35">
      <c r="A25" s="159" t="s">
        <v>543</v>
      </c>
      <c r="B25" s="159" t="s">
        <v>274</v>
      </c>
      <c r="C25" s="159" t="s">
        <v>273</v>
      </c>
      <c r="D25" s="164">
        <v>1000</v>
      </c>
      <c r="E25" s="164">
        <v>7055.09</v>
      </c>
      <c r="F25" s="164">
        <v>472.83</v>
      </c>
      <c r="G25" s="159">
        <v>0.67</v>
      </c>
      <c r="H25" s="159">
        <v>2.02</v>
      </c>
      <c r="I25" s="164">
        <v>1422.36</v>
      </c>
      <c r="J25" s="159">
        <v>2.69</v>
      </c>
      <c r="K25" s="164">
        <v>1895.19</v>
      </c>
    </row>
    <row r="26" spans="1:24" x14ac:dyDescent="0.35">
      <c r="A26" s="165" t="s">
        <v>544</v>
      </c>
      <c r="B26" s="159" t="s">
        <v>274</v>
      </c>
      <c r="C26" s="159" t="s">
        <v>273</v>
      </c>
      <c r="D26" s="164">
        <v>105</v>
      </c>
      <c r="E26" s="164">
        <v>205.81</v>
      </c>
      <c r="F26" s="164">
        <v>48.42</v>
      </c>
      <c r="G26" s="159">
        <v>2.35</v>
      </c>
      <c r="H26" s="159">
        <v>4.84</v>
      </c>
      <c r="I26" s="164">
        <v>99.6</v>
      </c>
      <c r="J26" s="159">
        <v>7.19</v>
      </c>
      <c r="K26" s="164">
        <v>148.02000000000001</v>
      </c>
    </row>
    <row r="27" spans="1:24" x14ac:dyDescent="0.35">
      <c r="A27" s="159" t="s">
        <v>545</v>
      </c>
      <c r="B27" s="159" t="s">
        <v>274</v>
      </c>
      <c r="C27" s="159" t="s">
        <v>273</v>
      </c>
      <c r="D27" s="164">
        <v>194</v>
      </c>
      <c r="E27" s="164">
        <v>39.549999999999997</v>
      </c>
      <c r="F27" s="164">
        <v>10.24</v>
      </c>
      <c r="G27" s="159">
        <v>2.59</v>
      </c>
      <c r="H27" s="159">
        <v>2.35</v>
      </c>
      <c r="I27" s="164">
        <v>9.2799999999999994</v>
      </c>
      <c r="J27" s="159">
        <v>4.9400000000000004</v>
      </c>
      <c r="K27" s="164">
        <v>19.52</v>
      </c>
    </row>
    <row r="28" spans="1:24" x14ac:dyDescent="0.35">
      <c r="A28" s="159" t="s">
        <v>546</v>
      </c>
      <c r="B28" s="159" t="s">
        <v>274</v>
      </c>
      <c r="C28" s="159" t="s">
        <v>273</v>
      </c>
      <c r="D28" s="164">
        <v>1000</v>
      </c>
      <c r="E28" s="164">
        <v>2768.6</v>
      </c>
      <c r="F28" s="164">
        <v>191.92</v>
      </c>
      <c r="G28" s="159">
        <v>0.69</v>
      </c>
      <c r="H28" s="159">
        <v>2.27</v>
      </c>
      <c r="I28" s="164">
        <v>629.54</v>
      </c>
      <c r="J28" s="159">
        <v>2.97</v>
      </c>
      <c r="K28" s="164">
        <v>821.46</v>
      </c>
    </row>
    <row r="29" spans="1:24" x14ac:dyDescent="0.35">
      <c r="A29" s="159" t="s">
        <v>547</v>
      </c>
      <c r="B29" s="159" t="s">
        <v>274</v>
      </c>
      <c r="C29" s="159" t="s">
        <v>273</v>
      </c>
      <c r="D29" s="164">
        <v>210</v>
      </c>
      <c r="E29" s="164">
        <v>232.3</v>
      </c>
      <c r="F29" s="164">
        <v>37.840000000000003</v>
      </c>
      <c r="G29" s="159">
        <v>1.63</v>
      </c>
      <c r="H29" s="159">
        <v>3.88</v>
      </c>
      <c r="I29" s="164">
        <v>90.06</v>
      </c>
      <c r="J29" s="159">
        <v>5.51</v>
      </c>
      <c r="K29" s="164">
        <v>127.9</v>
      </c>
    </row>
    <row r="30" spans="1:24" x14ac:dyDescent="0.35">
      <c r="A30" s="159" t="s">
        <v>548</v>
      </c>
      <c r="B30" s="159" t="s">
        <v>274</v>
      </c>
      <c r="C30" s="159" t="s">
        <v>273</v>
      </c>
      <c r="D30" s="164">
        <v>220</v>
      </c>
      <c r="E30" s="164">
        <v>172.1</v>
      </c>
      <c r="F30" s="164">
        <v>18.190000000000001</v>
      </c>
      <c r="G30" s="159">
        <v>1.06</v>
      </c>
      <c r="H30" s="159">
        <v>4.1900000000000004</v>
      </c>
      <c r="I30" s="164">
        <v>72.19</v>
      </c>
      <c r="J30" s="159">
        <v>5.25</v>
      </c>
      <c r="K30" s="164">
        <v>90.38</v>
      </c>
    </row>
    <row r="31" spans="1:24" x14ac:dyDescent="0.35">
      <c r="A31" s="159" t="s">
        <v>549</v>
      </c>
      <c r="B31" s="159" t="s">
        <v>274</v>
      </c>
      <c r="C31" s="159" t="s">
        <v>273</v>
      </c>
      <c r="D31" s="164">
        <v>420</v>
      </c>
      <c r="E31" s="164">
        <v>2410.61</v>
      </c>
      <c r="F31" s="164">
        <v>324.36</v>
      </c>
      <c r="G31" s="159">
        <v>1.35</v>
      </c>
      <c r="H31" s="159">
        <v>3.53</v>
      </c>
      <c r="I31" s="164">
        <v>851.47</v>
      </c>
      <c r="J31" s="159">
        <v>4.88</v>
      </c>
      <c r="K31" s="164">
        <v>1175.83</v>
      </c>
    </row>
    <row r="32" spans="1:24" x14ac:dyDescent="0.35">
      <c r="A32" s="159" t="s">
        <v>550</v>
      </c>
      <c r="B32" s="159" t="s">
        <v>274</v>
      </c>
      <c r="C32" s="159" t="s">
        <v>273</v>
      </c>
      <c r="D32" s="164">
        <v>500</v>
      </c>
      <c r="E32" s="164">
        <v>2790.06</v>
      </c>
      <c r="F32" s="164">
        <v>505.24</v>
      </c>
      <c r="G32" s="159">
        <v>1.81</v>
      </c>
      <c r="H32" s="159">
        <v>3.53</v>
      </c>
      <c r="I32" s="164">
        <v>985.15</v>
      </c>
      <c r="J32" s="159">
        <v>5.34</v>
      </c>
      <c r="K32" s="164">
        <v>1490.38</v>
      </c>
    </row>
    <row r="33" spans="1:11" x14ac:dyDescent="0.35">
      <c r="A33" s="159" t="s">
        <v>551</v>
      </c>
      <c r="B33" s="159" t="s">
        <v>274</v>
      </c>
      <c r="C33" s="159" t="s">
        <v>273</v>
      </c>
      <c r="D33" s="164">
        <v>500</v>
      </c>
      <c r="E33" s="164">
        <v>2790.06</v>
      </c>
      <c r="F33" s="164">
        <v>548.96</v>
      </c>
      <c r="G33" s="159">
        <v>1.97</v>
      </c>
      <c r="H33" s="159">
        <v>3.82</v>
      </c>
      <c r="I33" s="164">
        <v>1065.8699999999999</v>
      </c>
      <c r="J33" s="159">
        <v>5.79</v>
      </c>
      <c r="K33" s="164">
        <v>1614.83</v>
      </c>
    </row>
    <row r="34" spans="1:11" x14ac:dyDescent="0.35">
      <c r="A34" s="159" t="s">
        <v>552</v>
      </c>
      <c r="B34" s="159" t="s">
        <v>489</v>
      </c>
      <c r="C34" s="159" t="s">
        <v>553</v>
      </c>
      <c r="D34" s="164">
        <v>135</v>
      </c>
      <c r="E34" s="164">
        <v>874.29</v>
      </c>
      <c r="F34" s="164">
        <v>131.36000000000001</v>
      </c>
      <c r="G34" s="159">
        <v>1.5</v>
      </c>
      <c r="H34" s="159">
        <v>3.28</v>
      </c>
      <c r="I34" s="164">
        <v>286.48</v>
      </c>
      <c r="J34" s="159">
        <v>4.78</v>
      </c>
      <c r="K34" s="164">
        <v>417.84</v>
      </c>
    </row>
    <row r="35" spans="1:11" x14ac:dyDescent="0.35">
      <c r="A35" s="159" t="s">
        <v>554</v>
      </c>
      <c r="B35" s="159" t="s">
        <v>274</v>
      </c>
      <c r="C35" s="159" t="s">
        <v>553</v>
      </c>
      <c r="D35" s="164">
        <v>360</v>
      </c>
      <c r="E35" s="164">
        <v>2414.63</v>
      </c>
      <c r="F35" s="164">
        <v>204.41</v>
      </c>
      <c r="G35" s="159">
        <v>0.85</v>
      </c>
      <c r="H35" s="159">
        <v>1.85</v>
      </c>
      <c r="I35" s="164">
        <v>447.49</v>
      </c>
      <c r="J35" s="159">
        <v>2.7</v>
      </c>
      <c r="K35" s="164">
        <v>651.9</v>
      </c>
    </row>
    <row r="36" spans="1:11" x14ac:dyDescent="0.35">
      <c r="A36" s="159" t="s">
        <v>555</v>
      </c>
      <c r="B36" s="159" t="s">
        <v>274</v>
      </c>
      <c r="C36" s="159" t="s">
        <v>553</v>
      </c>
      <c r="D36" s="164">
        <v>333.2</v>
      </c>
      <c r="E36" s="164">
        <v>2751</v>
      </c>
      <c r="F36" s="164">
        <v>197.59</v>
      </c>
      <c r="G36" s="159">
        <v>0.72</v>
      </c>
      <c r="H36" s="159">
        <v>1.68</v>
      </c>
      <c r="I36" s="164">
        <v>462.77</v>
      </c>
      <c r="J36" s="159">
        <v>2.4</v>
      </c>
      <c r="K36" s="164">
        <v>660.36</v>
      </c>
    </row>
    <row r="37" spans="1:11" x14ac:dyDescent="0.35">
      <c r="A37" s="159" t="s">
        <v>556</v>
      </c>
      <c r="B37" s="159" t="s">
        <v>489</v>
      </c>
      <c r="C37" s="159" t="s">
        <v>553</v>
      </c>
      <c r="D37" s="164">
        <v>84</v>
      </c>
      <c r="E37" s="164">
        <v>538.63</v>
      </c>
      <c r="F37" s="164">
        <v>46.18</v>
      </c>
      <c r="G37" s="159">
        <v>0.86</v>
      </c>
      <c r="H37" s="159">
        <v>3.54</v>
      </c>
      <c r="I37" s="164">
        <v>190.56</v>
      </c>
      <c r="J37" s="159">
        <v>4.4000000000000004</v>
      </c>
      <c r="K37" s="164">
        <v>236.75</v>
      </c>
    </row>
    <row r="38" spans="1:11" x14ac:dyDescent="0.35">
      <c r="A38" s="159" t="s">
        <v>557</v>
      </c>
      <c r="B38" s="159" t="s">
        <v>489</v>
      </c>
      <c r="C38" s="159" t="s">
        <v>553</v>
      </c>
      <c r="D38" s="164">
        <v>255.53</v>
      </c>
      <c r="E38" s="164">
        <v>1670.31</v>
      </c>
      <c r="F38" s="164">
        <v>165.23</v>
      </c>
      <c r="G38" s="159">
        <v>0.99</v>
      </c>
      <c r="H38" s="159">
        <v>3.07</v>
      </c>
      <c r="I38" s="164">
        <v>512.92999999999995</v>
      </c>
      <c r="J38" s="159">
        <v>4.0599999999999996</v>
      </c>
      <c r="K38" s="164">
        <v>678.16</v>
      </c>
    </row>
    <row r="39" spans="1:11" x14ac:dyDescent="0.35">
      <c r="A39" s="159" t="s">
        <v>558</v>
      </c>
      <c r="B39" s="159" t="s">
        <v>489</v>
      </c>
      <c r="C39" s="159" t="s">
        <v>553</v>
      </c>
      <c r="D39" s="164">
        <v>146.29</v>
      </c>
      <c r="E39" s="164">
        <v>1142.81</v>
      </c>
      <c r="F39" s="164">
        <v>86.68</v>
      </c>
      <c r="G39" s="159">
        <v>0.76</v>
      </c>
      <c r="H39" s="159">
        <v>3.09</v>
      </c>
      <c r="I39" s="164">
        <v>352.57</v>
      </c>
      <c r="J39" s="159">
        <v>3.84</v>
      </c>
      <c r="K39" s="164">
        <v>439.25</v>
      </c>
    </row>
    <row r="40" spans="1:11" x14ac:dyDescent="0.35">
      <c r="A40" s="159" t="s">
        <v>559</v>
      </c>
      <c r="B40" s="159" t="s">
        <v>489</v>
      </c>
      <c r="C40" s="159" t="s">
        <v>553</v>
      </c>
      <c r="D40" s="164">
        <v>71.55</v>
      </c>
      <c r="E40" s="164">
        <v>570.34</v>
      </c>
      <c r="F40" s="164">
        <v>60.86</v>
      </c>
      <c r="G40" s="159">
        <v>1.07</v>
      </c>
      <c r="H40" s="159">
        <v>3.36</v>
      </c>
      <c r="I40" s="164">
        <v>191.73</v>
      </c>
      <c r="J40" s="159">
        <v>4.43</v>
      </c>
      <c r="K40" s="164">
        <v>252.6</v>
      </c>
    </row>
    <row r="41" spans="1:11" x14ac:dyDescent="0.35">
      <c r="A41" s="159" t="s">
        <v>560</v>
      </c>
      <c r="B41" s="159" t="s">
        <v>489</v>
      </c>
      <c r="C41" s="159" t="s">
        <v>553</v>
      </c>
      <c r="D41" s="164">
        <v>33.28</v>
      </c>
      <c r="E41" s="164">
        <v>230.61</v>
      </c>
      <c r="F41" s="164">
        <v>19.600000000000001</v>
      </c>
      <c r="G41" s="159">
        <v>0.85</v>
      </c>
      <c r="H41" s="159">
        <v>2.77</v>
      </c>
      <c r="I41" s="164">
        <v>63.91</v>
      </c>
      <c r="J41" s="159">
        <v>3.62</v>
      </c>
      <c r="K41" s="164">
        <v>83.51</v>
      </c>
    </row>
    <row r="42" spans="1:11" x14ac:dyDescent="0.35">
      <c r="A42" s="159" t="s">
        <v>561</v>
      </c>
      <c r="B42" s="159" t="s">
        <v>489</v>
      </c>
      <c r="C42" s="159" t="s">
        <v>553</v>
      </c>
      <c r="D42" s="164">
        <v>76.61</v>
      </c>
      <c r="E42" s="164">
        <v>549.62</v>
      </c>
      <c r="F42" s="164">
        <v>53.18</v>
      </c>
      <c r="G42" s="159">
        <v>0.97</v>
      </c>
      <c r="H42" s="159">
        <v>2.6</v>
      </c>
      <c r="I42" s="164">
        <v>143.07</v>
      </c>
      <c r="J42" s="159">
        <v>3.57</v>
      </c>
      <c r="K42" s="164">
        <v>196.24</v>
      </c>
    </row>
    <row r="43" spans="1:11" x14ac:dyDescent="0.35">
      <c r="A43" s="159" t="s">
        <v>562</v>
      </c>
      <c r="B43" s="159" t="s">
        <v>489</v>
      </c>
      <c r="C43" s="159" t="s">
        <v>553</v>
      </c>
      <c r="D43" s="164">
        <v>250.95</v>
      </c>
      <c r="E43" s="164">
        <v>1906.17</v>
      </c>
      <c r="F43" s="164">
        <v>193.33</v>
      </c>
      <c r="G43" s="159">
        <v>1.01</v>
      </c>
      <c r="H43" s="159">
        <v>2.33</v>
      </c>
      <c r="I43" s="164">
        <v>444.75</v>
      </c>
      <c r="J43" s="159">
        <v>3.35</v>
      </c>
      <c r="K43" s="164">
        <v>638.08000000000004</v>
      </c>
    </row>
    <row r="44" spans="1:11" x14ac:dyDescent="0.35">
      <c r="A44" s="159" t="s">
        <v>563</v>
      </c>
      <c r="B44" s="159" t="s">
        <v>274</v>
      </c>
      <c r="C44" s="159" t="s">
        <v>553</v>
      </c>
      <c r="D44" s="164">
        <v>361.4</v>
      </c>
      <c r="E44" s="164">
        <v>2823.32</v>
      </c>
      <c r="F44" s="164">
        <v>370.91</v>
      </c>
      <c r="G44" s="159">
        <v>1.31</v>
      </c>
      <c r="H44" s="159">
        <v>1.72</v>
      </c>
      <c r="I44" s="164">
        <v>486.03</v>
      </c>
      <c r="J44" s="159">
        <v>3.04</v>
      </c>
      <c r="K44" s="164">
        <v>856.95</v>
      </c>
    </row>
    <row r="45" spans="1:11" x14ac:dyDescent="0.35">
      <c r="A45" s="159" t="s">
        <v>564</v>
      </c>
      <c r="B45" s="159" t="s">
        <v>274</v>
      </c>
      <c r="C45" s="159" t="s">
        <v>565</v>
      </c>
      <c r="D45" s="164">
        <v>600</v>
      </c>
      <c r="E45" s="164">
        <v>3826.37</v>
      </c>
      <c r="F45" s="164">
        <v>632.58000000000004</v>
      </c>
      <c r="G45" s="159">
        <v>1.65</v>
      </c>
      <c r="H45" s="159">
        <v>3.27</v>
      </c>
      <c r="I45" s="164">
        <v>1250.69</v>
      </c>
      <c r="J45" s="159">
        <v>4.92</v>
      </c>
      <c r="K45" s="164">
        <v>1883.27</v>
      </c>
    </row>
    <row r="46" spans="1:11" x14ac:dyDescent="0.35">
      <c r="A46" s="159" t="s">
        <v>564</v>
      </c>
      <c r="B46" s="159" t="s">
        <v>274</v>
      </c>
      <c r="C46" s="159" t="s">
        <v>565</v>
      </c>
      <c r="D46" s="164">
        <v>600</v>
      </c>
      <c r="E46" s="164">
        <v>3826.37</v>
      </c>
      <c r="F46" s="164">
        <v>632.58000000000004</v>
      </c>
      <c r="G46" s="159">
        <v>1.65</v>
      </c>
      <c r="H46" s="159">
        <v>3.27</v>
      </c>
      <c r="I46" s="164">
        <v>1252.1600000000001</v>
      </c>
      <c r="J46" s="159">
        <v>4.93</v>
      </c>
      <c r="K46" s="164">
        <v>1884.74</v>
      </c>
    </row>
    <row r="47" spans="1:11" x14ac:dyDescent="0.35">
      <c r="A47" s="159" t="s">
        <v>566</v>
      </c>
      <c r="B47" s="159" t="s">
        <v>274</v>
      </c>
      <c r="C47" s="159" t="s">
        <v>565</v>
      </c>
      <c r="D47" s="164">
        <v>450</v>
      </c>
      <c r="E47" s="164">
        <v>606.96</v>
      </c>
      <c r="F47" s="164">
        <v>142</v>
      </c>
      <c r="G47" s="159">
        <v>2.34</v>
      </c>
      <c r="H47" s="159">
        <v>4.18</v>
      </c>
      <c r="I47" s="164">
        <v>253.89</v>
      </c>
      <c r="J47" s="159">
        <v>6.52</v>
      </c>
      <c r="K47" s="164">
        <v>395.89</v>
      </c>
    </row>
    <row r="48" spans="1:11" x14ac:dyDescent="0.35">
      <c r="A48" s="159" t="s">
        <v>618</v>
      </c>
      <c r="B48" s="163" t="s">
        <v>274</v>
      </c>
      <c r="C48" s="163" t="s">
        <v>273</v>
      </c>
      <c r="D48" s="159">
        <v>361</v>
      </c>
      <c r="E48" s="159">
        <v>2529.89</v>
      </c>
      <c r="F48" s="159">
        <v>672.92</v>
      </c>
      <c r="G48" s="159">
        <v>2.66</v>
      </c>
      <c r="H48" s="159">
        <v>1.44</v>
      </c>
      <c r="I48" s="159">
        <v>364.69</v>
      </c>
      <c r="J48" s="159">
        <v>4.0999999999999996</v>
      </c>
      <c r="K48" s="159">
        <v>1037.6099999999999</v>
      </c>
    </row>
    <row r="49" spans="1:24" x14ac:dyDescent="0.35">
      <c r="A49" s="83" t="s">
        <v>620</v>
      </c>
      <c r="B49" s="163" t="s">
        <v>274</v>
      </c>
      <c r="C49" s="163" t="s">
        <v>273</v>
      </c>
      <c r="D49" s="182" t="s">
        <v>129</v>
      </c>
      <c r="E49" s="83">
        <v>351.62</v>
      </c>
      <c r="F49" s="83" t="s">
        <v>129</v>
      </c>
      <c r="G49" s="83" t="s">
        <v>129</v>
      </c>
      <c r="H49" s="83">
        <v>5.12</v>
      </c>
      <c r="I49" s="83">
        <v>180.04</v>
      </c>
      <c r="J49" s="83">
        <v>5.12</v>
      </c>
      <c r="K49" s="83">
        <v>180.04</v>
      </c>
    </row>
    <row r="50" spans="1:24" x14ac:dyDescent="0.35">
      <c r="A50" s="159" t="s">
        <v>567</v>
      </c>
      <c r="B50" s="159" t="s">
        <v>274</v>
      </c>
      <c r="C50" s="159" t="s">
        <v>565</v>
      </c>
      <c r="D50" s="164">
        <v>350</v>
      </c>
      <c r="E50" s="164">
        <v>1995.97</v>
      </c>
      <c r="F50" s="164">
        <v>473</v>
      </c>
      <c r="G50" s="159">
        <v>2.37</v>
      </c>
      <c r="H50" s="159">
        <v>1.47</v>
      </c>
      <c r="I50" s="164">
        <v>293.24</v>
      </c>
      <c r="J50" s="159">
        <v>3.84</v>
      </c>
      <c r="K50" s="164">
        <v>766.23</v>
      </c>
    </row>
    <row r="51" spans="1:24" x14ac:dyDescent="0.35">
      <c r="A51" s="161" t="s">
        <v>991</v>
      </c>
      <c r="B51" s="161"/>
      <c r="C51" s="161"/>
      <c r="D51" s="166">
        <f>SUM(D24:D50)</f>
        <v>9247.8099999999977</v>
      </c>
      <c r="E51" s="166">
        <f>SUM(E24:E50)</f>
        <v>50607.880000000012</v>
      </c>
      <c r="F51" s="166">
        <f>SUM(F24:F50)</f>
        <v>6519.9299999999994</v>
      </c>
      <c r="G51" s="162">
        <f>F51/E51*10</f>
        <v>1.288323083282682</v>
      </c>
      <c r="H51" s="162">
        <f>I51/E51*10</f>
        <v>2.5961134906263608</v>
      </c>
      <c r="I51" s="166">
        <f>SUM(I24:I50)</f>
        <v>13138.380000000001</v>
      </c>
      <c r="J51" s="162">
        <f>K51/E51*10</f>
        <v>3.8844365739090425</v>
      </c>
      <c r="K51" s="166">
        <f>SUM(K24:K50)</f>
        <v>19658.310000000001</v>
      </c>
    </row>
    <row r="53" spans="1:24" x14ac:dyDescent="0.35">
      <c r="A53" s="161" t="s">
        <v>533</v>
      </c>
      <c r="B53" s="161" t="s">
        <v>534</v>
      </c>
      <c r="C53" s="161"/>
      <c r="D53" s="161" t="s">
        <v>535</v>
      </c>
      <c r="E53" s="161" t="s">
        <v>536</v>
      </c>
      <c r="F53" s="803" t="s">
        <v>537</v>
      </c>
      <c r="G53" s="803"/>
      <c r="H53" s="803" t="s">
        <v>538</v>
      </c>
      <c r="I53" s="803"/>
      <c r="J53" s="803" t="s">
        <v>539</v>
      </c>
      <c r="K53" s="803"/>
      <c r="N53" s="84"/>
      <c r="O53" s="84"/>
      <c r="P53" s="84"/>
      <c r="Q53" s="84"/>
      <c r="R53" s="84"/>
      <c r="S53" s="84"/>
      <c r="T53" s="84"/>
      <c r="U53" s="84"/>
      <c r="V53" s="84"/>
      <c r="W53" s="84"/>
      <c r="X53" s="84"/>
    </row>
    <row r="54" spans="1:24" x14ac:dyDescent="0.35">
      <c r="A54" s="161"/>
      <c r="B54" s="161"/>
      <c r="C54" s="161"/>
      <c r="D54" s="161"/>
      <c r="E54" s="161"/>
      <c r="F54" s="161" t="s">
        <v>541</v>
      </c>
      <c r="G54" s="161" t="s">
        <v>540</v>
      </c>
      <c r="H54" s="161" t="s">
        <v>540</v>
      </c>
      <c r="I54" s="161" t="s">
        <v>541</v>
      </c>
      <c r="J54" s="161" t="s">
        <v>540</v>
      </c>
      <c r="K54" s="161" t="s">
        <v>541</v>
      </c>
      <c r="Q54" s="85"/>
      <c r="U54" s="85"/>
      <c r="V54" s="85"/>
      <c r="W54" s="85"/>
      <c r="X54" s="85"/>
    </row>
    <row r="55" spans="1:24" x14ac:dyDescent="0.35">
      <c r="A55" s="159" t="s">
        <v>568</v>
      </c>
      <c r="B55" s="159" t="s">
        <v>284</v>
      </c>
      <c r="C55" s="159" t="s">
        <v>565</v>
      </c>
      <c r="D55" s="159">
        <v>495</v>
      </c>
      <c r="E55" s="159">
        <v>3685.77</v>
      </c>
      <c r="F55" s="159">
        <v>62.97</v>
      </c>
      <c r="G55" s="159">
        <v>0.17</v>
      </c>
      <c r="H55" s="159">
        <v>1.76</v>
      </c>
      <c r="I55" s="159">
        <v>649.82000000000005</v>
      </c>
      <c r="J55" s="159">
        <v>1.93</v>
      </c>
      <c r="K55" s="159">
        <v>712.79</v>
      </c>
    </row>
    <row r="56" spans="1:24" x14ac:dyDescent="0.35">
      <c r="A56" s="159" t="s">
        <v>569</v>
      </c>
      <c r="B56" s="159" t="s">
        <v>493</v>
      </c>
      <c r="C56" s="159" t="s">
        <v>553</v>
      </c>
      <c r="D56" s="159">
        <v>822.6</v>
      </c>
      <c r="E56" s="160">
        <v>6173.39</v>
      </c>
      <c r="F56" s="159">
        <v>355.35</v>
      </c>
      <c r="G56" s="159">
        <v>0.57999999999999996</v>
      </c>
      <c r="H56" s="159">
        <v>1.71</v>
      </c>
      <c r="I56" s="160">
        <v>1056.1099999999999</v>
      </c>
      <c r="J56" s="159">
        <v>2.29</v>
      </c>
      <c r="K56" s="160">
        <v>1411.45</v>
      </c>
    </row>
    <row r="57" spans="1:24" x14ac:dyDescent="0.35">
      <c r="A57" s="159" t="s">
        <v>570</v>
      </c>
      <c r="B57" s="159" t="s">
        <v>493</v>
      </c>
      <c r="C57" s="159" t="s">
        <v>553</v>
      </c>
      <c r="D57" s="159">
        <v>440</v>
      </c>
      <c r="E57" s="160">
        <v>2984.85</v>
      </c>
      <c r="F57" s="159">
        <v>357.28</v>
      </c>
      <c r="G57" s="159">
        <v>1.2</v>
      </c>
      <c r="H57" s="159">
        <v>3.34</v>
      </c>
      <c r="I57" s="159">
        <v>995.63</v>
      </c>
      <c r="J57" s="159">
        <v>4.53</v>
      </c>
      <c r="K57" s="160">
        <v>1352.92</v>
      </c>
    </row>
    <row r="58" spans="1:24" x14ac:dyDescent="0.35">
      <c r="A58" s="159" t="s">
        <v>571</v>
      </c>
      <c r="B58" s="159" t="s">
        <v>284</v>
      </c>
      <c r="C58" s="159" t="s">
        <v>565</v>
      </c>
      <c r="D58" s="159">
        <v>1782</v>
      </c>
      <c r="E58" s="159">
        <v>9909.82</v>
      </c>
      <c r="F58" s="159">
        <v>1662.98</v>
      </c>
      <c r="G58" s="159">
        <v>1.68</v>
      </c>
      <c r="H58" s="159">
        <v>2.4900000000000002</v>
      </c>
      <c r="I58" s="159">
        <v>2466.5700000000002</v>
      </c>
      <c r="J58" s="159">
        <v>4.17</v>
      </c>
      <c r="K58" s="159">
        <v>4129.5600000000004</v>
      </c>
    </row>
    <row r="59" spans="1:24" x14ac:dyDescent="0.35">
      <c r="A59" s="159" t="s">
        <v>572</v>
      </c>
      <c r="B59" s="159" t="s">
        <v>284</v>
      </c>
      <c r="C59" s="159" t="s">
        <v>565</v>
      </c>
      <c r="D59" s="159">
        <v>1100</v>
      </c>
      <c r="E59" s="159">
        <v>7453.45</v>
      </c>
      <c r="F59" s="159">
        <v>689.08</v>
      </c>
      <c r="G59" s="159">
        <v>0.92</v>
      </c>
      <c r="H59" s="159">
        <v>3</v>
      </c>
      <c r="I59" s="159">
        <v>2233.2399999999998</v>
      </c>
      <c r="J59" s="159">
        <v>3.92</v>
      </c>
      <c r="K59" s="159">
        <v>2922.32</v>
      </c>
    </row>
    <row r="60" spans="1:24" x14ac:dyDescent="0.35">
      <c r="A60" s="159" t="s">
        <v>573</v>
      </c>
      <c r="B60" s="159" t="s">
        <v>284</v>
      </c>
      <c r="C60" s="159" t="s">
        <v>565</v>
      </c>
      <c r="D60" s="159">
        <v>16.5</v>
      </c>
      <c r="E60" s="159">
        <v>86.72</v>
      </c>
      <c r="F60" s="159">
        <v>22.41</v>
      </c>
      <c r="G60" s="159">
        <v>2.58</v>
      </c>
      <c r="H60" s="159">
        <v>4.3499999999999996</v>
      </c>
      <c r="I60" s="159">
        <v>37.71</v>
      </c>
      <c r="J60" s="159">
        <v>6.93</v>
      </c>
      <c r="K60" s="159">
        <v>60.13</v>
      </c>
    </row>
    <row r="61" spans="1:24" x14ac:dyDescent="0.35">
      <c r="A61" s="159" t="s">
        <v>574</v>
      </c>
      <c r="B61" s="159" t="s">
        <v>284</v>
      </c>
      <c r="C61" s="159" t="s">
        <v>565</v>
      </c>
      <c r="D61" s="159">
        <v>1980</v>
      </c>
      <c r="E61" s="159">
        <v>10625.86</v>
      </c>
      <c r="F61" s="159">
        <v>2173.35</v>
      </c>
      <c r="G61" s="159">
        <v>2.0499999999999998</v>
      </c>
      <c r="H61" s="159">
        <v>2.97</v>
      </c>
      <c r="I61" s="159">
        <v>3152.82</v>
      </c>
      <c r="J61" s="159">
        <v>5.01</v>
      </c>
      <c r="K61" s="159">
        <v>5326.17</v>
      </c>
    </row>
    <row r="62" spans="1:24" x14ac:dyDescent="0.35">
      <c r="A62" s="159" t="s">
        <v>575</v>
      </c>
      <c r="B62" s="159" t="s">
        <v>284</v>
      </c>
      <c r="C62" s="159" t="s">
        <v>565</v>
      </c>
      <c r="D62" s="159">
        <v>1000</v>
      </c>
      <c r="E62" s="159">
        <v>4782.96</v>
      </c>
      <c r="F62" s="159">
        <v>989.33</v>
      </c>
      <c r="G62" s="159">
        <v>2.0699999999999998</v>
      </c>
      <c r="H62" s="159">
        <v>2.31</v>
      </c>
      <c r="I62" s="159">
        <v>1106.77</v>
      </c>
      <c r="J62" s="159">
        <v>4.38</v>
      </c>
      <c r="K62" s="159">
        <v>2096.09</v>
      </c>
    </row>
    <row r="63" spans="1:24" x14ac:dyDescent="0.35">
      <c r="A63" s="159" t="s">
        <v>576</v>
      </c>
      <c r="B63" s="159" t="s">
        <v>284</v>
      </c>
      <c r="C63" s="159" t="s">
        <v>565</v>
      </c>
      <c r="D63" s="159">
        <v>390</v>
      </c>
      <c r="E63" s="159">
        <v>1270.9000000000001</v>
      </c>
      <c r="F63" s="159">
        <v>241.86</v>
      </c>
      <c r="G63" s="159">
        <v>1.9</v>
      </c>
      <c r="H63" s="159">
        <v>1.41</v>
      </c>
      <c r="I63" s="159">
        <v>179.22</v>
      </c>
      <c r="J63" s="159">
        <v>3.31</v>
      </c>
      <c r="K63" s="159">
        <v>421.08</v>
      </c>
    </row>
    <row r="64" spans="1:24" x14ac:dyDescent="0.35">
      <c r="A64" s="159" t="s">
        <v>577</v>
      </c>
      <c r="B64" s="159" t="s">
        <v>284</v>
      </c>
      <c r="C64" s="159" t="s">
        <v>273</v>
      </c>
      <c r="D64" s="159">
        <v>1000</v>
      </c>
      <c r="E64" s="159">
        <v>5779.41</v>
      </c>
      <c r="F64" s="159">
        <v>1288.44</v>
      </c>
      <c r="G64" s="159">
        <v>2.23</v>
      </c>
      <c r="H64" s="159">
        <v>1.87</v>
      </c>
      <c r="I64" s="159">
        <v>1083.3499999999999</v>
      </c>
      <c r="J64" s="159">
        <v>4.0999999999999996</v>
      </c>
      <c r="K64" s="159">
        <v>2371.8000000000002</v>
      </c>
    </row>
    <row r="65" spans="1:24" x14ac:dyDescent="0.35">
      <c r="A65" s="161" t="s">
        <v>756</v>
      </c>
      <c r="B65" s="161"/>
      <c r="C65" s="161"/>
      <c r="D65" s="161">
        <f>SUM(D55:D64)</f>
        <v>9026.1</v>
      </c>
      <c r="E65" s="161">
        <f>SUM(E55:E64)</f>
        <v>52753.130000000005</v>
      </c>
      <c r="F65" s="161">
        <f>SUM(F55:F64)</f>
        <v>7843.0499999999993</v>
      </c>
      <c r="G65" s="162">
        <f>F65/E65*10</f>
        <v>1.4867459049349296</v>
      </c>
      <c r="H65" s="162">
        <f>I65/E65*10</f>
        <v>2.4569613215367503</v>
      </c>
      <c r="I65" s="161">
        <f>SUM(I55:I64)</f>
        <v>12961.24</v>
      </c>
      <c r="J65" s="162">
        <f>K65/E65*10</f>
        <v>3.9437110177159158</v>
      </c>
      <c r="K65" s="161">
        <f>SUM(K55:K64)</f>
        <v>20804.310000000001</v>
      </c>
    </row>
    <row r="66" spans="1:24" x14ac:dyDescent="0.35">
      <c r="A66" s="158"/>
    </row>
    <row r="67" spans="1:24" x14ac:dyDescent="0.35">
      <c r="A67" s="161" t="s">
        <v>757</v>
      </c>
      <c r="B67" s="161"/>
      <c r="C67" s="161" t="s">
        <v>273</v>
      </c>
      <c r="D67" s="166">
        <f>D51+D65</f>
        <v>18273.909999999996</v>
      </c>
      <c r="E67" s="166">
        <f>E51+E65</f>
        <v>103361.01000000001</v>
      </c>
      <c r="F67" s="166">
        <f>F51+F65</f>
        <v>14362.98</v>
      </c>
      <c r="G67" s="162">
        <f>F67/E67*10</f>
        <v>1.3895936194895928</v>
      </c>
      <c r="H67" s="162">
        <f>I67/E67*10</f>
        <v>2.5250933596720855</v>
      </c>
      <c r="I67" s="166">
        <f>I51+I65</f>
        <v>26099.620000000003</v>
      </c>
      <c r="J67" s="162">
        <f>K67/E67*10</f>
        <v>3.9146889141272903</v>
      </c>
      <c r="K67" s="166">
        <f>K51+K65</f>
        <v>40462.620000000003</v>
      </c>
    </row>
    <row r="68" spans="1:24" x14ac:dyDescent="0.35">
      <c r="A68" s="158"/>
    </row>
    <row r="69" spans="1:24" x14ac:dyDescent="0.35">
      <c r="F69" s="86"/>
      <c r="H69" s="86"/>
      <c r="I69" s="86"/>
      <c r="J69" s="86"/>
      <c r="K69" s="86"/>
    </row>
    <row r="70" spans="1:24" x14ac:dyDescent="0.35">
      <c r="A70" s="161" t="s">
        <v>533</v>
      </c>
      <c r="B70" s="161" t="s">
        <v>534</v>
      </c>
      <c r="C70" s="161"/>
      <c r="D70" s="161" t="s">
        <v>535</v>
      </c>
      <c r="E70" s="161" t="s">
        <v>536</v>
      </c>
      <c r="F70" s="803" t="s">
        <v>537</v>
      </c>
      <c r="G70" s="803"/>
      <c r="H70" s="803" t="s">
        <v>538</v>
      </c>
      <c r="I70" s="803"/>
      <c r="J70" s="803" t="s">
        <v>539</v>
      </c>
      <c r="K70" s="803"/>
      <c r="N70" s="84"/>
      <c r="O70" s="84"/>
      <c r="P70" s="84"/>
      <c r="Q70" s="84"/>
      <c r="R70" s="84"/>
      <c r="S70" s="84"/>
      <c r="T70" s="84"/>
      <c r="U70" s="84"/>
      <c r="V70" s="84"/>
      <c r="W70" s="84"/>
      <c r="X70" s="84"/>
    </row>
    <row r="71" spans="1:24" x14ac:dyDescent="0.35">
      <c r="A71" s="161"/>
      <c r="B71" s="161"/>
      <c r="C71" s="161"/>
      <c r="D71" s="161"/>
      <c r="E71" s="161"/>
      <c r="F71" s="161" t="s">
        <v>541</v>
      </c>
      <c r="G71" s="161" t="s">
        <v>540</v>
      </c>
      <c r="H71" s="161" t="s">
        <v>540</v>
      </c>
      <c r="I71" s="161" t="s">
        <v>541</v>
      </c>
      <c r="J71" s="161" t="s">
        <v>540</v>
      </c>
      <c r="K71" s="161" t="s">
        <v>541</v>
      </c>
      <c r="Q71" s="85"/>
      <c r="U71" s="85"/>
      <c r="V71" s="85"/>
      <c r="W71" s="85"/>
      <c r="X71" s="85"/>
    </row>
    <row r="72" spans="1:24" x14ac:dyDescent="0.35">
      <c r="A72" s="159" t="s">
        <v>587</v>
      </c>
      <c r="B72" s="159" t="s">
        <v>433</v>
      </c>
      <c r="C72" s="159" t="s">
        <v>588</v>
      </c>
      <c r="D72" s="159">
        <v>100.26</v>
      </c>
      <c r="E72" s="159">
        <v>42.78</v>
      </c>
      <c r="F72" s="159">
        <v>12.78</v>
      </c>
      <c r="G72" s="159">
        <v>2.99</v>
      </c>
      <c r="H72" s="159">
        <v>2.84</v>
      </c>
      <c r="I72" s="159">
        <v>12.14</v>
      </c>
      <c r="J72" s="159">
        <v>5.82</v>
      </c>
      <c r="K72" s="159">
        <v>24.92</v>
      </c>
    </row>
    <row r="73" spans="1:24" x14ac:dyDescent="0.35">
      <c r="A73" s="159" t="s">
        <v>589</v>
      </c>
      <c r="B73" s="159" t="s">
        <v>433</v>
      </c>
      <c r="C73" s="159" t="s">
        <v>588</v>
      </c>
      <c r="D73" s="159">
        <v>222.62</v>
      </c>
      <c r="E73" s="159">
        <v>95.02</v>
      </c>
      <c r="F73" s="159">
        <v>25.3</v>
      </c>
      <c r="G73" s="159">
        <v>2.66</v>
      </c>
      <c r="H73" s="159">
        <v>3.4</v>
      </c>
      <c r="I73" s="159">
        <v>32.26</v>
      </c>
      <c r="J73" s="159">
        <v>6.06</v>
      </c>
      <c r="K73" s="159">
        <v>57.57</v>
      </c>
    </row>
    <row r="74" spans="1:24" x14ac:dyDescent="0.35">
      <c r="A74" s="159" t="s">
        <v>590</v>
      </c>
      <c r="B74" s="159" t="s">
        <v>433</v>
      </c>
      <c r="C74" s="159" t="s">
        <v>588</v>
      </c>
      <c r="D74" s="159">
        <v>254.06</v>
      </c>
      <c r="E74" s="159">
        <v>217</v>
      </c>
      <c r="F74" s="159">
        <v>25.74</v>
      </c>
      <c r="G74" s="159">
        <v>1.19</v>
      </c>
      <c r="H74" s="159">
        <v>2.75</v>
      </c>
      <c r="I74" s="159">
        <v>59.76</v>
      </c>
      <c r="J74" s="159">
        <v>3.94</v>
      </c>
      <c r="K74" s="159">
        <v>85.49</v>
      </c>
    </row>
    <row r="75" spans="1:24" x14ac:dyDescent="0.35">
      <c r="A75" s="161" t="s">
        <v>758</v>
      </c>
      <c r="B75" s="161" t="s">
        <v>433</v>
      </c>
      <c r="C75" s="161" t="s">
        <v>588</v>
      </c>
      <c r="D75" s="161">
        <f>SUM(D72:D74)</f>
        <v>576.94000000000005</v>
      </c>
      <c r="E75" s="161">
        <f>SUM(E72:E74)</f>
        <v>354.8</v>
      </c>
      <c r="F75" s="161">
        <f>SUM(F72:F74)</f>
        <v>63.819999999999993</v>
      </c>
      <c r="G75" s="161">
        <f>F75/E75*10</f>
        <v>1.7987598647125138</v>
      </c>
      <c r="H75" s="161">
        <f>I75/E75*10</f>
        <v>2.9357384441939116</v>
      </c>
      <c r="I75" s="161">
        <f>SUM(I72:I74)</f>
        <v>104.16</v>
      </c>
      <c r="J75" s="162">
        <f>K75/E75*10</f>
        <v>4.7344983089064261</v>
      </c>
      <c r="K75" s="161">
        <f>SUM(K72:K74)</f>
        <v>167.98000000000002</v>
      </c>
    </row>
    <row r="76" spans="1:24" x14ac:dyDescent="0.35">
      <c r="A76" s="87"/>
    </row>
    <row r="77" spans="1:24" x14ac:dyDescent="0.35">
      <c r="A77" s="87" t="s">
        <v>578</v>
      </c>
    </row>
    <row r="78" spans="1:24" x14ac:dyDescent="0.35">
      <c r="A78" s="161" t="s">
        <v>533</v>
      </c>
      <c r="B78" s="161" t="s">
        <v>534</v>
      </c>
      <c r="C78" s="161"/>
      <c r="D78" s="161" t="s">
        <v>535</v>
      </c>
      <c r="E78" s="161" t="s">
        <v>536</v>
      </c>
      <c r="F78" s="803" t="s">
        <v>537</v>
      </c>
      <c r="G78" s="803"/>
      <c r="H78" s="803" t="s">
        <v>538</v>
      </c>
      <c r="I78" s="803"/>
      <c r="J78" s="803" t="s">
        <v>539</v>
      </c>
      <c r="K78" s="803"/>
      <c r="N78" s="84"/>
      <c r="O78" s="84"/>
      <c r="P78" s="84"/>
      <c r="Q78" s="84"/>
      <c r="R78" s="84"/>
      <c r="S78" s="84"/>
      <c r="T78" s="84"/>
      <c r="U78" s="84"/>
      <c r="V78" s="84"/>
      <c r="W78" s="84"/>
      <c r="X78" s="84"/>
    </row>
    <row r="79" spans="1:24" x14ac:dyDescent="0.35">
      <c r="A79" s="161"/>
      <c r="B79" s="161"/>
      <c r="C79" s="161"/>
      <c r="D79" s="161"/>
      <c r="E79" s="161"/>
      <c r="F79" s="161" t="s">
        <v>541</v>
      </c>
      <c r="G79" s="161" t="s">
        <v>540</v>
      </c>
      <c r="H79" s="161" t="s">
        <v>540</v>
      </c>
      <c r="I79" s="161" t="s">
        <v>541</v>
      </c>
      <c r="J79" s="161" t="s">
        <v>540</v>
      </c>
      <c r="K79" s="161" t="s">
        <v>541</v>
      </c>
      <c r="Q79" s="85"/>
      <c r="U79" s="85"/>
      <c r="V79" s="85"/>
      <c r="W79" s="85"/>
      <c r="X79" s="85"/>
    </row>
    <row r="80" spans="1:24" x14ac:dyDescent="0.35">
      <c r="A80" s="159" t="s">
        <v>591</v>
      </c>
      <c r="B80" s="159" t="s">
        <v>309</v>
      </c>
      <c r="C80" s="159" t="s">
        <v>308</v>
      </c>
      <c r="D80" s="159">
        <v>159.12</v>
      </c>
      <c r="E80" s="160">
        <v>1101.17</v>
      </c>
      <c r="F80" s="159">
        <v>118.16</v>
      </c>
      <c r="G80" s="159">
        <v>1.07</v>
      </c>
      <c r="H80" s="159">
        <v>1.07</v>
      </c>
      <c r="I80" s="159">
        <v>118.16</v>
      </c>
      <c r="J80" s="159">
        <v>2.15</v>
      </c>
      <c r="K80" s="159">
        <v>236.31</v>
      </c>
    </row>
    <row r="81" spans="1:11" x14ac:dyDescent="0.35">
      <c r="A81" s="159" t="s">
        <v>592</v>
      </c>
      <c r="B81" s="159" t="s">
        <v>309</v>
      </c>
      <c r="C81" s="159" t="s">
        <v>593</v>
      </c>
      <c r="D81" s="159">
        <v>109.46</v>
      </c>
      <c r="E81" s="159">
        <v>434.27</v>
      </c>
      <c r="F81" s="159">
        <v>32.54</v>
      </c>
      <c r="G81" s="159">
        <v>0.75</v>
      </c>
      <c r="H81" s="159">
        <v>0.75</v>
      </c>
      <c r="I81" s="159">
        <v>32.54</v>
      </c>
      <c r="J81" s="159">
        <v>1.5</v>
      </c>
      <c r="K81" s="159">
        <v>65.08</v>
      </c>
    </row>
    <row r="82" spans="1:11" x14ac:dyDescent="0.35">
      <c r="A82" s="159" t="s">
        <v>594</v>
      </c>
      <c r="B82" s="159" t="s">
        <v>309</v>
      </c>
      <c r="C82" s="159" t="s">
        <v>593</v>
      </c>
      <c r="D82" s="159">
        <v>69.78</v>
      </c>
      <c r="E82" s="159">
        <v>324.26</v>
      </c>
      <c r="F82" s="159">
        <v>30.07</v>
      </c>
      <c r="G82" s="159">
        <v>0.93</v>
      </c>
      <c r="H82" s="159">
        <v>0.93</v>
      </c>
      <c r="I82" s="159">
        <v>30.07</v>
      </c>
      <c r="J82" s="159">
        <v>1.85</v>
      </c>
      <c r="K82" s="159">
        <v>60.15</v>
      </c>
    </row>
    <row r="83" spans="1:11" x14ac:dyDescent="0.35">
      <c r="A83" s="159" t="s">
        <v>595</v>
      </c>
      <c r="B83" s="159" t="s">
        <v>309</v>
      </c>
      <c r="C83" s="159" t="s">
        <v>593</v>
      </c>
      <c r="D83" s="159">
        <v>51.55</v>
      </c>
      <c r="E83" s="159">
        <v>199.5</v>
      </c>
      <c r="F83" s="159">
        <v>46.94</v>
      </c>
      <c r="G83" s="159">
        <v>2.35</v>
      </c>
      <c r="H83" s="159">
        <v>2.35</v>
      </c>
      <c r="I83" s="159">
        <v>46.94</v>
      </c>
      <c r="J83" s="159">
        <v>4.71</v>
      </c>
      <c r="K83" s="159">
        <v>93.88</v>
      </c>
    </row>
    <row r="84" spans="1:11" x14ac:dyDescent="0.35">
      <c r="A84" s="159" t="s">
        <v>596</v>
      </c>
      <c r="B84" s="159" t="s">
        <v>309</v>
      </c>
      <c r="C84" s="159" t="s">
        <v>593</v>
      </c>
      <c r="D84" s="159">
        <v>62.08</v>
      </c>
      <c r="E84" s="159">
        <v>204.14</v>
      </c>
      <c r="F84" s="159">
        <v>33.06</v>
      </c>
      <c r="G84" s="159">
        <v>1.62</v>
      </c>
      <c r="H84" s="159">
        <v>1.62</v>
      </c>
      <c r="I84" s="159">
        <v>33.06</v>
      </c>
      <c r="J84" s="159">
        <v>3.24</v>
      </c>
      <c r="K84" s="159">
        <v>66.11</v>
      </c>
    </row>
    <row r="85" spans="1:11" x14ac:dyDescent="0.35">
      <c r="A85" s="159" t="s">
        <v>597</v>
      </c>
      <c r="B85" s="159" t="s">
        <v>309</v>
      </c>
      <c r="C85" s="159" t="s">
        <v>593</v>
      </c>
      <c r="D85" s="159">
        <v>47.96</v>
      </c>
      <c r="E85" s="159">
        <v>224.85</v>
      </c>
      <c r="F85" s="159">
        <v>10.87</v>
      </c>
      <c r="G85" s="159">
        <v>0.48</v>
      </c>
      <c r="H85" s="159">
        <v>0.48</v>
      </c>
      <c r="I85" s="159">
        <v>10.87</v>
      </c>
      <c r="J85" s="159">
        <v>0.97</v>
      </c>
      <c r="K85" s="159">
        <v>21.74</v>
      </c>
    </row>
    <row r="86" spans="1:11" x14ac:dyDescent="0.35">
      <c r="A86" s="159" t="s">
        <v>598</v>
      </c>
      <c r="B86" s="159" t="s">
        <v>309</v>
      </c>
      <c r="C86" s="159" t="s">
        <v>593</v>
      </c>
      <c r="D86" s="159">
        <v>21.33</v>
      </c>
      <c r="E86" s="159">
        <v>62.79</v>
      </c>
      <c r="F86" s="159">
        <v>13.99</v>
      </c>
      <c r="G86" s="159">
        <v>2.23</v>
      </c>
      <c r="H86" s="159">
        <v>2.23</v>
      </c>
      <c r="I86" s="159">
        <v>13.99</v>
      </c>
      <c r="J86" s="159">
        <v>4.46</v>
      </c>
      <c r="K86" s="159">
        <v>27.97</v>
      </c>
    </row>
    <row r="87" spans="1:11" x14ac:dyDescent="0.35">
      <c r="A87" s="159" t="s">
        <v>599</v>
      </c>
      <c r="B87" s="159" t="s">
        <v>309</v>
      </c>
      <c r="C87" s="159" t="s">
        <v>593</v>
      </c>
      <c r="D87" s="159">
        <v>96.29</v>
      </c>
      <c r="E87" s="159">
        <v>548.01</v>
      </c>
      <c r="F87" s="159">
        <v>36.47</v>
      </c>
      <c r="G87" s="159">
        <v>0.67</v>
      </c>
      <c r="H87" s="159">
        <v>0.67</v>
      </c>
      <c r="I87" s="159">
        <v>36.47</v>
      </c>
      <c r="J87" s="159">
        <v>1.33</v>
      </c>
      <c r="K87" s="159">
        <v>72.94</v>
      </c>
    </row>
    <row r="88" spans="1:11" x14ac:dyDescent="0.35">
      <c r="A88" s="159" t="s">
        <v>600</v>
      </c>
      <c r="B88" s="159" t="s">
        <v>309</v>
      </c>
      <c r="C88" s="159" t="s">
        <v>593</v>
      </c>
      <c r="D88" s="159">
        <v>93.52</v>
      </c>
      <c r="E88" s="159">
        <v>527.61</v>
      </c>
      <c r="F88" s="159">
        <v>110.77</v>
      </c>
      <c r="G88" s="159">
        <v>2.1</v>
      </c>
      <c r="H88" s="159">
        <v>2.1</v>
      </c>
      <c r="I88" s="159">
        <v>110.77</v>
      </c>
      <c r="J88" s="159">
        <v>4.2</v>
      </c>
      <c r="K88" s="159">
        <v>221.53</v>
      </c>
    </row>
    <row r="89" spans="1:11" x14ac:dyDescent="0.35">
      <c r="A89" s="159" t="s">
        <v>601</v>
      </c>
      <c r="B89" s="159" t="s">
        <v>309</v>
      </c>
      <c r="C89" s="159" t="s">
        <v>593</v>
      </c>
      <c r="D89" s="159">
        <v>29.6</v>
      </c>
      <c r="E89" s="159">
        <v>112.88</v>
      </c>
      <c r="F89" s="159">
        <v>25.52</v>
      </c>
      <c r="G89" s="159">
        <v>2.2599999999999998</v>
      </c>
      <c r="H89" s="159">
        <v>2.2599999999999998</v>
      </c>
      <c r="I89" s="159">
        <v>25.52</v>
      </c>
      <c r="J89" s="159">
        <v>4.5199999999999996</v>
      </c>
      <c r="K89" s="159">
        <v>51.03</v>
      </c>
    </row>
    <row r="90" spans="1:11" x14ac:dyDescent="0.35">
      <c r="A90" s="159" t="s">
        <v>602</v>
      </c>
      <c r="B90" s="159" t="s">
        <v>309</v>
      </c>
      <c r="C90" s="159" t="s">
        <v>593</v>
      </c>
      <c r="D90" s="159">
        <v>55.88</v>
      </c>
      <c r="E90" s="159">
        <v>346.38</v>
      </c>
      <c r="F90" s="159">
        <v>54.31</v>
      </c>
      <c r="G90" s="159">
        <v>1.57</v>
      </c>
      <c r="H90" s="159">
        <v>1.57</v>
      </c>
      <c r="I90" s="159">
        <v>54.31</v>
      </c>
      <c r="J90" s="159">
        <v>3.14</v>
      </c>
      <c r="K90" s="159">
        <v>108.62</v>
      </c>
    </row>
    <row r="91" spans="1:11" x14ac:dyDescent="0.35">
      <c r="A91" s="159" t="s">
        <v>603</v>
      </c>
      <c r="B91" s="159" t="s">
        <v>309</v>
      </c>
      <c r="C91" s="159" t="s">
        <v>593</v>
      </c>
      <c r="D91" s="159">
        <v>116.06</v>
      </c>
      <c r="E91" s="159">
        <v>149.37</v>
      </c>
      <c r="F91" s="159">
        <v>30.36</v>
      </c>
      <c r="G91" s="159">
        <v>2.0299999999999998</v>
      </c>
      <c r="H91" s="159">
        <v>2.0299999999999998</v>
      </c>
      <c r="I91" s="159">
        <v>30.36</v>
      </c>
      <c r="J91" s="159">
        <v>4.0599999999999996</v>
      </c>
      <c r="K91" s="159">
        <v>60.71</v>
      </c>
    </row>
    <row r="92" spans="1:11" x14ac:dyDescent="0.35">
      <c r="A92" s="159" t="s">
        <v>604</v>
      </c>
      <c r="B92" s="159" t="s">
        <v>309</v>
      </c>
      <c r="C92" s="159" t="s">
        <v>593</v>
      </c>
      <c r="D92" s="159">
        <v>64</v>
      </c>
      <c r="E92" s="159">
        <v>276.95999999999998</v>
      </c>
      <c r="F92" s="159">
        <v>66.47</v>
      </c>
      <c r="G92" s="159">
        <v>2.4</v>
      </c>
      <c r="H92" s="159">
        <v>2.4</v>
      </c>
      <c r="I92" s="159">
        <v>66.47</v>
      </c>
      <c r="J92" s="159">
        <v>4.8</v>
      </c>
      <c r="K92" s="159">
        <v>132.94</v>
      </c>
    </row>
    <row r="93" spans="1:11" x14ac:dyDescent="0.35">
      <c r="A93" s="159" t="s">
        <v>605</v>
      </c>
      <c r="B93" s="159" t="s">
        <v>309</v>
      </c>
      <c r="C93" s="159" t="s">
        <v>580</v>
      </c>
      <c r="D93" s="159">
        <v>242.4</v>
      </c>
      <c r="E93" s="159">
        <v>1265.1400000000001</v>
      </c>
      <c r="F93" s="159">
        <v>206.65</v>
      </c>
      <c r="G93" s="159">
        <v>1.63</v>
      </c>
      <c r="H93" s="159">
        <v>1.46</v>
      </c>
      <c r="I93" s="159">
        <v>185.02</v>
      </c>
      <c r="J93" s="159">
        <v>3.1</v>
      </c>
      <c r="K93" s="159">
        <v>391.67</v>
      </c>
    </row>
    <row r="94" spans="1:11" x14ac:dyDescent="0.35">
      <c r="A94" s="159" t="s">
        <v>606</v>
      </c>
      <c r="B94" s="159" t="s">
        <v>309</v>
      </c>
      <c r="C94" s="159" t="s">
        <v>580</v>
      </c>
      <c r="D94" s="159">
        <v>95.7</v>
      </c>
      <c r="E94" s="159">
        <v>374.61</v>
      </c>
      <c r="F94" s="159">
        <v>76.099999999999994</v>
      </c>
      <c r="G94" s="159">
        <v>2.0299999999999998</v>
      </c>
      <c r="H94" s="159">
        <v>1.75</v>
      </c>
      <c r="I94" s="159">
        <v>65.540000000000006</v>
      </c>
      <c r="J94" s="159">
        <v>3.78</v>
      </c>
      <c r="K94" s="159">
        <v>141.63999999999999</v>
      </c>
    </row>
    <row r="95" spans="1:11" x14ac:dyDescent="0.35">
      <c r="A95" s="159" t="s">
        <v>607</v>
      </c>
      <c r="B95" s="159" t="s">
        <v>309</v>
      </c>
      <c r="C95" s="159" t="s">
        <v>580</v>
      </c>
      <c r="D95" s="159">
        <v>44.98</v>
      </c>
      <c r="E95" s="159">
        <v>157.62</v>
      </c>
      <c r="F95" s="159">
        <v>0</v>
      </c>
      <c r="G95" s="159">
        <v>0</v>
      </c>
      <c r="H95" s="159">
        <v>2.11</v>
      </c>
      <c r="I95" s="159">
        <v>33.21</v>
      </c>
      <c r="J95" s="159">
        <v>2.11</v>
      </c>
      <c r="K95" s="159">
        <v>33.21</v>
      </c>
    </row>
    <row r="96" spans="1:11" x14ac:dyDescent="0.35">
      <c r="A96" s="159" t="s">
        <v>608</v>
      </c>
      <c r="B96" s="159" t="s">
        <v>309</v>
      </c>
      <c r="C96" s="159" t="s">
        <v>609</v>
      </c>
      <c r="D96" s="159">
        <v>160.72</v>
      </c>
      <c r="E96" s="159">
        <v>529.65</v>
      </c>
      <c r="F96" s="159">
        <v>107.68</v>
      </c>
      <c r="G96" s="159">
        <v>2.0299999999999998</v>
      </c>
      <c r="H96" s="159">
        <v>1.97</v>
      </c>
      <c r="I96" s="159">
        <v>104.57</v>
      </c>
      <c r="J96" s="159">
        <v>4.01</v>
      </c>
      <c r="K96" s="159">
        <v>212.25</v>
      </c>
    </row>
    <row r="97" spans="1:24" x14ac:dyDescent="0.35">
      <c r="A97" s="159" t="s">
        <v>610</v>
      </c>
      <c r="B97" s="159" t="s">
        <v>309</v>
      </c>
      <c r="C97" s="159" t="s">
        <v>609</v>
      </c>
      <c r="D97" s="159">
        <v>200</v>
      </c>
      <c r="E97" s="159">
        <v>173.97</v>
      </c>
      <c r="F97" s="159">
        <v>0</v>
      </c>
      <c r="G97" s="159">
        <v>0</v>
      </c>
      <c r="H97" s="159">
        <v>4.13</v>
      </c>
      <c r="I97" s="159">
        <v>71.849999999999994</v>
      </c>
      <c r="J97" s="159">
        <v>4.13</v>
      </c>
      <c r="K97" s="159">
        <v>71.849999999999994</v>
      </c>
    </row>
    <row r="98" spans="1:24" x14ac:dyDescent="0.35">
      <c r="A98" s="159" t="s">
        <v>611</v>
      </c>
      <c r="B98" s="159" t="s">
        <v>309</v>
      </c>
      <c r="C98" s="159" t="s">
        <v>609</v>
      </c>
      <c r="D98" s="159">
        <v>352</v>
      </c>
      <c r="E98" s="159">
        <v>2082.12</v>
      </c>
      <c r="F98" s="159">
        <v>157.69</v>
      </c>
      <c r="G98" s="159">
        <v>0.76</v>
      </c>
      <c r="H98" s="159">
        <v>1.45</v>
      </c>
      <c r="I98" s="159">
        <v>302.39999999999998</v>
      </c>
      <c r="J98" s="159">
        <v>2.21</v>
      </c>
      <c r="K98" s="159">
        <v>460.09</v>
      </c>
    </row>
    <row r="99" spans="1:24" x14ac:dyDescent="0.35">
      <c r="A99" s="159" t="s">
        <v>612</v>
      </c>
      <c r="B99" s="159" t="s">
        <v>309</v>
      </c>
      <c r="C99" s="159" t="s">
        <v>308</v>
      </c>
      <c r="D99" s="159">
        <v>388.2</v>
      </c>
      <c r="E99" s="159">
        <v>1343.93</v>
      </c>
      <c r="F99" s="159">
        <v>390.65</v>
      </c>
      <c r="G99" s="159">
        <v>2.91</v>
      </c>
      <c r="H99" s="159">
        <v>2.86</v>
      </c>
      <c r="I99" s="159">
        <v>384.16</v>
      </c>
      <c r="J99" s="159">
        <v>5.77</v>
      </c>
      <c r="K99" s="159">
        <v>774.81</v>
      </c>
    </row>
    <row r="100" spans="1:24" x14ac:dyDescent="0.35">
      <c r="A100" s="159" t="s">
        <v>613</v>
      </c>
      <c r="B100" s="159" t="s">
        <v>309</v>
      </c>
      <c r="C100" s="159" t="s">
        <v>614</v>
      </c>
      <c r="D100" s="159">
        <v>200</v>
      </c>
      <c r="E100" s="159">
        <v>483.55</v>
      </c>
      <c r="F100" s="159">
        <v>96.71</v>
      </c>
      <c r="G100" s="159">
        <v>2</v>
      </c>
      <c r="H100" s="159">
        <v>2</v>
      </c>
      <c r="I100" s="159">
        <v>96.71</v>
      </c>
      <c r="J100" s="159">
        <v>4</v>
      </c>
      <c r="K100" s="159">
        <v>193.42</v>
      </c>
    </row>
    <row r="101" spans="1:24" x14ac:dyDescent="0.35">
      <c r="A101" s="159" t="s">
        <v>579</v>
      </c>
      <c r="B101" s="159" t="s">
        <v>309</v>
      </c>
      <c r="C101" s="159" t="s">
        <v>580</v>
      </c>
      <c r="D101" s="159">
        <v>57.6</v>
      </c>
      <c r="E101" s="159">
        <v>216.97</v>
      </c>
      <c r="F101" s="159">
        <v>17.63</v>
      </c>
      <c r="G101" s="159">
        <v>0.81</v>
      </c>
      <c r="H101" s="159"/>
      <c r="I101" s="159"/>
      <c r="J101" s="159">
        <v>0.81</v>
      </c>
      <c r="K101" s="159">
        <v>17.63</v>
      </c>
    </row>
    <row r="102" spans="1:24" x14ac:dyDescent="0.35">
      <c r="A102" s="159" t="s">
        <v>581</v>
      </c>
      <c r="B102" s="163" t="s">
        <v>309</v>
      </c>
      <c r="C102" s="159" t="s">
        <v>580</v>
      </c>
      <c r="D102" s="159">
        <v>20</v>
      </c>
      <c r="E102" s="159">
        <v>80.599999999999994</v>
      </c>
      <c r="F102" s="159">
        <v>6.04</v>
      </c>
      <c r="G102" s="159">
        <v>0.75</v>
      </c>
      <c r="H102" s="159"/>
      <c r="I102" s="159"/>
      <c r="J102" s="159">
        <v>0.75</v>
      </c>
      <c r="K102" s="159">
        <v>6.04</v>
      </c>
    </row>
    <row r="103" spans="1:24" x14ac:dyDescent="0.35">
      <c r="A103" s="159" t="s">
        <v>582</v>
      </c>
      <c r="B103" s="159" t="s">
        <v>309</v>
      </c>
      <c r="C103" s="159" t="s">
        <v>580</v>
      </c>
      <c r="D103" s="159">
        <v>99</v>
      </c>
      <c r="E103" s="159">
        <v>216.81</v>
      </c>
      <c r="F103" s="159">
        <v>15.16</v>
      </c>
      <c r="G103" s="159">
        <v>0.7</v>
      </c>
      <c r="H103" s="159"/>
      <c r="I103" s="159"/>
      <c r="J103" s="159">
        <v>0.7</v>
      </c>
      <c r="K103" s="159">
        <v>15.16</v>
      </c>
    </row>
    <row r="104" spans="1:24" x14ac:dyDescent="0.35">
      <c r="A104" s="159" t="s">
        <v>583</v>
      </c>
      <c r="B104" s="159" t="s">
        <v>309</v>
      </c>
      <c r="C104" s="159" t="s">
        <v>580</v>
      </c>
      <c r="D104" s="159">
        <v>255</v>
      </c>
      <c r="E104" s="159">
        <v>469.1</v>
      </c>
      <c r="F104" s="159">
        <v>29.97</v>
      </c>
      <c r="G104" s="159">
        <v>0.64</v>
      </c>
      <c r="H104" s="159"/>
      <c r="I104" s="159"/>
      <c r="J104" s="159">
        <v>0.64</v>
      </c>
      <c r="K104" s="159">
        <v>29.97</v>
      </c>
    </row>
    <row r="105" spans="1:24" x14ac:dyDescent="0.35">
      <c r="A105" s="83" t="s">
        <v>617</v>
      </c>
      <c r="B105" s="158" t="s">
        <v>309</v>
      </c>
      <c r="C105" s="158" t="s">
        <v>308</v>
      </c>
      <c r="D105" s="83">
        <v>290</v>
      </c>
      <c r="E105" s="83">
        <v>1135.18</v>
      </c>
      <c r="F105" s="83">
        <v>368.77</v>
      </c>
      <c r="G105" s="83">
        <v>3.25</v>
      </c>
      <c r="H105" s="83">
        <v>2.59</v>
      </c>
      <c r="I105" s="83">
        <v>293.74</v>
      </c>
      <c r="J105" s="83">
        <v>5.84</v>
      </c>
      <c r="K105" s="83">
        <v>662.51</v>
      </c>
    </row>
    <row r="106" spans="1:24" x14ac:dyDescent="0.35">
      <c r="A106" s="161" t="s">
        <v>755</v>
      </c>
      <c r="B106" s="161" t="s">
        <v>309</v>
      </c>
      <c r="C106" s="161" t="s">
        <v>614</v>
      </c>
      <c r="D106" s="161">
        <f>SUM(D80:D105)</f>
        <v>3382.23</v>
      </c>
      <c r="E106" s="161">
        <f>SUM(E80:E105)</f>
        <v>13041.439999999999</v>
      </c>
      <c r="F106" s="161">
        <f>SUM(F80:F105)</f>
        <v>2082.5800000000004</v>
      </c>
      <c r="G106" s="162">
        <f>F106/E106*10</f>
        <v>1.5968942080015709</v>
      </c>
      <c r="H106" s="162">
        <f>I106/E106*10</f>
        <v>1.6460835613245164</v>
      </c>
      <c r="I106" s="161">
        <f>SUM(I80:I105)</f>
        <v>2146.73</v>
      </c>
      <c r="J106" s="162">
        <f>K106/E106*10</f>
        <v>3.2429394300015959</v>
      </c>
      <c r="K106" s="161">
        <f>SUM(K80:K105)</f>
        <v>4229.26</v>
      </c>
    </row>
    <row r="107" spans="1:24" x14ac:dyDescent="0.35">
      <c r="A107" s="87"/>
      <c r="B107" s="87"/>
    </row>
    <row r="108" spans="1:24" x14ac:dyDescent="0.35">
      <c r="A108" s="161" t="s">
        <v>533</v>
      </c>
      <c r="B108" s="161" t="s">
        <v>534</v>
      </c>
      <c r="C108" s="161"/>
      <c r="D108" s="161" t="s">
        <v>535</v>
      </c>
      <c r="E108" s="161" t="s">
        <v>536</v>
      </c>
      <c r="F108" s="803" t="s">
        <v>537</v>
      </c>
      <c r="G108" s="803"/>
      <c r="H108" s="803" t="s">
        <v>538</v>
      </c>
      <c r="I108" s="803"/>
      <c r="J108" s="803" t="s">
        <v>539</v>
      </c>
      <c r="K108" s="803"/>
      <c r="N108" s="84"/>
      <c r="O108" s="84"/>
      <c r="P108" s="84"/>
      <c r="Q108" s="84"/>
      <c r="R108" s="84"/>
      <c r="S108" s="84"/>
      <c r="T108" s="84"/>
      <c r="U108" s="84"/>
      <c r="V108" s="84"/>
      <c r="W108" s="84"/>
      <c r="X108" s="84"/>
    </row>
    <row r="109" spans="1:24" x14ac:dyDescent="0.35">
      <c r="A109" s="161"/>
      <c r="B109" s="161"/>
      <c r="C109" s="161"/>
      <c r="D109" s="161"/>
      <c r="E109" s="161"/>
      <c r="F109" s="161" t="s">
        <v>541</v>
      </c>
      <c r="G109" s="161" t="s">
        <v>540</v>
      </c>
      <c r="H109" s="161" t="s">
        <v>540</v>
      </c>
      <c r="I109" s="161" t="s">
        <v>541</v>
      </c>
      <c r="J109" s="161" t="s">
        <v>540</v>
      </c>
      <c r="K109" s="161" t="s">
        <v>541</v>
      </c>
      <c r="Q109" s="85"/>
      <c r="U109" s="85"/>
      <c r="V109" s="85"/>
      <c r="W109" s="85"/>
      <c r="X109" s="85"/>
    </row>
    <row r="110" spans="1:24" x14ac:dyDescent="0.35">
      <c r="A110" s="159" t="s">
        <v>584</v>
      </c>
      <c r="B110" s="159" t="s">
        <v>312</v>
      </c>
      <c r="C110" s="159" t="s">
        <v>580</v>
      </c>
      <c r="D110" s="159">
        <v>13.7</v>
      </c>
      <c r="E110" s="159">
        <v>21.6</v>
      </c>
      <c r="F110" s="159">
        <v>5.17</v>
      </c>
      <c r="G110" s="159">
        <v>2.39</v>
      </c>
      <c r="H110" s="159"/>
      <c r="I110" s="159"/>
      <c r="J110" s="159">
        <v>2.39</v>
      </c>
      <c r="K110" s="159">
        <v>5.17</v>
      </c>
    </row>
    <row r="111" spans="1:24" x14ac:dyDescent="0.35">
      <c r="A111" s="159" t="s">
        <v>585</v>
      </c>
      <c r="B111" s="159" t="s">
        <v>312</v>
      </c>
      <c r="C111" s="159" t="s">
        <v>580</v>
      </c>
      <c r="D111" s="159">
        <f>3+3</f>
        <v>6</v>
      </c>
      <c r="E111" s="159">
        <v>2.1</v>
      </c>
      <c r="F111" s="159">
        <v>0.47</v>
      </c>
      <c r="G111" s="159">
        <v>2.25</v>
      </c>
      <c r="H111" s="159"/>
      <c r="I111" s="159"/>
      <c r="J111" s="159">
        <v>2.25</v>
      </c>
      <c r="K111" s="159">
        <v>0.47</v>
      </c>
    </row>
    <row r="112" spans="1:24" x14ac:dyDescent="0.35">
      <c r="A112" s="159" t="s">
        <v>586</v>
      </c>
      <c r="B112" s="159" t="s">
        <v>312</v>
      </c>
      <c r="C112" s="159" t="s">
        <v>580</v>
      </c>
      <c r="D112" s="159">
        <v>3.6</v>
      </c>
      <c r="E112" s="159">
        <v>2.21</v>
      </c>
      <c r="F112" s="159">
        <v>0.63</v>
      </c>
      <c r="G112" s="159">
        <v>2.84</v>
      </c>
      <c r="H112" s="159"/>
      <c r="I112" s="159"/>
      <c r="J112" s="159">
        <v>2.84</v>
      </c>
      <c r="K112" s="159">
        <v>0.63</v>
      </c>
    </row>
    <row r="113" spans="1:24" x14ac:dyDescent="0.35">
      <c r="A113" s="161" t="s">
        <v>760</v>
      </c>
      <c r="B113" s="161"/>
      <c r="C113" s="161" t="s">
        <v>761</v>
      </c>
      <c r="D113" s="161">
        <f>SUM(D110:D112)</f>
        <v>23.3</v>
      </c>
      <c r="E113" s="161">
        <f>SUM(E110:E112)</f>
        <v>25.910000000000004</v>
      </c>
      <c r="F113" s="161">
        <f>SUM(F110:F112)</f>
        <v>6.27</v>
      </c>
      <c r="G113" s="162">
        <f>F113/E113*10</f>
        <v>2.4199150906985714</v>
      </c>
      <c r="H113" s="162">
        <f>I113/E113*10</f>
        <v>0</v>
      </c>
      <c r="I113" s="161">
        <f>SUM(I110:I112)</f>
        <v>0</v>
      </c>
      <c r="J113" s="162">
        <f>K113/E113*10</f>
        <v>2.4199150906985714</v>
      </c>
      <c r="K113" s="161">
        <f>SUM(K110:K112)</f>
        <v>6.27</v>
      </c>
    </row>
    <row r="114" spans="1:24" x14ac:dyDescent="0.35">
      <c r="A114" s="167"/>
      <c r="B114" s="168"/>
      <c r="C114" s="168"/>
      <c r="D114" s="168"/>
      <c r="E114" s="168"/>
      <c r="F114" s="168"/>
      <c r="G114" s="169"/>
      <c r="H114" s="169"/>
      <c r="I114" s="168"/>
      <c r="J114" s="169"/>
      <c r="K114" s="168"/>
    </row>
    <row r="115" spans="1:24" x14ac:dyDescent="0.35">
      <c r="A115" s="161" t="s">
        <v>533</v>
      </c>
      <c r="B115" s="161" t="s">
        <v>534</v>
      </c>
      <c r="C115" s="161"/>
      <c r="D115" s="161" t="s">
        <v>535</v>
      </c>
      <c r="E115" s="161" t="s">
        <v>536</v>
      </c>
      <c r="F115" s="803" t="s">
        <v>537</v>
      </c>
      <c r="G115" s="803"/>
      <c r="H115" s="803" t="s">
        <v>538</v>
      </c>
      <c r="I115" s="803"/>
      <c r="J115" s="803" t="s">
        <v>539</v>
      </c>
      <c r="K115" s="803"/>
      <c r="N115" s="84"/>
      <c r="O115" s="84"/>
      <c r="P115" s="84"/>
      <c r="Q115" s="84"/>
      <c r="R115" s="84"/>
      <c r="S115" s="84"/>
      <c r="T115" s="84"/>
      <c r="U115" s="84"/>
      <c r="V115" s="84"/>
      <c r="W115" s="84"/>
      <c r="X115" s="84"/>
    </row>
    <row r="116" spans="1:24" x14ac:dyDescent="0.35">
      <c r="A116" s="161"/>
      <c r="B116" s="161"/>
      <c r="C116" s="161"/>
      <c r="D116" s="161"/>
      <c r="E116" s="161"/>
      <c r="F116" s="161" t="s">
        <v>541</v>
      </c>
      <c r="G116" s="161" t="s">
        <v>540</v>
      </c>
      <c r="H116" s="161" t="s">
        <v>540</v>
      </c>
      <c r="I116" s="161" t="s">
        <v>541</v>
      </c>
      <c r="J116" s="161" t="s">
        <v>540</v>
      </c>
      <c r="K116" s="161" t="s">
        <v>541</v>
      </c>
      <c r="Q116" s="85"/>
      <c r="U116" s="85"/>
      <c r="V116" s="85"/>
      <c r="W116" s="85"/>
      <c r="X116" s="85"/>
    </row>
    <row r="117" spans="1:24" x14ac:dyDescent="0.35">
      <c r="A117" s="159" t="s">
        <v>521</v>
      </c>
      <c r="B117" s="159"/>
      <c r="C117" s="159" t="s">
        <v>304</v>
      </c>
      <c r="D117" s="159">
        <v>146.91999999999999</v>
      </c>
      <c r="E117" s="159">
        <v>1015.36</v>
      </c>
      <c r="F117" s="159" t="s">
        <v>129</v>
      </c>
      <c r="G117" s="159" t="s">
        <v>129</v>
      </c>
      <c r="H117" s="159">
        <v>2.75</v>
      </c>
      <c r="I117" s="159">
        <v>279.64999999999998</v>
      </c>
      <c r="J117" s="159">
        <v>2.75</v>
      </c>
      <c r="K117" s="159">
        <v>279.64999999999998</v>
      </c>
    </row>
    <row r="118" spans="1:24" x14ac:dyDescent="0.35">
      <c r="A118" s="159" t="s">
        <v>615</v>
      </c>
      <c r="B118" s="159"/>
      <c r="C118" s="159" t="s">
        <v>304</v>
      </c>
      <c r="D118" s="159">
        <v>81</v>
      </c>
      <c r="E118" s="159">
        <v>552.35</v>
      </c>
      <c r="F118" s="159" t="s">
        <v>129</v>
      </c>
      <c r="G118" s="159" t="s">
        <v>129</v>
      </c>
      <c r="H118" s="159">
        <v>3.2</v>
      </c>
      <c r="I118" s="159">
        <v>177</v>
      </c>
      <c r="J118" s="159">
        <v>3.2</v>
      </c>
      <c r="K118" s="159">
        <v>177</v>
      </c>
    </row>
    <row r="119" spans="1:24" x14ac:dyDescent="0.35">
      <c r="A119" s="159" t="s">
        <v>616</v>
      </c>
      <c r="B119" s="159"/>
      <c r="C119" s="159" t="s">
        <v>304</v>
      </c>
      <c r="D119" s="159">
        <v>101.2</v>
      </c>
      <c r="E119" s="159">
        <v>628.96</v>
      </c>
      <c r="F119" s="159" t="s">
        <v>129</v>
      </c>
      <c r="G119" s="159" t="s">
        <v>129</v>
      </c>
      <c r="H119" s="159">
        <v>3.86</v>
      </c>
      <c r="I119" s="159">
        <v>243.01</v>
      </c>
      <c r="J119" s="159">
        <v>3.86</v>
      </c>
      <c r="K119" s="159">
        <v>243.01</v>
      </c>
    </row>
    <row r="120" spans="1:24" x14ac:dyDescent="0.35">
      <c r="A120" s="161" t="s">
        <v>759</v>
      </c>
      <c r="B120" s="161"/>
      <c r="C120" s="161" t="s">
        <v>304</v>
      </c>
      <c r="D120" s="161">
        <f>SUM(D117:D119)</f>
        <v>329.12</v>
      </c>
      <c r="E120" s="161">
        <f>SUM(E117:E119)</f>
        <v>2196.67</v>
      </c>
      <c r="F120" s="161">
        <f>SUM(F117:F119)</f>
        <v>0</v>
      </c>
      <c r="G120" s="162">
        <f>F120/E120*10</f>
        <v>0</v>
      </c>
      <c r="H120" s="162">
        <f>I120/E120*10</f>
        <v>3.1850938010716217</v>
      </c>
      <c r="I120" s="161">
        <f>SUM(I117:I119)</f>
        <v>699.66</v>
      </c>
      <c r="J120" s="162">
        <f>K120/E120*10</f>
        <v>3.1850938010716217</v>
      </c>
      <c r="K120" s="161">
        <f>SUM(K117:K119)</f>
        <v>699.66</v>
      </c>
    </row>
    <row r="121" spans="1:24" x14ac:dyDescent="0.35">
      <c r="A121" s="88"/>
    </row>
    <row r="122" spans="1:24" x14ac:dyDescent="0.35">
      <c r="A122" s="161" t="s">
        <v>619</v>
      </c>
      <c r="B122" s="166"/>
      <c r="C122" s="161" t="s">
        <v>452</v>
      </c>
      <c r="D122" s="161">
        <f>Capacity!L326</f>
        <v>2057.6733333333332</v>
      </c>
      <c r="E122" s="161">
        <v>3412.33</v>
      </c>
      <c r="F122" s="161">
        <v>0</v>
      </c>
      <c r="G122" s="162">
        <f>F122/E122*10</f>
        <v>0</v>
      </c>
      <c r="H122" s="161">
        <v>5.18</v>
      </c>
      <c r="I122" s="161">
        <v>1765.95</v>
      </c>
      <c r="J122" s="161">
        <v>5.18</v>
      </c>
      <c r="K122" s="161">
        <v>1765.95</v>
      </c>
    </row>
    <row r="124" spans="1:24" x14ac:dyDescent="0.35">
      <c r="A124" s="161" t="s">
        <v>351</v>
      </c>
      <c r="B124" s="161"/>
      <c r="C124" s="161" t="s">
        <v>351</v>
      </c>
      <c r="D124" s="161">
        <f>Capacity!K326</f>
        <v>649.01</v>
      </c>
      <c r="E124" s="161">
        <v>553.14</v>
      </c>
      <c r="F124" s="161">
        <v>0</v>
      </c>
      <c r="G124" s="162">
        <f>F124/E124*10</f>
        <v>0</v>
      </c>
      <c r="H124" s="161">
        <v>6.46</v>
      </c>
      <c r="I124" s="161">
        <v>357.56</v>
      </c>
      <c r="J124" s="161">
        <v>6.46</v>
      </c>
      <c r="K124" s="161">
        <v>357.56</v>
      </c>
    </row>
  </sheetData>
  <mergeCells count="19">
    <mergeCell ref="B19:E19"/>
    <mergeCell ref="F22:G22"/>
    <mergeCell ref="H22:I22"/>
    <mergeCell ref="J22:K22"/>
    <mergeCell ref="F53:G53"/>
    <mergeCell ref="H53:I53"/>
    <mergeCell ref="J53:K53"/>
    <mergeCell ref="F70:G70"/>
    <mergeCell ref="H70:I70"/>
    <mergeCell ref="J70:K70"/>
    <mergeCell ref="F78:G78"/>
    <mergeCell ref="H78:I78"/>
    <mergeCell ref="J78:K78"/>
    <mergeCell ref="F108:G108"/>
    <mergeCell ref="H108:I108"/>
    <mergeCell ref="J108:K108"/>
    <mergeCell ref="F115:G115"/>
    <mergeCell ref="H115:I115"/>
    <mergeCell ref="J115:K115"/>
  </mergeCell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X112"/>
  <sheetViews>
    <sheetView zoomScaleNormal="100" workbookViewId="0"/>
  </sheetViews>
  <sheetFormatPr defaultColWidth="9.26953125" defaultRowHeight="14.5" x14ac:dyDescent="0.35"/>
  <cols>
    <col min="1" max="1" width="9.26953125" style="91"/>
    <col min="2" max="2" width="30.7265625" style="91" customWidth="1"/>
    <col min="3" max="3" width="9.26953125" style="91" customWidth="1"/>
    <col min="4" max="4" width="9.7265625" style="91" bestFit="1" customWidth="1"/>
    <col min="5" max="5" width="12" style="91" bestFit="1" customWidth="1"/>
    <col min="6" max="6" width="11.7265625" style="91" bestFit="1" customWidth="1"/>
    <col min="7" max="8" width="9.26953125" style="91" customWidth="1"/>
    <col min="9" max="9" width="12.54296875" style="91" customWidth="1"/>
    <col min="10" max="12" width="9.26953125" style="91"/>
    <col min="13" max="13" width="9.453125" style="90" customWidth="1"/>
    <col min="14" max="14" width="9.26953125" style="91"/>
    <col min="15" max="15" width="19.7265625" style="91" customWidth="1"/>
    <col min="16" max="16" width="9.26953125" style="91"/>
    <col min="17" max="17" width="36.26953125" style="91" bestFit="1" customWidth="1"/>
    <col min="18" max="18" width="9.26953125" style="91"/>
    <col min="19" max="19" width="43.54296875" style="91" bestFit="1" customWidth="1"/>
    <col min="20" max="16384" width="9.26953125" style="91"/>
  </cols>
  <sheetData>
    <row r="1" spans="2:7" s="51" customFormat="1" ht="29" x14ac:dyDescent="0.35">
      <c r="B1" s="50" t="s">
        <v>157</v>
      </c>
      <c r="C1" s="50" t="s">
        <v>180</v>
      </c>
      <c r="D1" s="50" t="s">
        <v>146</v>
      </c>
      <c r="E1" s="50" t="s">
        <v>182</v>
      </c>
      <c r="F1" s="50" t="s">
        <v>142</v>
      </c>
      <c r="G1" s="183" t="s">
        <v>738</v>
      </c>
    </row>
    <row r="2" spans="2:7" s="51" customFormat="1" ht="15" customHeight="1" x14ac:dyDescent="0.35">
      <c r="B2" s="63" t="s">
        <v>143</v>
      </c>
      <c r="C2" s="63" t="s">
        <v>739</v>
      </c>
      <c r="D2" s="63">
        <f>N61</f>
        <v>9289</v>
      </c>
      <c r="E2" s="63">
        <f>G2/D2*10^7/10^3</f>
        <v>7056.7983636559356</v>
      </c>
      <c r="F2" s="73">
        <f>P61</f>
        <v>2.0425051135751966</v>
      </c>
      <c r="G2" s="63">
        <f>O61</f>
        <v>6555.0599999999995</v>
      </c>
    </row>
    <row r="3" spans="2:7" s="51" customFormat="1" x14ac:dyDescent="0.35">
      <c r="B3" s="63" t="s">
        <v>144</v>
      </c>
      <c r="C3" s="63" t="s">
        <v>739</v>
      </c>
      <c r="D3" s="63">
        <f>N77</f>
        <v>3591.8</v>
      </c>
      <c r="E3" s="63">
        <f>G3/D3*10^7/10^3</f>
        <v>6233.9773929506091</v>
      </c>
      <c r="F3" s="73">
        <f>P77</f>
        <v>1.5986090539562336</v>
      </c>
      <c r="G3" s="63">
        <f>O77</f>
        <v>2239.12</v>
      </c>
    </row>
    <row r="4" spans="2:7" s="51" customFormat="1" x14ac:dyDescent="0.35">
      <c r="B4" s="63" t="s">
        <v>1612</v>
      </c>
      <c r="C4" s="63" t="s">
        <v>739</v>
      </c>
      <c r="D4" s="199">
        <f>N79</f>
        <v>12880.8</v>
      </c>
      <c r="E4" s="63">
        <f>G4/D4*10^7/10^3</f>
        <v>6827.3554437612574</v>
      </c>
      <c r="F4" s="73">
        <f>P79</f>
        <v>1.9187250791876282</v>
      </c>
      <c r="G4" s="199">
        <f>O79</f>
        <v>8794.18</v>
      </c>
    </row>
    <row r="5" spans="2:7" s="51" customFormat="1" x14ac:dyDescent="0.35">
      <c r="B5" s="45" t="s">
        <v>1613</v>
      </c>
      <c r="C5" s="63" t="s">
        <v>739</v>
      </c>
      <c r="D5" s="45">
        <f>N83</f>
        <v>257</v>
      </c>
      <c r="E5" s="63">
        <f>G5/D5*10^7/10^3</f>
        <v>6880.9338521400778</v>
      </c>
      <c r="F5" s="44">
        <f>P83</f>
        <v>2.4471595330739304</v>
      </c>
      <c r="G5" s="45">
        <f>O83</f>
        <v>176.84</v>
      </c>
    </row>
    <row r="6" spans="2:7" s="51" customFormat="1" x14ac:dyDescent="0.35">
      <c r="B6" s="45" t="s">
        <v>1614</v>
      </c>
      <c r="C6" s="63" t="s">
        <v>739</v>
      </c>
      <c r="D6" s="45">
        <v>0</v>
      </c>
      <c r="E6" s="63">
        <v>0</v>
      </c>
      <c r="F6" s="44">
        <v>0</v>
      </c>
      <c r="G6" s="51">
        <v>0</v>
      </c>
    </row>
    <row r="7" spans="2:7" s="51" customFormat="1" x14ac:dyDescent="0.35">
      <c r="B7" s="45" t="s">
        <v>1615</v>
      </c>
      <c r="C7" s="63" t="s">
        <v>739</v>
      </c>
      <c r="D7" s="45">
        <f>N87</f>
        <v>343</v>
      </c>
      <c r="E7" s="63">
        <f>G7/D7*10^7/10^3</f>
        <v>0</v>
      </c>
      <c r="F7" s="44">
        <f>P87</f>
        <v>2.6385714285714283</v>
      </c>
      <c r="G7" s="45">
        <f>O87</f>
        <v>0</v>
      </c>
    </row>
    <row r="8" spans="2:7" s="51" customFormat="1" x14ac:dyDescent="0.35">
      <c r="B8" s="45" t="s">
        <v>1604</v>
      </c>
      <c r="C8" s="63" t="s">
        <v>739</v>
      </c>
      <c r="D8" s="45">
        <f>N105</f>
        <v>3321</v>
      </c>
      <c r="E8" s="63">
        <f>G8/D8*10^7/10^3</f>
        <v>4195.7241794640158</v>
      </c>
      <c r="F8" s="44">
        <f>P105</f>
        <v>0.57025895814513694</v>
      </c>
      <c r="G8" s="45">
        <f>O105</f>
        <v>1393.3999999999996</v>
      </c>
    </row>
    <row r="9" spans="2:7" s="51" customFormat="1" x14ac:dyDescent="0.35">
      <c r="B9" s="45" t="s">
        <v>1603</v>
      </c>
      <c r="C9" s="63" t="s">
        <v>739</v>
      </c>
      <c r="D9" s="45">
        <f>N107</f>
        <v>32</v>
      </c>
      <c r="E9" s="63">
        <f>G9/D9*10^7/10^3</f>
        <v>0</v>
      </c>
      <c r="F9" s="44">
        <f>P107</f>
        <v>3.81</v>
      </c>
      <c r="G9" s="45">
        <f>O107</f>
        <v>0</v>
      </c>
    </row>
    <row r="10" spans="2:7" s="51" customFormat="1" x14ac:dyDescent="0.35">
      <c r="B10" s="63" t="s">
        <v>1605</v>
      </c>
      <c r="C10" s="63" t="s">
        <v>739</v>
      </c>
      <c r="D10" s="45">
        <v>0</v>
      </c>
      <c r="E10" s="73">
        <f>MH!G10</f>
        <v>0</v>
      </c>
      <c r="F10" s="44">
        <f>MH!H10</f>
        <v>5.76</v>
      </c>
      <c r="G10" s="51">
        <v>0</v>
      </c>
    </row>
    <row r="11" spans="2:7" s="51" customFormat="1" x14ac:dyDescent="0.35">
      <c r="B11" s="45" t="s">
        <v>1636</v>
      </c>
      <c r="C11" s="63" t="s">
        <v>739</v>
      </c>
      <c r="D11" s="200">
        <f>N109</f>
        <v>1284</v>
      </c>
      <c r="E11" s="63">
        <f>G11/D11*10^7/10^3</f>
        <v>0</v>
      </c>
      <c r="F11" s="44">
        <f>P109</f>
        <v>5.95</v>
      </c>
      <c r="G11" s="200">
        <f>O109</f>
        <v>0</v>
      </c>
    </row>
    <row r="12" spans="2:7" s="51" customFormat="1" x14ac:dyDescent="0.35">
      <c r="B12" s="45" t="s">
        <v>145</v>
      </c>
      <c r="C12" s="63" t="s">
        <v>739</v>
      </c>
      <c r="D12" s="45">
        <v>0</v>
      </c>
      <c r="E12" s="63">
        <v>0</v>
      </c>
      <c r="F12" s="44">
        <v>0</v>
      </c>
      <c r="G12" s="51">
        <v>0</v>
      </c>
    </row>
    <row r="13" spans="2:7" s="51" customFormat="1" x14ac:dyDescent="0.35">
      <c r="B13" s="63" t="s">
        <v>1606</v>
      </c>
      <c r="C13" s="63" t="s">
        <v>739</v>
      </c>
      <c r="D13" s="200">
        <f>N111</f>
        <v>2371</v>
      </c>
      <c r="E13" s="63">
        <f>G13/D13*10^7/10^3</f>
        <v>0</v>
      </c>
      <c r="F13" s="44">
        <f>P111</f>
        <v>5.38</v>
      </c>
      <c r="G13" s="200">
        <f>O111</f>
        <v>0</v>
      </c>
    </row>
    <row r="14" spans="2:7" s="51" customFormat="1" ht="15" customHeight="1" x14ac:dyDescent="0.35">
      <c r="B14" s="63" t="s">
        <v>143</v>
      </c>
      <c r="C14" s="63" t="s">
        <v>750</v>
      </c>
      <c r="D14" s="63">
        <f>I61</f>
        <v>7902.03</v>
      </c>
      <c r="E14" s="63">
        <f>G14/D14*10^7/10^3</f>
        <v>7151.3269375084628</v>
      </c>
      <c r="F14" s="73">
        <f>K61</f>
        <v>2.1445523232637691</v>
      </c>
      <c r="G14" s="63">
        <f>J61</f>
        <v>5651</v>
      </c>
    </row>
    <row r="15" spans="2:7" s="51" customFormat="1" x14ac:dyDescent="0.35">
      <c r="B15" s="63" t="s">
        <v>144</v>
      </c>
      <c r="C15" s="63" t="s">
        <v>750</v>
      </c>
      <c r="D15" s="63">
        <f>I77</f>
        <v>3029.41</v>
      </c>
      <c r="E15" s="63">
        <f>G15/D15*10^7/10^3</f>
        <v>4324.2743636549694</v>
      </c>
      <c r="F15" s="73">
        <f>K77</f>
        <v>1.2191645931055883</v>
      </c>
      <c r="G15" s="63">
        <f>J77</f>
        <v>1310</v>
      </c>
    </row>
    <row r="16" spans="2:7" s="51" customFormat="1" x14ac:dyDescent="0.35">
      <c r="B16" s="63" t="s">
        <v>1612</v>
      </c>
      <c r="C16" s="63" t="s">
        <v>750</v>
      </c>
      <c r="D16" s="199">
        <f>I79</f>
        <v>10931.439999999999</v>
      </c>
      <c r="E16" s="63">
        <f>G16/D16*10^7/10^3</f>
        <v>6367.8710215671499</v>
      </c>
      <c r="F16" s="73">
        <f>K79</f>
        <v>1.8881013119040131</v>
      </c>
      <c r="G16" s="199">
        <f>J79</f>
        <v>6961</v>
      </c>
    </row>
    <row r="17" spans="2:24" s="51" customFormat="1" x14ac:dyDescent="0.35">
      <c r="B17" s="45" t="s">
        <v>1613</v>
      </c>
      <c r="C17" s="63" t="s">
        <v>750</v>
      </c>
      <c r="D17" s="45">
        <f>I83</f>
        <v>257.36</v>
      </c>
      <c r="E17" s="63">
        <f>G17/D17*10^7/10^3</f>
        <v>1826.2356232514765</v>
      </c>
      <c r="F17" s="44">
        <f>K83</f>
        <v>2.1814116296238728</v>
      </c>
      <c r="G17" s="45">
        <f>J83</f>
        <v>47</v>
      </c>
    </row>
    <row r="18" spans="2:24" s="51" customFormat="1" x14ac:dyDescent="0.35">
      <c r="B18" s="45" t="s">
        <v>1614</v>
      </c>
      <c r="C18" s="63" t="s">
        <v>750</v>
      </c>
      <c r="D18" s="45">
        <v>0</v>
      </c>
      <c r="E18" s="63">
        <v>0</v>
      </c>
      <c r="F18" s="44">
        <v>0</v>
      </c>
      <c r="G18" s="51">
        <v>0</v>
      </c>
    </row>
    <row r="19" spans="2:24" s="51" customFormat="1" x14ac:dyDescent="0.35">
      <c r="B19" s="45" t="s">
        <v>1615</v>
      </c>
      <c r="C19" s="63" t="s">
        <v>750</v>
      </c>
      <c r="D19" s="45">
        <f>I87</f>
        <v>345.96000000000004</v>
      </c>
      <c r="E19" s="63">
        <f>G19/D19*10^7/10^3</f>
        <v>0</v>
      </c>
      <c r="F19" s="44">
        <f>K87</f>
        <v>2.6406088131575904</v>
      </c>
      <c r="G19" s="45">
        <f>J87</f>
        <v>0</v>
      </c>
    </row>
    <row r="20" spans="2:24" s="51" customFormat="1" x14ac:dyDescent="0.35">
      <c r="B20" s="45" t="s">
        <v>1604</v>
      </c>
      <c r="C20" s="63" t="s">
        <v>750</v>
      </c>
      <c r="D20" s="45">
        <f>I105</f>
        <v>3321</v>
      </c>
      <c r="E20" s="63">
        <f>G20/D20*10^7/10^3</f>
        <v>6940.6805179162902</v>
      </c>
      <c r="F20" s="44">
        <f>K105</f>
        <v>0</v>
      </c>
      <c r="G20" s="45">
        <f>J105</f>
        <v>2305</v>
      </c>
    </row>
    <row r="21" spans="2:24" s="51" customFormat="1" x14ac:dyDescent="0.35">
      <c r="B21" s="45" t="s">
        <v>1603</v>
      </c>
      <c r="C21" s="63" t="s">
        <v>750</v>
      </c>
      <c r="D21" s="45">
        <f>I107</f>
        <v>30</v>
      </c>
      <c r="E21" s="63">
        <f>G21/D21*10^7/10^3</f>
        <v>0</v>
      </c>
      <c r="F21" s="44">
        <f>K107</f>
        <v>5.5850999999999997</v>
      </c>
      <c r="G21" s="45">
        <f>J107</f>
        <v>0</v>
      </c>
    </row>
    <row r="22" spans="2:24" s="51" customFormat="1" x14ac:dyDescent="0.35">
      <c r="B22" s="45" t="s">
        <v>1605</v>
      </c>
      <c r="C22" s="63" t="s">
        <v>750</v>
      </c>
      <c r="D22" s="45">
        <v>0</v>
      </c>
      <c r="E22" s="63">
        <v>0</v>
      </c>
      <c r="F22" s="44">
        <v>0</v>
      </c>
      <c r="G22" s="51">
        <v>0</v>
      </c>
    </row>
    <row r="23" spans="2:24" s="51" customFormat="1" x14ac:dyDescent="0.35">
      <c r="B23" s="45" t="s">
        <v>1636</v>
      </c>
      <c r="C23" s="63" t="s">
        <v>750</v>
      </c>
      <c r="D23" s="200">
        <f>I109</f>
        <v>1025</v>
      </c>
      <c r="E23" s="63">
        <f>G23/D23*10^7/10^3</f>
        <v>0</v>
      </c>
      <c r="F23" s="44">
        <f>K109</f>
        <v>6.43</v>
      </c>
      <c r="G23" s="200">
        <f>J109</f>
        <v>0</v>
      </c>
    </row>
    <row r="24" spans="2:24" s="51" customFormat="1" x14ac:dyDescent="0.35">
      <c r="B24" s="45" t="s">
        <v>145</v>
      </c>
      <c r="C24" s="63" t="s">
        <v>750</v>
      </c>
      <c r="D24" s="45">
        <v>0</v>
      </c>
      <c r="E24" s="63">
        <v>0</v>
      </c>
      <c r="F24" s="44">
        <v>0</v>
      </c>
      <c r="G24" s="51">
        <v>0</v>
      </c>
    </row>
    <row r="25" spans="2:24" s="51" customFormat="1" x14ac:dyDescent="0.35">
      <c r="B25" s="63" t="s">
        <v>1606</v>
      </c>
      <c r="C25" s="63" t="s">
        <v>750</v>
      </c>
      <c r="D25" s="200">
        <f>I111</f>
        <v>2218</v>
      </c>
      <c r="E25" s="63">
        <f>G25/D25*10^7/10^3</f>
        <v>0</v>
      </c>
      <c r="F25" s="44">
        <f>K111</f>
        <v>5.5850999999999997</v>
      </c>
      <c r="G25" s="200">
        <f>J111</f>
        <v>0</v>
      </c>
    </row>
    <row r="26" spans="2:24" s="51" customFormat="1" x14ac:dyDescent="0.35"/>
    <row r="27" spans="2:24" s="83" customFormat="1" x14ac:dyDescent="0.35">
      <c r="C27" s="91"/>
    </row>
    <row r="28" spans="2:24" s="51" customFormat="1" x14ac:dyDescent="0.35">
      <c r="B28" s="53" t="s">
        <v>49</v>
      </c>
      <c r="C28" s="91"/>
      <c r="D28" s="101"/>
      <c r="E28" s="101"/>
      <c r="F28" s="101"/>
    </row>
    <row r="29" spans="2:24" s="51" customFormat="1" x14ac:dyDescent="0.35">
      <c r="B29" s="54" t="s">
        <v>1396</v>
      </c>
      <c r="C29" s="367" t="s">
        <v>1395</v>
      </c>
      <c r="D29" s="366"/>
      <c r="E29" s="366"/>
      <c r="F29" s="366"/>
      <c r="G29" s="55"/>
      <c r="H29" s="55"/>
    </row>
    <row r="30" spans="2:24" s="51" customFormat="1" x14ac:dyDescent="0.35">
      <c r="B30" s="54"/>
      <c r="C30" s="54" t="s">
        <v>1411</v>
      </c>
      <c r="N30" s="91"/>
      <c r="P30" s="91"/>
      <c r="Q30" s="91"/>
      <c r="R30" s="91"/>
      <c r="S30" s="91"/>
      <c r="T30" s="91"/>
      <c r="U30" s="91"/>
      <c r="V30" s="91"/>
      <c r="W30" s="91"/>
      <c r="X30" s="91"/>
    </row>
    <row r="31" spans="2:24" s="51" customFormat="1" x14ac:dyDescent="0.35">
      <c r="B31" s="54" t="s">
        <v>140</v>
      </c>
      <c r="C31" s="54" t="s">
        <v>48</v>
      </c>
      <c r="N31" s="91"/>
      <c r="P31" s="91"/>
      <c r="Q31" s="91"/>
      <c r="R31" s="91"/>
      <c r="S31" s="91"/>
      <c r="T31" s="91"/>
      <c r="U31" s="91"/>
      <c r="V31" s="91"/>
      <c r="W31" s="91"/>
      <c r="X31" s="91"/>
    </row>
    <row r="32" spans="2:24" s="51" customFormat="1" x14ac:dyDescent="0.35">
      <c r="B32" s="54"/>
      <c r="C32" s="54"/>
      <c r="G32" s="183" t="s">
        <v>750</v>
      </c>
      <c r="H32" s="183" t="s">
        <v>750</v>
      </c>
      <c r="I32" s="183" t="s">
        <v>750</v>
      </c>
      <c r="J32" s="183" t="s">
        <v>750</v>
      </c>
      <c r="K32" s="183" t="s">
        <v>750</v>
      </c>
      <c r="L32" s="183" t="s">
        <v>739</v>
      </c>
      <c r="M32" s="183" t="s">
        <v>739</v>
      </c>
      <c r="N32" s="183" t="s">
        <v>739</v>
      </c>
      <c r="O32" s="183" t="s">
        <v>739</v>
      </c>
      <c r="P32" s="183" t="s">
        <v>739</v>
      </c>
      <c r="Q32" s="91"/>
      <c r="R32" s="91"/>
      <c r="S32" s="91"/>
      <c r="T32" s="91"/>
      <c r="U32" s="91"/>
      <c r="V32" s="91"/>
      <c r="W32" s="91"/>
      <c r="X32" s="91"/>
    </row>
    <row r="33" spans="2:19" ht="51" customHeight="1" x14ac:dyDescent="0.35">
      <c r="B33" s="196" t="s">
        <v>33</v>
      </c>
      <c r="C33" s="196" t="s">
        <v>621</v>
      </c>
      <c r="D33" s="196" t="s">
        <v>622</v>
      </c>
      <c r="E33" s="196" t="s">
        <v>263</v>
      </c>
      <c r="F33" s="196" t="s">
        <v>623</v>
      </c>
      <c r="G33" s="194" t="s">
        <v>624</v>
      </c>
      <c r="H33" s="194" t="s">
        <v>993</v>
      </c>
      <c r="I33" s="195" t="s">
        <v>625</v>
      </c>
      <c r="J33" s="194" t="s">
        <v>626</v>
      </c>
      <c r="K33" s="194" t="s">
        <v>153</v>
      </c>
      <c r="L33" s="194" t="s">
        <v>146</v>
      </c>
      <c r="M33" s="194" t="s">
        <v>1404</v>
      </c>
      <c r="N33" s="194" t="s">
        <v>1405</v>
      </c>
      <c r="O33" s="194" t="s">
        <v>1412</v>
      </c>
      <c r="P33" s="194" t="s">
        <v>1410</v>
      </c>
      <c r="Q33" s="90"/>
      <c r="R33" s="89"/>
      <c r="S33" s="368"/>
    </row>
    <row r="34" spans="2:19" x14ac:dyDescent="0.35">
      <c r="B34" s="184" t="s">
        <v>627</v>
      </c>
      <c r="C34" s="184" t="s">
        <v>628</v>
      </c>
      <c r="D34" s="184" t="s">
        <v>273</v>
      </c>
      <c r="E34" s="184" t="s">
        <v>274</v>
      </c>
      <c r="F34" s="184" t="s">
        <v>629</v>
      </c>
      <c r="G34" s="189">
        <v>2100</v>
      </c>
      <c r="H34" s="185">
        <v>0.23</v>
      </c>
      <c r="I34" s="184">
        <v>481.91</v>
      </c>
      <c r="J34" s="184">
        <v>179</v>
      </c>
      <c r="K34" s="370">
        <v>1.3033000000000001</v>
      </c>
      <c r="L34" s="369">
        <v>2100</v>
      </c>
      <c r="M34" s="185">
        <v>0.23</v>
      </c>
      <c r="N34" s="184">
        <v>479</v>
      </c>
      <c r="O34" s="184">
        <v>222.74</v>
      </c>
      <c r="P34" s="184">
        <v>1.37</v>
      </c>
    </row>
    <row r="35" spans="2:19" x14ac:dyDescent="0.35">
      <c r="B35" s="184" t="s">
        <v>649</v>
      </c>
      <c r="C35" s="184" t="s">
        <v>628</v>
      </c>
      <c r="D35" s="184"/>
      <c r="E35" s="184" t="s">
        <v>274</v>
      </c>
      <c r="F35" s="184" t="s">
        <v>650</v>
      </c>
      <c r="G35" s="184">
        <v>500</v>
      </c>
      <c r="H35" s="185">
        <v>0.15</v>
      </c>
      <c r="I35" s="184">
        <v>76.33</v>
      </c>
      <c r="J35" s="184">
        <v>82</v>
      </c>
      <c r="K35" s="370">
        <v>1.2956000000000001</v>
      </c>
      <c r="L35" s="184">
        <v>500</v>
      </c>
      <c r="M35" s="185">
        <v>0.16</v>
      </c>
      <c r="N35" s="184">
        <v>76</v>
      </c>
      <c r="O35" s="184">
        <v>67.930000000000007</v>
      </c>
      <c r="P35" s="184">
        <v>1.23</v>
      </c>
    </row>
    <row r="36" spans="2:19" x14ac:dyDescent="0.35">
      <c r="B36" s="184" t="s">
        <v>630</v>
      </c>
      <c r="C36" s="184" t="s">
        <v>628</v>
      </c>
      <c r="D36" s="184"/>
      <c r="E36" s="184" t="s">
        <v>274</v>
      </c>
      <c r="F36" s="184" t="s">
        <v>629</v>
      </c>
      <c r="G36" s="189">
        <v>1260</v>
      </c>
      <c r="H36" s="185">
        <v>0.35</v>
      </c>
      <c r="I36" s="184">
        <v>443.39</v>
      </c>
      <c r="J36" s="184">
        <v>161</v>
      </c>
      <c r="K36" s="370">
        <v>1.7771999999999999</v>
      </c>
      <c r="L36" s="369">
        <v>1260</v>
      </c>
      <c r="M36" s="185">
        <v>0.35</v>
      </c>
      <c r="N36" s="184">
        <v>441</v>
      </c>
      <c r="O36" s="184">
        <v>250.05</v>
      </c>
      <c r="P36" s="184">
        <v>1.78</v>
      </c>
    </row>
    <row r="37" spans="2:19" x14ac:dyDescent="0.35">
      <c r="B37" s="184" t="s">
        <v>631</v>
      </c>
      <c r="C37" s="184" t="s">
        <v>628</v>
      </c>
      <c r="D37" s="184"/>
      <c r="E37" s="184" t="s">
        <v>274</v>
      </c>
      <c r="F37" s="184" t="s">
        <v>629</v>
      </c>
      <c r="G37" s="189">
        <v>1000</v>
      </c>
      <c r="H37" s="185">
        <v>0.32</v>
      </c>
      <c r="I37" s="184">
        <v>318.20999999999998</v>
      </c>
      <c r="J37" s="184">
        <v>131</v>
      </c>
      <c r="K37" s="370">
        <v>1.7824</v>
      </c>
      <c r="L37" s="369">
        <v>1000</v>
      </c>
      <c r="M37" s="185">
        <v>0.32</v>
      </c>
      <c r="N37" s="184">
        <v>316</v>
      </c>
      <c r="O37" s="184">
        <v>150.47999999999999</v>
      </c>
      <c r="P37" s="184">
        <v>1.65</v>
      </c>
    </row>
    <row r="38" spans="2:19" x14ac:dyDescent="0.35">
      <c r="B38" s="184" t="s">
        <v>632</v>
      </c>
      <c r="C38" s="184" t="s">
        <v>628</v>
      </c>
      <c r="D38" s="184"/>
      <c r="E38" s="184" t="s">
        <v>274</v>
      </c>
      <c r="F38" s="184" t="s">
        <v>629</v>
      </c>
      <c r="G38" s="189">
        <v>1000</v>
      </c>
      <c r="H38" s="185">
        <v>0.25</v>
      </c>
      <c r="I38" s="184">
        <v>245.21</v>
      </c>
      <c r="J38" s="184">
        <v>183</v>
      </c>
      <c r="K38" s="370">
        <v>1.72</v>
      </c>
      <c r="L38" s="369">
        <v>1000</v>
      </c>
      <c r="M38" s="185">
        <v>0.24</v>
      </c>
      <c r="N38" s="184">
        <v>243</v>
      </c>
      <c r="O38" s="184">
        <v>173.22</v>
      </c>
      <c r="P38" s="184">
        <v>1.64</v>
      </c>
    </row>
    <row r="39" spans="2:19" x14ac:dyDescent="0.35">
      <c r="B39" s="184" t="s">
        <v>633</v>
      </c>
      <c r="C39" s="184" t="s">
        <v>628</v>
      </c>
      <c r="D39" s="184"/>
      <c r="E39" s="184" t="s">
        <v>274</v>
      </c>
      <c r="F39" s="184" t="s">
        <v>629</v>
      </c>
      <c r="G39" s="189">
        <v>1000</v>
      </c>
      <c r="H39" s="185">
        <v>0.19</v>
      </c>
      <c r="I39" s="184">
        <v>187.23</v>
      </c>
      <c r="J39" s="184">
        <v>165</v>
      </c>
      <c r="K39" s="370">
        <v>1.2387999999999999</v>
      </c>
      <c r="L39" s="369">
        <v>1000</v>
      </c>
      <c r="M39" s="185">
        <v>0.19</v>
      </c>
      <c r="N39" s="184">
        <v>186</v>
      </c>
      <c r="O39" s="184">
        <v>155.41999999999999</v>
      </c>
      <c r="P39" s="184">
        <v>1.38</v>
      </c>
    </row>
    <row r="40" spans="2:19" x14ac:dyDescent="0.35">
      <c r="B40" s="184" t="s">
        <v>634</v>
      </c>
      <c r="C40" s="184" t="s">
        <v>179</v>
      </c>
      <c r="D40" s="184"/>
      <c r="E40" s="184" t="s">
        <v>274</v>
      </c>
      <c r="F40" s="184" t="s">
        <v>635</v>
      </c>
      <c r="G40" s="184">
        <v>210</v>
      </c>
      <c r="H40" s="185">
        <v>1</v>
      </c>
      <c r="I40" s="184">
        <v>210</v>
      </c>
      <c r="J40" s="184">
        <v>214</v>
      </c>
      <c r="K40" s="370">
        <v>1.7342</v>
      </c>
      <c r="L40" s="184">
        <v>210</v>
      </c>
      <c r="M40" s="185">
        <v>1</v>
      </c>
      <c r="N40" s="184">
        <v>210</v>
      </c>
      <c r="O40" s="184">
        <v>199.2</v>
      </c>
      <c r="P40" s="184">
        <v>1.73</v>
      </c>
    </row>
    <row r="41" spans="2:19" x14ac:dyDescent="0.35">
      <c r="B41" s="184" t="s">
        <v>636</v>
      </c>
      <c r="C41" s="184" t="s">
        <v>179</v>
      </c>
      <c r="D41" s="184"/>
      <c r="E41" s="184" t="s">
        <v>274</v>
      </c>
      <c r="F41" s="184" t="s">
        <v>635</v>
      </c>
      <c r="G41" s="184">
        <v>830</v>
      </c>
      <c r="H41" s="185">
        <v>1</v>
      </c>
      <c r="I41" s="184">
        <v>830</v>
      </c>
      <c r="J41" s="186">
        <v>355</v>
      </c>
      <c r="K41" s="370">
        <v>2.5459000000000001</v>
      </c>
      <c r="L41" s="184">
        <v>830</v>
      </c>
      <c r="M41" s="185">
        <v>1</v>
      </c>
      <c r="N41" s="184">
        <v>830</v>
      </c>
      <c r="O41" s="184">
        <v>326.93</v>
      </c>
      <c r="P41" s="184">
        <v>2.1800000000000002</v>
      </c>
    </row>
    <row r="42" spans="2:19" x14ac:dyDescent="0.35">
      <c r="B42" s="184" t="s">
        <v>637</v>
      </c>
      <c r="C42" s="184" t="s">
        <v>179</v>
      </c>
      <c r="D42" s="184"/>
      <c r="E42" s="184" t="s">
        <v>274</v>
      </c>
      <c r="F42" s="184" t="s">
        <v>179</v>
      </c>
      <c r="G42" s="184">
        <v>250</v>
      </c>
      <c r="H42" s="185">
        <v>1</v>
      </c>
      <c r="I42" s="184">
        <v>250</v>
      </c>
      <c r="J42" s="184">
        <v>256</v>
      </c>
      <c r="K42" s="370">
        <v>2.2174999999999998</v>
      </c>
      <c r="L42" s="184">
        <v>250</v>
      </c>
      <c r="M42" s="185">
        <v>1</v>
      </c>
      <c r="N42" s="184">
        <v>250</v>
      </c>
      <c r="O42" s="191">
        <f>J42</f>
        <v>256</v>
      </c>
      <c r="P42" s="371">
        <f>K42</f>
        <v>2.2174999999999998</v>
      </c>
    </row>
    <row r="43" spans="2:19" x14ac:dyDescent="0.35">
      <c r="B43" s="184" t="s">
        <v>638</v>
      </c>
      <c r="C43" s="184" t="s">
        <v>179</v>
      </c>
      <c r="D43" s="184"/>
      <c r="E43" s="184" t="s">
        <v>274</v>
      </c>
      <c r="F43" s="184" t="s">
        <v>179</v>
      </c>
      <c r="G43" s="184">
        <v>250</v>
      </c>
      <c r="H43" s="185">
        <v>1</v>
      </c>
      <c r="I43" s="184">
        <v>250</v>
      </c>
      <c r="J43" s="184">
        <v>256</v>
      </c>
      <c r="K43" s="370">
        <v>2.2174999999999998</v>
      </c>
      <c r="L43" s="184">
        <v>250</v>
      </c>
      <c r="M43" s="185">
        <v>1</v>
      </c>
      <c r="N43" s="184">
        <v>250</v>
      </c>
      <c r="O43" s="191">
        <f>J43</f>
        <v>256</v>
      </c>
      <c r="P43" s="371">
        <f>K43</f>
        <v>2.2174999999999998</v>
      </c>
    </row>
    <row r="44" spans="2:19" x14ac:dyDescent="0.35">
      <c r="B44" s="184" t="s">
        <v>640</v>
      </c>
      <c r="C44" s="184" t="s">
        <v>179</v>
      </c>
      <c r="D44" s="184"/>
      <c r="E44" s="184" t="s">
        <v>274</v>
      </c>
      <c r="F44" s="184" t="s">
        <v>641</v>
      </c>
      <c r="G44" s="184">
        <v>500</v>
      </c>
      <c r="H44" s="185">
        <v>0.7</v>
      </c>
      <c r="I44" s="184">
        <v>350</v>
      </c>
      <c r="J44" s="184">
        <v>226</v>
      </c>
      <c r="K44" s="370">
        <v>2.6064999999999996</v>
      </c>
      <c r="L44" s="184">
        <v>500</v>
      </c>
      <c r="M44" s="185">
        <v>0.7</v>
      </c>
      <c r="N44" s="184">
        <v>350</v>
      </c>
      <c r="O44" s="184">
        <f>2*252.37</f>
        <v>504.74</v>
      </c>
      <c r="P44" s="184">
        <v>2.78</v>
      </c>
    </row>
    <row r="45" spans="2:19" x14ac:dyDescent="0.35">
      <c r="B45" s="184" t="s">
        <v>639</v>
      </c>
      <c r="C45" s="184" t="s">
        <v>179</v>
      </c>
      <c r="D45" s="184"/>
      <c r="E45" s="184" t="s">
        <v>274</v>
      </c>
      <c r="F45" s="184" t="s">
        <v>635</v>
      </c>
      <c r="G45" s="184">
        <v>840</v>
      </c>
      <c r="H45" s="185">
        <v>1</v>
      </c>
      <c r="I45" s="184">
        <v>840</v>
      </c>
      <c r="J45" s="184">
        <v>370</v>
      </c>
      <c r="K45" s="370">
        <v>2.42</v>
      </c>
      <c r="L45" s="184">
        <v>840</v>
      </c>
      <c r="M45" s="185">
        <v>1</v>
      </c>
      <c r="N45" s="184">
        <v>840</v>
      </c>
      <c r="O45" s="184">
        <v>390.62</v>
      </c>
      <c r="P45" s="184">
        <v>1.9</v>
      </c>
    </row>
    <row r="46" spans="2:19" x14ac:dyDescent="0.35">
      <c r="B46" s="184" t="s">
        <v>642</v>
      </c>
      <c r="C46" s="184" t="s">
        <v>179</v>
      </c>
      <c r="D46" s="184"/>
      <c r="E46" s="184" t="s">
        <v>274</v>
      </c>
      <c r="F46" s="184" t="s">
        <v>635</v>
      </c>
      <c r="G46" s="184">
        <v>500</v>
      </c>
      <c r="H46" s="185">
        <v>1</v>
      </c>
      <c r="I46" s="184">
        <v>500</v>
      </c>
      <c r="J46" s="184">
        <v>410</v>
      </c>
      <c r="K46" s="370">
        <v>2.1562000000000001</v>
      </c>
      <c r="L46" s="184">
        <v>500</v>
      </c>
      <c r="M46" s="185">
        <v>1</v>
      </c>
      <c r="N46" s="184">
        <v>500</v>
      </c>
      <c r="O46" s="184">
        <v>376.79</v>
      </c>
      <c r="P46" s="184">
        <v>2.21</v>
      </c>
    </row>
    <row r="47" spans="2:19" x14ac:dyDescent="0.35">
      <c r="B47" s="184" t="s">
        <v>687</v>
      </c>
      <c r="C47" s="184" t="s">
        <v>644</v>
      </c>
      <c r="D47" s="184"/>
      <c r="E47" s="187" t="s">
        <v>274</v>
      </c>
      <c r="F47" s="184" t="s">
        <v>688</v>
      </c>
      <c r="G47" s="189">
        <v>1000</v>
      </c>
      <c r="H47" s="185">
        <v>0.4</v>
      </c>
      <c r="I47" s="184">
        <v>400</v>
      </c>
      <c r="J47" s="184">
        <v>299</v>
      </c>
      <c r="K47" s="370">
        <v>2.2193000000000001</v>
      </c>
      <c r="L47" s="369">
        <v>1840</v>
      </c>
      <c r="M47" s="185">
        <v>0</v>
      </c>
      <c r="N47" s="191">
        <f>I47</f>
        <v>400</v>
      </c>
      <c r="O47" s="191">
        <f t="shared" ref="O47:P49" si="0">J47</f>
        <v>299</v>
      </c>
      <c r="P47" s="371">
        <f t="shared" si="0"/>
        <v>2.2193000000000001</v>
      </c>
    </row>
    <row r="48" spans="2:19" x14ac:dyDescent="0.35">
      <c r="B48" s="184" t="s">
        <v>643</v>
      </c>
      <c r="C48" s="184" t="s">
        <v>644</v>
      </c>
      <c r="D48" s="184"/>
      <c r="E48" s="184" t="s">
        <v>274</v>
      </c>
      <c r="F48" s="184" t="s">
        <v>645</v>
      </c>
      <c r="G48" s="184">
        <v>50</v>
      </c>
      <c r="H48" s="185">
        <v>1</v>
      </c>
      <c r="I48" s="184">
        <v>50</v>
      </c>
      <c r="J48" s="184">
        <v>65</v>
      </c>
      <c r="K48" s="370">
        <v>2.4111000000000002</v>
      </c>
      <c r="L48" s="184">
        <v>500</v>
      </c>
      <c r="M48" s="185">
        <v>0</v>
      </c>
      <c r="N48" s="191">
        <f>I48</f>
        <v>50</v>
      </c>
      <c r="O48" s="191">
        <f t="shared" si="0"/>
        <v>65</v>
      </c>
      <c r="P48" s="371">
        <f t="shared" si="0"/>
        <v>2.4111000000000002</v>
      </c>
    </row>
    <row r="49" spans="2:16" x14ac:dyDescent="0.35">
      <c r="B49" s="184" t="s">
        <v>646</v>
      </c>
      <c r="C49" s="184" t="s">
        <v>644</v>
      </c>
      <c r="D49" s="184"/>
      <c r="E49" s="184" t="s">
        <v>274</v>
      </c>
      <c r="F49" s="184" t="s">
        <v>645</v>
      </c>
      <c r="G49" s="184">
        <v>50</v>
      </c>
      <c r="H49" s="185">
        <v>1</v>
      </c>
      <c r="I49" s="184">
        <v>50</v>
      </c>
      <c r="J49" s="184">
        <v>65</v>
      </c>
      <c r="K49" s="370">
        <v>2.4111000000000002</v>
      </c>
      <c r="L49" s="184">
        <v>500</v>
      </c>
      <c r="M49" s="185">
        <v>0</v>
      </c>
      <c r="N49" s="191">
        <f>I49</f>
        <v>50</v>
      </c>
      <c r="O49" s="191">
        <f t="shared" si="0"/>
        <v>65</v>
      </c>
      <c r="P49" s="371">
        <f t="shared" si="0"/>
        <v>2.4111000000000002</v>
      </c>
    </row>
    <row r="50" spans="2:16" x14ac:dyDescent="0.35">
      <c r="B50" s="184" t="s">
        <v>651</v>
      </c>
      <c r="C50" s="184" t="s">
        <v>628</v>
      </c>
      <c r="D50" s="184"/>
      <c r="E50" s="184" t="s">
        <v>274</v>
      </c>
      <c r="F50" s="184" t="s">
        <v>650</v>
      </c>
      <c r="G50" s="189">
        <v>1000</v>
      </c>
      <c r="H50" s="185">
        <v>0.28000000000000003</v>
      </c>
      <c r="I50" s="184">
        <v>284.06</v>
      </c>
      <c r="J50" s="184">
        <v>236</v>
      </c>
      <c r="K50" s="370">
        <v>1.8133000000000001</v>
      </c>
      <c r="L50" s="369">
        <v>1000</v>
      </c>
      <c r="M50" s="185">
        <v>0.28000000000000003</v>
      </c>
      <c r="N50" s="184">
        <v>284</v>
      </c>
      <c r="O50" s="184">
        <f>2*149.32</f>
        <v>298.64</v>
      </c>
      <c r="P50" s="184">
        <v>1.66</v>
      </c>
    </row>
    <row r="51" spans="2:16" x14ac:dyDescent="0.35">
      <c r="B51" s="184" t="s">
        <v>652</v>
      </c>
      <c r="C51" s="184" t="s">
        <v>628</v>
      </c>
      <c r="D51" s="184"/>
      <c r="E51" s="184" t="s">
        <v>274</v>
      </c>
      <c r="F51" s="184" t="s">
        <v>650</v>
      </c>
      <c r="G51" s="184">
        <v>500</v>
      </c>
      <c r="H51" s="185">
        <v>0.28000000000000003</v>
      </c>
      <c r="I51" s="184">
        <v>141.69</v>
      </c>
      <c r="J51" s="184">
        <v>159</v>
      </c>
      <c r="K51" s="370">
        <v>1.2090000000000001</v>
      </c>
      <c r="L51" s="184">
        <v>500</v>
      </c>
      <c r="M51" s="185">
        <v>0.28000000000000003</v>
      </c>
      <c r="N51" s="184">
        <v>142</v>
      </c>
      <c r="O51" s="184">
        <v>157.29</v>
      </c>
      <c r="P51" s="184">
        <v>1.66</v>
      </c>
    </row>
    <row r="52" spans="2:16" x14ac:dyDescent="0.35">
      <c r="B52" s="192" t="s">
        <v>647</v>
      </c>
      <c r="C52" s="184" t="s">
        <v>644</v>
      </c>
      <c r="D52" s="184" t="s">
        <v>273</v>
      </c>
      <c r="E52" s="184" t="s">
        <v>274</v>
      </c>
      <c r="F52" s="184" t="s">
        <v>629</v>
      </c>
      <c r="G52" s="189">
        <v>1500</v>
      </c>
      <c r="H52" s="185">
        <v>0.05</v>
      </c>
      <c r="I52" s="184">
        <v>74</v>
      </c>
      <c r="J52" s="184">
        <v>37</v>
      </c>
      <c r="K52" s="370">
        <v>2.0752999999999999</v>
      </c>
      <c r="L52" s="369">
        <v>1500</v>
      </c>
      <c r="M52" s="185">
        <v>0.05</v>
      </c>
      <c r="N52" s="184">
        <v>74</v>
      </c>
      <c r="O52" s="184">
        <v>56.68</v>
      </c>
      <c r="P52" s="184">
        <v>2.21</v>
      </c>
    </row>
    <row r="53" spans="2:16" x14ac:dyDescent="0.35">
      <c r="B53" s="184" t="s">
        <v>662</v>
      </c>
      <c r="C53" s="184" t="s">
        <v>628</v>
      </c>
      <c r="D53" s="184"/>
      <c r="E53" s="184" t="s">
        <v>274</v>
      </c>
      <c r="F53" s="184" t="s">
        <v>641</v>
      </c>
      <c r="G53" s="184">
        <v>600</v>
      </c>
      <c r="H53" s="185">
        <v>0.35</v>
      </c>
      <c r="I53" s="184">
        <v>210</v>
      </c>
      <c r="J53" s="184">
        <v>214</v>
      </c>
      <c r="K53" s="370">
        <v>1.9203000000000001</v>
      </c>
      <c r="L53" s="369">
        <v>600</v>
      </c>
      <c r="M53" s="185">
        <v>0.35</v>
      </c>
      <c r="N53" s="184">
        <v>210</v>
      </c>
      <c r="O53" s="184">
        <v>303.37</v>
      </c>
      <c r="P53" s="184">
        <v>1.8</v>
      </c>
    </row>
    <row r="54" spans="2:16" x14ac:dyDescent="0.35">
      <c r="B54" s="187" t="s">
        <v>1420</v>
      </c>
      <c r="C54" s="184" t="s">
        <v>628</v>
      </c>
      <c r="D54" s="184"/>
      <c r="E54" s="184" t="s">
        <v>274</v>
      </c>
      <c r="F54" s="184" t="s">
        <v>641</v>
      </c>
      <c r="G54" s="184"/>
      <c r="H54" s="185"/>
      <c r="I54" s="184"/>
      <c r="J54" s="184"/>
      <c r="K54" s="370"/>
      <c r="L54" s="369">
        <v>600</v>
      </c>
      <c r="M54" s="185">
        <v>0.35</v>
      </c>
      <c r="N54" s="184">
        <v>210</v>
      </c>
      <c r="O54" s="184">
        <v>238.69</v>
      </c>
      <c r="P54" s="184">
        <v>1.96</v>
      </c>
    </row>
    <row r="55" spans="2:16" x14ac:dyDescent="0.35">
      <c r="B55" s="184" t="s">
        <v>660</v>
      </c>
      <c r="C55" s="184" t="s">
        <v>628</v>
      </c>
      <c r="D55" s="184"/>
      <c r="E55" s="184" t="s">
        <v>274</v>
      </c>
      <c r="F55" s="184" t="s">
        <v>641</v>
      </c>
      <c r="G55" s="189">
        <v>1600</v>
      </c>
      <c r="H55" s="185">
        <v>0.13</v>
      </c>
      <c r="I55" s="184">
        <v>210</v>
      </c>
      <c r="J55" s="184">
        <v>229</v>
      </c>
      <c r="K55" s="370">
        <v>2.8</v>
      </c>
      <c r="L55" s="184">
        <v>600</v>
      </c>
      <c r="M55" s="185">
        <v>0.35</v>
      </c>
      <c r="N55" s="184">
        <v>210</v>
      </c>
      <c r="O55" s="184">
        <v>177.7</v>
      </c>
      <c r="P55" s="184">
        <v>2.2799999999999998</v>
      </c>
    </row>
    <row r="56" spans="2:16" x14ac:dyDescent="0.35">
      <c r="B56" s="184" t="s">
        <v>658</v>
      </c>
      <c r="C56" s="184" t="s">
        <v>179</v>
      </c>
      <c r="D56" s="184"/>
      <c r="E56" s="187" t="s">
        <v>274</v>
      </c>
      <c r="F56" s="184" t="s">
        <v>179</v>
      </c>
      <c r="G56" s="184">
        <v>600</v>
      </c>
      <c r="H56" s="185">
        <v>1</v>
      </c>
      <c r="I56" s="184">
        <v>600</v>
      </c>
      <c r="J56" s="184">
        <v>537</v>
      </c>
      <c r="K56" s="370">
        <v>2.6158999999999999</v>
      </c>
      <c r="L56" s="184">
        <v>600</v>
      </c>
      <c r="M56" s="185">
        <v>1</v>
      </c>
      <c r="N56" s="369">
        <v>600</v>
      </c>
      <c r="O56" s="184">
        <v>522.08000000000004</v>
      </c>
      <c r="P56" s="184">
        <v>2.3199999999999998</v>
      </c>
    </row>
    <row r="57" spans="2:16" x14ac:dyDescent="0.35">
      <c r="B57" s="184" t="s">
        <v>659</v>
      </c>
      <c r="C57" s="184" t="s">
        <v>179</v>
      </c>
      <c r="D57" s="184"/>
      <c r="E57" s="187" t="s">
        <v>274</v>
      </c>
      <c r="F57" s="184" t="s">
        <v>179</v>
      </c>
      <c r="G57" s="184">
        <v>600</v>
      </c>
      <c r="H57" s="185">
        <v>1</v>
      </c>
      <c r="I57" s="184">
        <v>600</v>
      </c>
      <c r="J57" s="184">
        <v>537</v>
      </c>
      <c r="K57" s="370">
        <v>2.6158999999999999</v>
      </c>
      <c r="L57" s="184">
        <v>600</v>
      </c>
      <c r="M57" s="185">
        <v>1</v>
      </c>
      <c r="N57" s="369">
        <v>600</v>
      </c>
      <c r="O57" s="184">
        <v>522.08000000000004</v>
      </c>
      <c r="P57" s="184">
        <v>2.3199999999999998</v>
      </c>
    </row>
    <row r="58" spans="2:16" x14ac:dyDescent="0.35">
      <c r="B58" s="187" t="s">
        <v>1418</v>
      </c>
      <c r="C58" s="184" t="s">
        <v>179</v>
      </c>
      <c r="D58" s="184"/>
      <c r="E58" s="187" t="s">
        <v>274</v>
      </c>
      <c r="F58" s="184" t="s">
        <v>179</v>
      </c>
      <c r="G58" s="184"/>
      <c r="H58" s="185"/>
      <c r="I58" s="184"/>
      <c r="J58" s="184"/>
      <c r="K58" s="370"/>
      <c r="L58" s="184">
        <v>660</v>
      </c>
      <c r="M58" s="185">
        <v>0.9</v>
      </c>
      <c r="N58" s="184">
        <v>594</v>
      </c>
      <c r="O58" s="184">
        <v>238.99</v>
      </c>
      <c r="P58" s="184">
        <v>2.3199999999999998</v>
      </c>
    </row>
    <row r="59" spans="2:16" x14ac:dyDescent="0.35">
      <c r="B59" s="187" t="s">
        <v>1419</v>
      </c>
      <c r="C59" s="184" t="s">
        <v>179</v>
      </c>
      <c r="D59" s="184"/>
      <c r="E59" s="187" t="s">
        <v>274</v>
      </c>
      <c r="F59" s="184" t="s">
        <v>179</v>
      </c>
      <c r="G59" s="184"/>
      <c r="H59" s="185"/>
      <c r="I59" s="184"/>
      <c r="J59" s="184"/>
      <c r="K59" s="370"/>
      <c r="L59" s="184">
        <v>660</v>
      </c>
      <c r="M59" s="185">
        <v>0.9</v>
      </c>
      <c r="N59" s="184">
        <v>594</v>
      </c>
      <c r="O59" s="184">
        <v>112.42</v>
      </c>
      <c r="P59" s="184">
        <v>2.3199999999999998</v>
      </c>
    </row>
    <row r="60" spans="2:16" x14ac:dyDescent="0.35">
      <c r="B60" s="184" t="s">
        <v>648</v>
      </c>
      <c r="C60" s="184" t="s">
        <v>628</v>
      </c>
      <c r="D60" s="184"/>
      <c r="E60" s="184" t="s">
        <v>274</v>
      </c>
      <c r="F60" s="184" t="s">
        <v>641</v>
      </c>
      <c r="G60" s="184">
        <v>300</v>
      </c>
      <c r="H60" s="185">
        <v>1</v>
      </c>
      <c r="I60" s="184">
        <v>300</v>
      </c>
      <c r="J60" s="184">
        <v>285</v>
      </c>
      <c r="K60" s="370">
        <v>1.6738</v>
      </c>
      <c r="L60" s="184">
        <v>300</v>
      </c>
      <c r="M60" s="185">
        <v>1</v>
      </c>
      <c r="N60" s="184">
        <v>300</v>
      </c>
      <c r="O60" s="184">
        <v>168</v>
      </c>
      <c r="P60" s="184">
        <v>1.66</v>
      </c>
    </row>
    <row r="61" spans="2:16" x14ac:dyDescent="0.35">
      <c r="B61" s="188" t="s">
        <v>991</v>
      </c>
      <c r="C61" s="188"/>
      <c r="D61" s="188"/>
      <c r="E61" s="188"/>
      <c r="F61" s="188"/>
      <c r="G61" s="188">
        <f>SUM(G34:G60)</f>
        <v>18040</v>
      </c>
      <c r="H61" s="188"/>
      <c r="I61" s="188">
        <f>SUM(I34:I60)</f>
        <v>7902.03</v>
      </c>
      <c r="J61" s="188">
        <f>SUM(J34:J60)</f>
        <v>5651</v>
      </c>
      <c r="K61" s="193">
        <f>SUMPRODUCT(I34:I60,K34:K60)/I61</f>
        <v>2.1445523232637691</v>
      </c>
      <c r="L61" s="188">
        <f>SUM(L34:L60)</f>
        <v>20700</v>
      </c>
      <c r="M61" s="188"/>
      <c r="N61" s="188">
        <f>SUM(N34:N60)</f>
        <v>9289</v>
      </c>
      <c r="O61" s="188">
        <f>SUM(O34:O60)</f>
        <v>6555.0599999999995</v>
      </c>
      <c r="P61" s="193">
        <f>SUMPRODUCT(N34:N60,P34:P60)/N61</f>
        <v>2.0425051135751966</v>
      </c>
    </row>
    <row r="62" spans="2:16" x14ac:dyDescent="0.35">
      <c r="B62" s="184"/>
      <c r="C62" s="184"/>
      <c r="D62" s="184"/>
      <c r="E62" s="184"/>
      <c r="F62" s="184"/>
      <c r="G62" s="184"/>
      <c r="H62" s="184"/>
      <c r="I62" s="184"/>
      <c r="J62" s="184"/>
      <c r="K62" s="370"/>
      <c r="L62" s="184"/>
      <c r="M62" s="185"/>
      <c r="N62" s="184"/>
      <c r="O62" s="184"/>
      <c r="P62" s="184"/>
    </row>
    <row r="63" spans="2:16" x14ac:dyDescent="0.35">
      <c r="B63" s="184" t="s">
        <v>653</v>
      </c>
      <c r="C63" s="184" t="s">
        <v>628</v>
      </c>
      <c r="D63" s="184"/>
      <c r="E63" s="184" t="s">
        <v>284</v>
      </c>
      <c r="F63" s="184" t="s">
        <v>650</v>
      </c>
      <c r="G63" s="189">
        <v>1980</v>
      </c>
      <c r="H63" s="185">
        <v>0.17</v>
      </c>
      <c r="I63" s="184">
        <v>337.75</v>
      </c>
      <c r="J63" s="184">
        <v>319</v>
      </c>
      <c r="K63" s="370">
        <v>1.2758</v>
      </c>
      <c r="L63" s="369">
        <v>1980</v>
      </c>
      <c r="M63" s="185">
        <v>0.17</v>
      </c>
      <c r="N63" s="184">
        <v>337</v>
      </c>
      <c r="O63" s="184">
        <v>286</v>
      </c>
      <c r="P63" s="184">
        <v>1.32</v>
      </c>
    </row>
    <row r="64" spans="2:16" x14ac:dyDescent="0.35">
      <c r="B64" s="184" t="s">
        <v>654</v>
      </c>
      <c r="C64" s="184" t="s">
        <v>628</v>
      </c>
      <c r="D64" s="184"/>
      <c r="E64" s="184" t="s">
        <v>284</v>
      </c>
      <c r="F64" s="184" t="s">
        <v>650</v>
      </c>
      <c r="G64" s="189">
        <v>1000</v>
      </c>
      <c r="H64" s="185">
        <v>0.18</v>
      </c>
      <c r="I64" s="184">
        <v>184.06</v>
      </c>
      <c r="J64" s="184">
        <v>118</v>
      </c>
      <c r="K64" s="370">
        <v>2.4900000000000002</v>
      </c>
      <c r="L64" s="369">
        <v>1000</v>
      </c>
      <c r="M64" s="185">
        <v>0.18</v>
      </c>
      <c r="N64" s="184">
        <v>181</v>
      </c>
      <c r="O64" s="184">
        <v>220.3</v>
      </c>
      <c r="P64" s="184">
        <v>2.64</v>
      </c>
    </row>
    <row r="65" spans="2:17" x14ac:dyDescent="0.35">
      <c r="B65" s="91" t="s">
        <v>1406</v>
      </c>
      <c r="C65" s="184" t="s">
        <v>628</v>
      </c>
      <c r="D65" s="184"/>
      <c r="E65" s="184" t="s">
        <v>284</v>
      </c>
      <c r="F65" s="184" t="s">
        <v>650</v>
      </c>
      <c r="G65" s="189"/>
      <c r="H65" s="185"/>
      <c r="I65" s="184"/>
      <c r="J65" s="184"/>
      <c r="K65" s="370"/>
      <c r="L65" s="184">
        <v>660</v>
      </c>
      <c r="M65" s="185">
        <v>0.19</v>
      </c>
      <c r="N65" s="184">
        <v>124</v>
      </c>
      <c r="O65" s="184">
        <v>111.38</v>
      </c>
      <c r="P65" s="184">
        <v>2.64</v>
      </c>
    </row>
    <row r="66" spans="2:17" x14ac:dyDescent="0.35">
      <c r="B66" s="91" t="s">
        <v>1407</v>
      </c>
      <c r="C66" s="184" t="s">
        <v>628</v>
      </c>
      <c r="D66" s="184"/>
      <c r="E66" s="184" t="s">
        <v>284</v>
      </c>
      <c r="F66" s="184" t="s">
        <v>650</v>
      </c>
      <c r="G66" s="189"/>
      <c r="H66" s="185"/>
      <c r="I66" s="184"/>
      <c r="J66" s="184"/>
      <c r="K66" s="370"/>
      <c r="L66" s="184">
        <v>660</v>
      </c>
      <c r="M66" s="185">
        <v>0.19</v>
      </c>
      <c r="N66" s="184">
        <v>124</v>
      </c>
      <c r="O66" s="184">
        <v>111.38</v>
      </c>
      <c r="P66" s="184">
        <v>2.64</v>
      </c>
      <c r="Q66" s="90"/>
    </row>
    <row r="67" spans="2:17" x14ac:dyDescent="0.35">
      <c r="B67" s="184" t="s">
        <v>655</v>
      </c>
      <c r="C67" s="184" t="s">
        <v>628</v>
      </c>
      <c r="D67" s="184"/>
      <c r="E67" s="184" t="s">
        <v>284</v>
      </c>
      <c r="F67" s="184" t="s">
        <v>650</v>
      </c>
      <c r="G67" s="184">
        <v>800</v>
      </c>
      <c r="H67" s="185">
        <v>0.08</v>
      </c>
      <c r="I67" s="184">
        <v>63.8</v>
      </c>
      <c r="J67" s="184">
        <v>63</v>
      </c>
      <c r="K67" s="370">
        <v>1.2956000000000001</v>
      </c>
      <c r="L67" s="184">
        <v>800</v>
      </c>
      <c r="M67" s="185">
        <v>0.08</v>
      </c>
      <c r="N67" s="184">
        <v>64</v>
      </c>
      <c r="O67" s="184">
        <v>49.6</v>
      </c>
      <c r="P67" s="184">
        <v>1.83</v>
      </c>
      <c r="Q67" s="90"/>
    </row>
    <row r="68" spans="2:17" x14ac:dyDescent="0.35">
      <c r="B68" s="184" t="s">
        <v>656</v>
      </c>
      <c r="C68" s="184" t="s">
        <v>628</v>
      </c>
      <c r="D68" s="184"/>
      <c r="E68" s="184" t="s">
        <v>284</v>
      </c>
      <c r="F68" s="184" t="s">
        <v>650</v>
      </c>
      <c r="G68" s="184">
        <v>800</v>
      </c>
      <c r="H68" s="185">
        <v>0.08</v>
      </c>
      <c r="I68" s="184">
        <v>63.8</v>
      </c>
      <c r="J68" s="184">
        <v>42</v>
      </c>
      <c r="K68" s="370">
        <v>1.2956000000000001</v>
      </c>
      <c r="L68" s="191">
        <f>G68</f>
        <v>800</v>
      </c>
      <c r="M68" s="372">
        <f>H68</f>
        <v>0.08</v>
      </c>
      <c r="N68" s="373">
        <f>I68</f>
        <v>63.8</v>
      </c>
      <c r="O68" s="191">
        <f>J68</f>
        <v>42</v>
      </c>
      <c r="P68" s="371">
        <f>P67</f>
        <v>1.83</v>
      </c>
    </row>
    <row r="69" spans="2:17" x14ac:dyDescent="0.35">
      <c r="B69" s="184" t="s">
        <v>657</v>
      </c>
      <c r="C69" s="184" t="s">
        <v>628</v>
      </c>
      <c r="D69" s="184"/>
      <c r="E69" s="184" t="s">
        <v>284</v>
      </c>
      <c r="F69" s="184" t="s">
        <v>650</v>
      </c>
      <c r="G69" s="184">
        <v>800</v>
      </c>
      <c r="H69" s="185">
        <v>0.5</v>
      </c>
      <c r="I69" s="184">
        <v>400</v>
      </c>
      <c r="J69" s="184">
        <v>263</v>
      </c>
      <c r="K69" s="370">
        <v>1.2956000000000001</v>
      </c>
      <c r="L69" s="184">
        <v>800</v>
      </c>
      <c r="M69" s="185">
        <v>0.5</v>
      </c>
      <c r="N69" s="184">
        <v>400</v>
      </c>
      <c r="O69" s="184">
        <v>205.12</v>
      </c>
      <c r="P69" s="184">
        <v>2.2599999999999998</v>
      </c>
    </row>
    <row r="70" spans="2:17" x14ac:dyDescent="0.35">
      <c r="B70" s="91" t="s">
        <v>1408</v>
      </c>
      <c r="C70" s="184" t="s">
        <v>628</v>
      </c>
      <c r="D70" s="184"/>
      <c r="E70" s="184" t="s">
        <v>284</v>
      </c>
      <c r="F70" s="184" t="s">
        <v>650</v>
      </c>
      <c r="G70" s="184"/>
      <c r="H70" s="185"/>
      <c r="I70" s="184"/>
      <c r="J70" s="184"/>
      <c r="K70" s="370"/>
      <c r="L70" s="184">
        <v>660</v>
      </c>
      <c r="M70" s="185">
        <v>0.25</v>
      </c>
      <c r="N70" s="184">
        <v>166</v>
      </c>
      <c r="O70" s="184">
        <v>109.47</v>
      </c>
      <c r="P70" s="184">
        <v>3.12</v>
      </c>
    </row>
    <row r="71" spans="2:17" x14ac:dyDescent="0.35">
      <c r="B71" s="90" t="s">
        <v>1409</v>
      </c>
      <c r="C71" s="184" t="s">
        <v>628</v>
      </c>
      <c r="D71" s="184"/>
      <c r="E71" s="184" t="s">
        <v>284</v>
      </c>
      <c r="F71" s="184" t="s">
        <v>650</v>
      </c>
      <c r="G71" s="184"/>
      <c r="H71" s="185"/>
      <c r="I71" s="184"/>
      <c r="J71" s="184"/>
      <c r="K71" s="370"/>
      <c r="L71" s="184">
        <v>660</v>
      </c>
      <c r="M71" s="185">
        <v>0.23</v>
      </c>
      <c r="N71" s="184">
        <v>152</v>
      </c>
      <c r="O71" s="191">
        <f>O70</f>
        <v>109.47</v>
      </c>
      <c r="P71" s="191">
        <f>P70</f>
        <v>3.12</v>
      </c>
    </row>
    <row r="72" spans="2:17" x14ac:dyDescent="0.35">
      <c r="B72" s="184" t="s">
        <v>661</v>
      </c>
      <c r="C72" s="184" t="s">
        <v>628</v>
      </c>
      <c r="D72" s="184"/>
      <c r="E72" s="184" t="s">
        <v>284</v>
      </c>
      <c r="F72" s="184" t="s">
        <v>641</v>
      </c>
      <c r="G72" s="189">
        <v>1320</v>
      </c>
      <c r="H72" s="185">
        <v>0.38</v>
      </c>
      <c r="I72" s="184">
        <v>495</v>
      </c>
      <c r="J72" s="184">
        <v>319</v>
      </c>
      <c r="K72" s="370">
        <v>0.83700000000000008</v>
      </c>
      <c r="L72" s="369">
        <v>1320</v>
      </c>
      <c r="M72" s="185">
        <v>0.38</v>
      </c>
      <c r="N72" s="184">
        <v>495</v>
      </c>
      <c r="O72" s="184">
        <v>806.42</v>
      </c>
      <c r="P72" s="184">
        <v>0.66</v>
      </c>
    </row>
    <row r="73" spans="2:17" x14ac:dyDescent="0.35">
      <c r="B73" s="186" t="s">
        <v>1413</v>
      </c>
      <c r="C73" s="184" t="s">
        <v>628</v>
      </c>
      <c r="D73" s="184"/>
      <c r="E73" s="184" t="s">
        <v>284</v>
      </c>
      <c r="F73" s="184" t="s">
        <v>641</v>
      </c>
      <c r="G73" s="369">
        <v>660</v>
      </c>
      <c r="H73" s="185">
        <v>0.38</v>
      </c>
      <c r="I73" s="369">
        <f>1485/6</f>
        <v>247.5</v>
      </c>
      <c r="J73" s="189">
        <v>31</v>
      </c>
      <c r="K73" s="370">
        <v>1.149</v>
      </c>
      <c r="L73" s="369">
        <v>660</v>
      </c>
      <c r="M73" s="185">
        <v>0.38</v>
      </c>
      <c r="N73" s="369">
        <f>1485/6</f>
        <v>247.5</v>
      </c>
      <c r="O73" s="184">
        <v>31.27</v>
      </c>
      <c r="P73" s="184">
        <v>1.1499999999999999</v>
      </c>
    </row>
    <row r="74" spans="2:17" x14ac:dyDescent="0.35">
      <c r="B74" s="186" t="s">
        <v>1414</v>
      </c>
      <c r="C74" s="184" t="s">
        <v>628</v>
      </c>
      <c r="D74" s="184"/>
      <c r="E74" s="184" t="s">
        <v>284</v>
      </c>
      <c r="F74" s="184" t="s">
        <v>641</v>
      </c>
      <c r="G74" s="184">
        <v>660</v>
      </c>
      <c r="H74" s="185">
        <v>0.38</v>
      </c>
      <c r="I74" s="369">
        <f>1485/6</f>
        <v>247.5</v>
      </c>
      <c r="J74" s="189">
        <v>31</v>
      </c>
      <c r="K74" s="370">
        <v>1.149</v>
      </c>
      <c r="L74" s="184">
        <v>660</v>
      </c>
      <c r="M74" s="185">
        <v>0.38</v>
      </c>
      <c r="N74" s="369">
        <f>1485/6</f>
        <v>247.5</v>
      </c>
      <c r="O74" s="184">
        <v>31.39</v>
      </c>
      <c r="P74" s="184">
        <v>1.1499999999999999</v>
      </c>
    </row>
    <row r="75" spans="2:17" x14ac:dyDescent="0.35">
      <c r="B75" s="186" t="s">
        <v>1415</v>
      </c>
      <c r="C75" s="184" t="s">
        <v>628</v>
      </c>
      <c r="D75" s="184"/>
      <c r="E75" s="184" t="s">
        <v>284</v>
      </c>
      <c r="F75" s="184" t="s">
        <v>641</v>
      </c>
      <c r="G75" s="184">
        <v>1320</v>
      </c>
      <c r="H75" s="185">
        <v>0.38</v>
      </c>
      <c r="I75" s="369">
        <f>1485/3</f>
        <v>495</v>
      </c>
      <c r="J75" s="189">
        <v>62</v>
      </c>
      <c r="K75" s="370">
        <v>1.149</v>
      </c>
      <c r="L75" s="184">
        <v>1320</v>
      </c>
      <c r="M75" s="185">
        <v>0.38</v>
      </c>
      <c r="N75" s="369">
        <f>1485/3</f>
        <v>495</v>
      </c>
      <c r="O75" s="184">
        <v>62.66</v>
      </c>
      <c r="P75" s="184">
        <v>1.1499999999999999</v>
      </c>
    </row>
    <row r="76" spans="2:17" x14ac:dyDescent="0.35">
      <c r="B76" s="186" t="s">
        <v>1416</v>
      </c>
      <c r="C76" s="184" t="s">
        <v>628</v>
      </c>
      <c r="D76" s="184"/>
      <c r="E76" s="184" t="s">
        <v>284</v>
      </c>
      <c r="F76" s="184" t="s">
        <v>641</v>
      </c>
      <c r="G76" s="184">
        <v>1320</v>
      </c>
      <c r="H76" s="185">
        <v>0.38</v>
      </c>
      <c r="I76" s="369">
        <f>1485/3</f>
        <v>495</v>
      </c>
      <c r="J76" s="189">
        <v>62</v>
      </c>
      <c r="K76" s="370">
        <v>1.149</v>
      </c>
      <c r="L76" s="184">
        <v>1320</v>
      </c>
      <c r="M76" s="185">
        <v>0.38</v>
      </c>
      <c r="N76" s="369">
        <f>1485/3</f>
        <v>495</v>
      </c>
      <c r="O76" s="184">
        <v>62.66</v>
      </c>
      <c r="P76" s="184">
        <v>1.1499999999999999</v>
      </c>
    </row>
    <row r="77" spans="2:17" x14ac:dyDescent="0.35">
      <c r="B77" s="188" t="s">
        <v>992</v>
      </c>
      <c r="C77" s="188"/>
      <c r="D77" s="188"/>
      <c r="E77" s="188"/>
      <c r="F77" s="188"/>
      <c r="G77" s="190">
        <f>SUM(G63:G76)</f>
        <v>10660</v>
      </c>
      <c r="H77" s="188"/>
      <c r="I77" s="190">
        <f>SUM(I63:I76)</f>
        <v>3029.41</v>
      </c>
      <c r="J77" s="190">
        <f>SUM(J63:J76)</f>
        <v>1310</v>
      </c>
      <c r="K77" s="193">
        <f>SUMPRODUCT(I63:I76,K63:K76)/I77</f>
        <v>1.2191645931055883</v>
      </c>
      <c r="L77" s="190">
        <f>SUM(L63:L76)</f>
        <v>13300</v>
      </c>
      <c r="M77" s="188"/>
      <c r="N77" s="190">
        <f>SUM(N63:N76)</f>
        <v>3591.8</v>
      </c>
      <c r="O77" s="190">
        <f>SUM(O63:O76)</f>
        <v>2239.12</v>
      </c>
      <c r="P77" s="193">
        <f>SUMPRODUCT(N63:N76,P63:P76)/N77</f>
        <v>1.5986090539562336</v>
      </c>
    </row>
    <row r="78" spans="2:17" x14ac:dyDescent="0.35">
      <c r="B78" s="184"/>
      <c r="C78" s="184"/>
      <c r="D78" s="184"/>
      <c r="E78" s="184"/>
      <c r="F78" s="184"/>
      <c r="G78" s="184"/>
      <c r="H78" s="184"/>
      <c r="I78" s="184"/>
      <c r="J78" s="184"/>
      <c r="K78" s="370"/>
      <c r="L78" s="184"/>
      <c r="M78" s="184"/>
      <c r="N78" s="184"/>
      <c r="O78" s="184"/>
      <c r="P78" s="184"/>
    </row>
    <row r="79" spans="2:17" x14ac:dyDescent="0.35">
      <c r="B79" s="188" t="s">
        <v>757</v>
      </c>
      <c r="C79" s="188"/>
      <c r="D79" s="188"/>
      <c r="E79" s="188" t="s">
        <v>690</v>
      </c>
      <c r="F79" s="188"/>
      <c r="G79" s="190">
        <f>G61+G77</f>
        <v>28700</v>
      </c>
      <c r="H79" s="188"/>
      <c r="I79" s="190">
        <f>I61+I77</f>
        <v>10931.439999999999</v>
      </c>
      <c r="J79" s="190">
        <f>J61+J77</f>
        <v>6961</v>
      </c>
      <c r="K79" s="197">
        <f>(I61*K61+I77*K77)/I79</f>
        <v>1.8881013119040131</v>
      </c>
      <c r="L79" s="190">
        <f>L61+L77</f>
        <v>34000</v>
      </c>
      <c r="M79" s="188"/>
      <c r="N79" s="190">
        <f>N61+N77</f>
        <v>12880.8</v>
      </c>
      <c r="O79" s="190">
        <f>O61+O77</f>
        <v>8794.18</v>
      </c>
      <c r="P79" s="197">
        <f>(N61*P61+N77*P77)/N79</f>
        <v>1.9187250791876282</v>
      </c>
    </row>
    <row r="80" spans="2:17" x14ac:dyDescent="0.35">
      <c r="B80" s="184"/>
      <c r="C80" s="184"/>
      <c r="D80" s="184"/>
      <c r="E80" s="184"/>
      <c r="F80" s="184"/>
      <c r="G80" s="184"/>
      <c r="H80" s="184"/>
      <c r="I80" s="184"/>
      <c r="J80" s="184"/>
      <c r="K80" s="370"/>
      <c r="L80" s="184"/>
      <c r="M80" s="184"/>
      <c r="N80" s="184"/>
      <c r="O80" s="184"/>
      <c r="P80" s="184"/>
    </row>
    <row r="81" spans="2:17" x14ac:dyDescent="0.35">
      <c r="B81" s="184" t="s">
        <v>663</v>
      </c>
      <c r="C81" s="184" t="s">
        <v>628</v>
      </c>
      <c r="D81" s="184" t="s">
        <v>301</v>
      </c>
      <c r="E81" s="184" t="s">
        <v>433</v>
      </c>
      <c r="F81" s="184" t="s">
        <v>629</v>
      </c>
      <c r="G81" s="184">
        <v>656.2</v>
      </c>
      <c r="H81" s="185">
        <v>0.21</v>
      </c>
      <c r="I81" s="184">
        <v>140.16999999999999</v>
      </c>
      <c r="J81" s="184">
        <v>23</v>
      </c>
      <c r="K81" s="370">
        <v>2.1850999999999998</v>
      </c>
      <c r="L81" s="184">
        <v>656</v>
      </c>
      <c r="M81" s="185">
        <v>0.21</v>
      </c>
      <c r="N81" s="184">
        <v>140</v>
      </c>
      <c r="O81" s="184">
        <v>86.91</v>
      </c>
      <c r="P81" s="184">
        <v>2.52</v>
      </c>
    </row>
    <row r="82" spans="2:17" x14ac:dyDescent="0.35">
      <c r="B82" s="184" t="s">
        <v>664</v>
      </c>
      <c r="C82" s="184" t="s">
        <v>628</v>
      </c>
      <c r="D82" s="184" t="s">
        <v>301</v>
      </c>
      <c r="E82" s="184" t="s">
        <v>433</v>
      </c>
      <c r="F82" s="184" t="s">
        <v>629</v>
      </c>
      <c r="G82" s="184">
        <v>657.39</v>
      </c>
      <c r="H82" s="185">
        <v>0.18</v>
      </c>
      <c r="I82" s="184">
        <v>117.19</v>
      </c>
      <c r="J82" s="184">
        <v>24</v>
      </c>
      <c r="K82" s="370">
        <v>2.177</v>
      </c>
      <c r="L82" s="184">
        <v>657</v>
      </c>
      <c r="M82" s="185">
        <v>0.18</v>
      </c>
      <c r="N82" s="184">
        <v>117</v>
      </c>
      <c r="O82" s="184">
        <v>89.93</v>
      </c>
      <c r="P82" s="184">
        <v>2.36</v>
      </c>
    </row>
    <row r="83" spans="2:17" x14ac:dyDescent="0.35">
      <c r="B83" s="188" t="s">
        <v>758</v>
      </c>
      <c r="C83" s="188"/>
      <c r="D83" s="188"/>
      <c r="E83" s="188"/>
      <c r="F83" s="188"/>
      <c r="G83" s="188">
        <f>SUM(G81:G82)</f>
        <v>1313.5900000000001</v>
      </c>
      <c r="H83" s="188"/>
      <c r="I83" s="188">
        <f>SUM(I81:I82)</f>
        <v>257.36</v>
      </c>
      <c r="J83" s="188">
        <f>SUM(J81:J82)</f>
        <v>47</v>
      </c>
      <c r="K83" s="193">
        <f>SUMPRODUCT(I81:I82,K81:K82)/I83</f>
        <v>2.1814116296238728</v>
      </c>
      <c r="L83" s="188">
        <f>SUM(L81:L82)</f>
        <v>1313</v>
      </c>
      <c r="M83" s="188"/>
      <c r="N83" s="188">
        <f>SUM(N81:N82)</f>
        <v>257</v>
      </c>
      <c r="O83" s="188">
        <f>SUM(O81:O82)</f>
        <v>176.84</v>
      </c>
      <c r="P83" s="193">
        <f>SUMPRODUCT(N81:N82,P81:P82)/N83</f>
        <v>2.4471595330739304</v>
      </c>
    </row>
    <row r="84" spans="2:17" x14ac:dyDescent="0.35">
      <c r="B84" s="184"/>
      <c r="C84" s="184"/>
      <c r="D84" s="184"/>
      <c r="E84" s="184"/>
      <c r="F84" s="184"/>
      <c r="G84" s="184"/>
      <c r="H84" s="184"/>
      <c r="I84" s="184"/>
      <c r="J84" s="184"/>
      <c r="K84" s="370"/>
      <c r="L84" s="184"/>
      <c r="M84" s="184"/>
      <c r="N84" s="184"/>
      <c r="O84" s="184"/>
      <c r="P84" s="184"/>
    </row>
    <row r="85" spans="2:17" x14ac:dyDescent="0.35">
      <c r="B85" s="184" t="s">
        <v>665</v>
      </c>
      <c r="C85" s="184" t="s">
        <v>628</v>
      </c>
      <c r="D85" s="184"/>
      <c r="E85" s="184" t="s">
        <v>304</v>
      </c>
      <c r="F85" s="184" t="s">
        <v>666</v>
      </c>
      <c r="G85" s="184">
        <v>440</v>
      </c>
      <c r="H85" s="185">
        <v>0.26</v>
      </c>
      <c r="I85" s="184">
        <v>114.13</v>
      </c>
      <c r="J85" s="184">
        <v>0</v>
      </c>
      <c r="K85" s="370">
        <v>2.3142</v>
      </c>
      <c r="L85" s="184">
        <v>440</v>
      </c>
      <c r="M85" s="185">
        <v>0.26</v>
      </c>
      <c r="N85" s="184">
        <v>113</v>
      </c>
      <c r="O85" s="184">
        <v>0</v>
      </c>
      <c r="P85" s="184">
        <v>2.31</v>
      </c>
    </row>
    <row r="86" spans="2:17" x14ac:dyDescent="0.35">
      <c r="B86" s="184" t="s">
        <v>667</v>
      </c>
      <c r="C86" s="184" t="s">
        <v>628</v>
      </c>
      <c r="D86" s="184"/>
      <c r="E86" s="184" t="s">
        <v>304</v>
      </c>
      <c r="F86" s="184" t="s">
        <v>666</v>
      </c>
      <c r="G86" s="189">
        <v>1080</v>
      </c>
      <c r="H86" s="185">
        <v>0.21</v>
      </c>
      <c r="I86" s="184">
        <v>231.83</v>
      </c>
      <c r="J86" s="184">
        <v>0</v>
      </c>
      <c r="K86" s="370">
        <v>2.8012999999999999</v>
      </c>
      <c r="L86" s="369">
        <v>1080</v>
      </c>
      <c r="M86" s="185">
        <v>0.21</v>
      </c>
      <c r="N86" s="184">
        <v>230</v>
      </c>
      <c r="O86" s="184">
        <v>0</v>
      </c>
      <c r="P86" s="184">
        <v>2.8</v>
      </c>
    </row>
    <row r="87" spans="2:17" x14ac:dyDescent="0.35">
      <c r="B87" s="188" t="s">
        <v>759</v>
      </c>
      <c r="C87" s="188"/>
      <c r="D87" s="188"/>
      <c r="E87" s="188" t="s">
        <v>304</v>
      </c>
      <c r="F87" s="188"/>
      <c r="G87" s="188">
        <f>SUM(G85:G86)</f>
        <v>1520</v>
      </c>
      <c r="H87" s="188"/>
      <c r="I87" s="188">
        <f>SUM(I85:I86)</f>
        <v>345.96000000000004</v>
      </c>
      <c r="J87" s="188">
        <f>SUM(J85:J86)</f>
        <v>0</v>
      </c>
      <c r="K87" s="193">
        <f>SUMPRODUCT(I85:I86,K85:K86)/I87</f>
        <v>2.6406088131575904</v>
      </c>
      <c r="L87" s="188">
        <f>SUM(L85:L86)</f>
        <v>1520</v>
      </c>
      <c r="M87" s="188"/>
      <c r="N87" s="188">
        <f>SUM(N85:N86)</f>
        <v>343</v>
      </c>
      <c r="O87" s="188">
        <f>SUM(O85:O86)</f>
        <v>0</v>
      </c>
      <c r="P87" s="193">
        <f>SUMPRODUCT(N85:N86,P85:P86)/N87</f>
        <v>2.6385714285714283</v>
      </c>
    </row>
    <row r="88" spans="2:17" x14ac:dyDescent="0.35">
      <c r="B88" s="184"/>
      <c r="C88" s="184"/>
      <c r="D88" s="184"/>
      <c r="E88" s="184"/>
      <c r="F88" s="184"/>
      <c r="G88" s="184"/>
      <c r="H88" s="184"/>
      <c r="I88" s="184"/>
      <c r="J88" s="184"/>
      <c r="K88" s="370"/>
      <c r="L88" s="184"/>
      <c r="M88" s="184"/>
      <c r="N88" s="184"/>
      <c r="O88" s="184"/>
      <c r="P88" s="184"/>
    </row>
    <row r="89" spans="2:17" x14ac:dyDescent="0.35">
      <c r="B89" s="184" t="s">
        <v>668</v>
      </c>
      <c r="C89" s="184" t="s">
        <v>179</v>
      </c>
      <c r="D89" s="184"/>
      <c r="E89" s="184" t="s">
        <v>309</v>
      </c>
      <c r="F89" s="184" t="s">
        <v>635</v>
      </c>
      <c r="G89" s="184">
        <v>90</v>
      </c>
      <c r="H89" s="185">
        <v>1</v>
      </c>
      <c r="I89" s="184">
        <v>90</v>
      </c>
      <c r="J89" s="184">
        <v>20</v>
      </c>
      <c r="K89" s="370">
        <v>0</v>
      </c>
      <c r="L89" s="184">
        <v>90</v>
      </c>
      <c r="M89" s="185">
        <v>1</v>
      </c>
      <c r="N89" s="184">
        <v>90</v>
      </c>
      <c r="O89" s="184">
        <v>21.16</v>
      </c>
      <c r="P89" s="184">
        <v>0</v>
      </c>
    </row>
    <row r="90" spans="2:17" x14ac:dyDescent="0.35">
      <c r="B90" s="184" t="s">
        <v>669</v>
      </c>
      <c r="C90" s="184" t="s">
        <v>179</v>
      </c>
      <c r="D90" s="184"/>
      <c r="E90" s="184" t="s">
        <v>309</v>
      </c>
      <c r="F90" s="184" t="s">
        <v>635</v>
      </c>
      <c r="G90" s="184">
        <v>315</v>
      </c>
      <c r="H90" s="185">
        <v>1</v>
      </c>
      <c r="I90" s="184">
        <v>315</v>
      </c>
      <c r="J90" s="184">
        <v>197</v>
      </c>
      <c r="K90" s="370">
        <v>0</v>
      </c>
      <c r="L90" s="184">
        <v>315</v>
      </c>
      <c r="M90" s="185">
        <v>1</v>
      </c>
      <c r="N90" s="184">
        <v>315</v>
      </c>
      <c r="O90" s="184">
        <v>172.48</v>
      </c>
      <c r="P90" s="184">
        <v>0</v>
      </c>
    </row>
    <row r="91" spans="2:17" x14ac:dyDescent="0.35">
      <c r="B91" s="184" t="s">
        <v>670</v>
      </c>
      <c r="C91" s="184" t="s">
        <v>179</v>
      </c>
      <c r="D91" s="184"/>
      <c r="E91" s="184" t="s">
        <v>309</v>
      </c>
      <c r="F91" s="184" t="s">
        <v>635</v>
      </c>
      <c r="G91" s="184">
        <v>30</v>
      </c>
      <c r="H91" s="185">
        <v>1</v>
      </c>
      <c r="I91" s="184">
        <v>30</v>
      </c>
      <c r="J91" s="184">
        <v>197</v>
      </c>
      <c r="K91" s="370">
        <v>0</v>
      </c>
      <c r="L91" s="184">
        <v>30</v>
      </c>
      <c r="M91" s="185">
        <v>1</v>
      </c>
      <c r="N91" s="184">
        <v>30</v>
      </c>
      <c r="O91" s="191">
        <f>J91</f>
        <v>197</v>
      </c>
      <c r="P91" s="184">
        <v>0</v>
      </c>
    </row>
    <row r="92" spans="2:17" x14ac:dyDescent="0.35">
      <c r="B92" s="184" t="s">
        <v>671</v>
      </c>
      <c r="C92" s="184" t="s">
        <v>179</v>
      </c>
      <c r="D92" s="184"/>
      <c r="E92" s="184" t="s">
        <v>309</v>
      </c>
      <c r="F92" s="184" t="s">
        <v>635</v>
      </c>
      <c r="G92" s="184">
        <v>60</v>
      </c>
      <c r="H92" s="185">
        <v>1</v>
      </c>
      <c r="I92" s="184">
        <v>60</v>
      </c>
      <c r="J92" s="184">
        <v>197</v>
      </c>
      <c r="K92" s="370">
        <v>0</v>
      </c>
      <c r="L92" s="184">
        <v>60</v>
      </c>
      <c r="M92" s="185">
        <v>1</v>
      </c>
      <c r="N92" s="184">
        <v>60</v>
      </c>
      <c r="O92" s="191">
        <f>J92</f>
        <v>197</v>
      </c>
      <c r="P92" s="184">
        <v>0</v>
      </c>
    </row>
    <row r="93" spans="2:17" x14ac:dyDescent="0.35">
      <c r="B93" s="184" t="s">
        <v>672</v>
      </c>
      <c r="C93" s="184" t="s">
        <v>179</v>
      </c>
      <c r="D93" s="184"/>
      <c r="E93" s="184" t="s">
        <v>309</v>
      </c>
      <c r="F93" s="184" t="s">
        <v>635</v>
      </c>
      <c r="G93" s="184">
        <v>20</v>
      </c>
      <c r="H93" s="185">
        <v>1</v>
      </c>
      <c r="I93" s="184">
        <v>20</v>
      </c>
      <c r="J93" s="184">
        <v>18</v>
      </c>
      <c r="K93" s="370">
        <v>0</v>
      </c>
      <c r="L93" s="184">
        <v>20</v>
      </c>
      <c r="M93" s="185">
        <v>1</v>
      </c>
      <c r="N93" s="184">
        <v>20</v>
      </c>
      <c r="O93" s="184">
        <v>15.88</v>
      </c>
      <c r="P93" s="184">
        <v>0</v>
      </c>
    </row>
    <row r="94" spans="2:17" x14ac:dyDescent="0.35">
      <c r="B94" s="184" t="s">
        <v>673</v>
      </c>
      <c r="C94" s="184" t="s">
        <v>179</v>
      </c>
      <c r="D94" s="184"/>
      <c r="E94" s="184" t="s">
        <v>309</v>
      </c>
      <c r="F94" s="184" t="s">
        <v>635</v>
      </c>
      <c r="G94" s="184">
        <v>20</v>
      </c>
      <c r="H94" s="185">
        <v>1</v>
      </c>
      <c r="I94" s="184">
        <v>20</v>
      </c>
      <c r="J94" s="184">
        <v>4</v>
      </c>
      <c r="K94" s="370">
        <v>0</v>
      </c>
      <c r="L94" s="184">
        <v>20</v>
      </c>
      <c r="M94" s="185">
        <v>1</v>
      </c>
      <c r="N94" s="184">
        <v>20</v>
      </c>
      <c r="O94" s="184">
        <v>6.51</v>
      </c>
      <c r="P94" s="184">
        <v>0</v>
      </c>
    </row>
    <row r="95" spans="2:17" x14ac:dyDescent="0.35">
      <c r="B95" s="184" t="s">
        <v>674</v>
      </c>
      <c r="C95" s="184" t="s">
        <v>179</v>
      </c>
      <c r="D95" s="184"/>
      <c r="E95" s="184" t="s">
        <v>309</v>
      </c>
      <c r="F95" s="184" t="s">
        <v>635</v>
      </c>
      <c r="G95" s="184">
        <v>60</v>
      </c>
      <c r="H95" s="185">
        <v>1</v>
      </c>
      <c r="I95" s="184">
        <v>60</v>
      </c>
      <c r="J95" s="184">
        <v>34</v>
      </c>
      <c r="K95" s="370">
        <v>0</v>
      </c>
      <c r="L95" s="184">
        <v>60</v>
      </c>
      <c r="M95" s="185">
        <v>1</v>
      </c>
      <c r="N95" s="184">
        <v>60</v>
      </c>
      <c r="O95" s="184">
        <v>30.72</v>
      </c>
      <c r="P95" s="184">
        <v>0</v>
      </c>
      <c r="Q95" s="92"/>
    </row>
    <row r="96" spans="2:17" x14ac:dyDescent="0.35">
      <c r="B96" s="184" t="s">
        <v>675</v>
      </c>
      <c r="C96" s="184" t="s">
        <v>179</v>
      </c>
      <c r="D96" s="184"/>
      <c r="E96" s="184" t="s">
        <v>309</v>
      </c>
      <c r="F96" s="184" t="s">
        <v>635</v>
      </c>
      <c r="G96" s="184">
        <v>45</v>
      </c>
      <c r="H96" s="185">
        <v>0.51</v>
      </c>
      <c r="I96" s="184">
        <v>23</v>
      </c>
      <c r="J96" s="184">
        <v>11</v>
      </c>
      <c r="K96" s="370">
        <v>0</v>
      </c>
      <c r="L96" s="184">
        <v>45</v>
      </c>
      <c r="M96" s="185">
        <v>0.5</v>
      </c>
      <c r="N96" s="184">
        <v>23</v>
      </c>
      <c r="O96" s="184">
        <v>10.8</v>
      </c>
      <c r="P96" s="184">
        <v>0</v>
      </c>
      <c r="Q96" s="92"/>
    </row>
    <row r="97" spans="2:18" x14ac:dyDescent="0.35">
      <c r="B97" s="184" t="s">
        <v>676</v>
      </c>
      <c r="C97" s="184" t="s">
        <v>179</v>
      </c>
      <c r="D97" s="184"/>
      <c r="E97" s="184" t="s">
        <v>309</v>
      </c>
      <c r="F97" s="184" t="s">
        <v>635</v>
      </c>
      <c r="G97" s="184">
        <v>115</v>
      </c>
      <c r="H97" s="185">
        <v>0.5</v>
      </c>
      <c r="I97" s="184">
        <v>58</v>
      </c>
      <c r="J97" s="184">
        <v>11</v>
      </c>
      <c r="K97" s="370">
        <v>0</v>
      </c>
      <c r="L97" s="184">
        <v>115</v>
      </c>
      <c r="M97" s="185">
        <v>0.5</v>
      </c>
      <c r="N97" s="184">
        <v>58</v>
      </c>
      <c r="O97" s="184">
        <v>6.06</v>
      </c>
      <c r="P97" s="184">
        <v>0</v>
      </c>
    </row>
    <row r="98" spans="2:18" x14ac:dyDescent="0.35">
      <c r="B98" s="184" t="s">
        <v>677</v>
      </c>
      <c r="C98" s="184" t="s">
        <v>179</v>
      </c>
      <c r="D98" s="184"/>
      <c r="E98" s="184" t="s">
        <v>309</v>
      </c>
      <c r="F98" s="184" t="s">
        <v>635</v>
      </c>
      <c r="G98" s="184">
        <v>271</v>
      </c>
      <c r="H98" s="185">
        <v>0.5</v>
      </c>
      <c r="I98" s="184">
        <v>136</v>
      </c>
      <c r="J98" s="184">
        <v>51</v>
      </c>
      <c r="K98" s="370">
        <v>0</v>
      </c>
      <c r="L98" s="184">
        <v>271</v>
      </c>
      <c r="M98" s="185">
        <v>0.5</v>
      </c>
      <c r="N98" s="184">
        <v>136</v>
      </c>
      <c r="O98" s="184">
        <v>6.29</v>
      </c>
      <c r="P98" s="184">
        <v>0</v>
      </c>
    </row>
    <row r="99" spans="2:18" x14ac:dyDescent="0.35">
      <c r="B99" s="184" t="s">
        <v>678</v>
      </c>
      <c r="C99" s="184" t="s">
        <v>179</v>
      </c>
      <c r="D99" s="184"/>
      <c r="E99" s="184" t="s">
        <v>309</v>
      </c>
      <c r="F99" s="184" t="s">
        <v>635</v>
      </c>
      <c r="G99" s="184">
        <v>160</v>
      </c>
      <c r="H99" s="185">
        <v>0.67</v>
      </c>
      <c r="I99" s="184">
        <v>107</v>
      </c>
      <c r="J99" s="184">
        <v>32</v>
      </c>
      <c r="K99" s="370">
        <v>0</v>
      </c>
      <c r="L99" s="184">
        <v>160</v>
      </c>
      <c r="M99" s="185">
        <v>0.67</v>
      </c>
      <c r="N99" s="184">
        <v>107</v>
      </c>
      <c r="O99" s="184">
        <v>30.93</v>
      </c>
      <c r="P99" s="184">
        <v>0</v>
      </c>
    </row>
    <row r="100" spans="2:18" x14ac:dyDescent="0.35">
      <c r="B100" s="184" t="s">
        <v>679</v>
      </c>
      <c r="C100" s="184" t="s">
        <v>179</v>
      </c>
      <c r="D100" s="184"/>
      <c r="E100" s="184" t="s">
        <v>309</v>
      </c>
      <c r="F100" s="184" t="s">
        <v>645</v>
      </c>
      <c r="G100" s="189">
        <v>1000</v>
      </c>
      <c r="H100" s="185">
        <v>1</v>
      </c>
      <c r="I100" s="189">
        <v>1000</v>
      </c>
      <c r="J100" s="184">
        <v>707</v>
      </c>
      <c r="K100" s="370">
        <v>0</v>
      </c>
      <c r="L100" s="369">
        <v>1000</v>
      </c>
      <c r="M100" s="185">
        <v>1</v>
      </c>
      <c r="N100" s="369">
        <v>1000</v>
      </c>
      <c r="O100" s="184">
        <v>570.53</v>
      </c>
      <c r="P100" s="184">
        <v>0</v>
      </c>
    </row>
    <row r="101" spans="2:18" x14ac:dyDescent="0.35">
      <c r="B101" s="184" t="s">
        <v>680</v>
      </c>
      <c r="C101" s="184" t="s">
        <v>179</v>
      </c>
      <c r="D101" s="184"/>
      <c r="E101" s="184" t="s">
        <v>309</v>
      </c>
      <c r="F101" s="184" t="s">
        <v>645</v>
      </c>
      <c r="G101" s="184">
        <v>520</v>
      </c>
      <c r="H101" s="185">
        <v>1</v>
      </c>
      <c r="I101" s="184">
        <v>520</v>
      </c>
      <c r="J101" s="184">
        <v>456</v>
      </c>
      <c r="K101" s="370">
        <v>0</v>
      </c>
      <c r="L101" s="184">
        <v>520</v>
      </c>
      <c r="M101" s="185">
        <v>1</v>
      </c>
      <c r="N101" s="184">
        <v>520</v>
      </c>
      <c r="O101" s="184">
        <v>124.07</v>
      </c>
      <c r="P101" s="184">
        <v>0</v>
      </c>
      <c r="R101" s="90"/>
    </row>
    <row r="102" spans="2:18" x14ac:dyDescent="0.35">
      <c r="B102" s="184" t="s">
        <v>681</v>
      </c>
      <c r="C102" s="184" t="s">
        <v>628</v>
      </c>
      <c r="D102" s="184"/>
      <c r="E102" s="184" t="s">
        <v>309</v>
      </c>
      <c r="F102" s="184" t="s">
        <v>645</v>
      </c>
      <c r="G102" s="189">
        <v>1450</v>
      </c>
      <c r="H102" s="185">
        <v>0.56999999999999995</v>
      </c>
      <c r="I102" s="184">
        <v>827</v>
      </c>
      <c r="J102" s="184">
        <v>365</v>
      </c>
      <c r="K102" s="370">
        <v>0</v>
      </c>
      <c r="L102" s="369">
        <v>1450</v>
      </c>
      <c r="M102" s="185">
        <v>0.56999999999999995</v>
      </c>
      <c r="N102" s="184">
        <v>827</v>
      </c>
      <c r="O102" s="184">
        <v>0</v>
      </c>
      <c r="P102" s="184">
        <v>2.29</v>
      </c>
      <c r="R102" s="90"/>
    </row>
    <row r="103" spans="2:18" x14ac:dyDescent="0.35">
      <c r="B103" s="184" t="s">
        <v>682</v>
      </c>
      <c r="C103" s="184" t="s">
        <v>179</v>
      </c>
      <c r="D103" s="184"/>
      <c r="E103" s="184" t="s">
        <v>309</v>
      </c>
      <c r="F103" s="184" t="s">
        <v>683</v>
      </c>
      <c r="G103" s="184">
        <v>330.6</v>
      </c>
      <c r="H103" s="185">
        <v>0.17</v>
      </c>
      <c r="I103" s="184">
        <v>55</v>
      </c>
      <c r="J103" s="184">
        <v>5</v>
      </c>
      <c r="K103" s="370">
        <v>0</v>
      </c>
      <c r="L103" s="184">
        <v>300</v>
      </c>
      <c r="M103" s="185">
        <v>0.15</v>
      </c>
      <c r="N103" s="184">
        <v>45</v>
      </c>
      <c r="O103" s="184">
        <v>3.97</v>
      </c>
      <c r="P103" s="184">
        <v>0</v>
      </c>
      <c r="R103" s="90"/>
    </row>
    <row r="104" spans="2:18" x14ac:dyDescent="0.35">
      <c r="B104" s="184"/>
      <c r="C104" s="184"/>
      <c r="D104" s="184"/>
      <c r="E104" s="184"/>
      <c r="F104" s="184"/>
      <c r="G104" s="184"/>
      <c r="H104" s="185"/>
      <c r="I104" s="184"/>
      <c r="J104" s="184"/>
      <c r="K104" s="370"/>
      <c r="L104" s="184">
        <v>31</v>
      </c>
      <c r="M104" s="185">
        <v>0.33</v>
      </c>
      <c r="N104" s="184">
        <v>10</v>
      </c>
      <c r="O104" s="184"/>
      <c r="P104" s="184"/>
      <c r="R104" s="90"/>
    </row>
    <row r="105" spans="2:18" x14ac:dyDescent="0.35">
      <c r="B105" s="188" t="s">
        <v>994</v>
      </c>
      <c r="C105" s="188"/>
      <c r="D105" s="188"/>
      <c r="E105" s="188" t="s">
        <v>996</v>
      </c>
      <c r="F105" s="188"/>
      <c r="G105" s="188">
        <f>SUM(G89:G104)</f>
        <v>4486.6000000000004</v>
      </c>
      <c r="H105" s="188"/>
      <c r="I105" s="188">
        <f>SUM(I89:I104)</f>
        <v>3321</v>
      </c>
      <c r="J105" s="188">
        <f>SUM(J89:J104)</f>
        <v>2305</v>
      </c>
      <c r="K105" s="193">
        <f>SUMPRODUCT(I89:I104,K89:K104)/I105</f>
        <v>0</v>
      </c>
      <c r="L105" s="188">
        <f>SUM(L89:L104)</f>
        <v>4487</v>
      </c>
      <c r="M105" s="188"/>
      <c r="N105" s="188">
        <f>SUM(N89:N104)</f>
        <v>3321</v>
      </c>
      <c r="O105" s="188">
        <f>SUM(O89:O104)</f>
        <v>1393.3999999999996</v>
      </c>
      <c r="P105" s="188">
        <f>SUMPRODUCT(N89:N104,P89:P104)/N105</f>
        <v>0.57025895814513694</v>
      </c>
      <c r="Q105" s="90"/>
    </row>
    <row r="106" spans="2:18" x14ac:dyDescent="0.35">
      <c r="B106" s="184"/>
      <c r="C106" s="184"/>
      <c r="D106" s="184"/>
      <c r="E106" s="184"/>
      <c r="F106" s="184"/>
      <c r="G106" s="184"/>
      <c r="H106" s="184"/>
      <c r="I106" s="184"/>
      <c r="J106" s="184"/>
      <c r="K106" s="370"/>
      <c r="L106" s="184"/>
      <c r="M106" s="185"/>
      <c r="N106" s="184"/>
      <c r="O106" s="184"/>
      <c r="P106" s="184"/>
      <c r="Q106" s="90"/>
    </row>
    <row r="107" spans="2:18" x14ac:dyDescent="0.35">
      <c r="B107" s="188" t="s">
        <v>684</v>
      </c>
      <c r="C107" s="188" t="s">
        <v>179</v>
      </c>
      <c r="D107" s="188"/>
      <c r="E107" s="188" t="s">
        <v>995</v>
      </c>
      <c r="F107" s="188" t="s">
        <v>683</v>
      </c>
      <c r="G107" s="188">
        <v>30</v>
      </c>
      <c r="H107" s="198">
        <v>1</v>
      </c>
      <c r="I107" s="188">
        <v>30</v>
      </c>
      <c r="J107" s="188">
        <v>0</v>
      </c>
      <c r="K107" s="197">
        <v>5.5850999999999997</v>
      </c>
      <c r="L107" s="188">
        <v>32</v>
      </c>
      <c r="M107" s="198">
        <v>1</v>
      </c>
      <c r="N107" s="188">
        <v>32</v>
      </c>
      <c r="O107" s="188">
        <v>0</v>
      </c>
      <c r="P107" s="188">
        <v>3.81</v>
      </c>
      <c r="Q107" s="90"/>
    </row>
    <row r="108" spans="2:18" x14ac:dyDescent="0.35">
      <c r="B108" s="184"/>
      <c r="C108" s="184"/>
      <c r="D108" s="184"/>
      <c r="E108" s="184"/>
      <c r="F108" s="184"/>
      <c r="G108" s="184"/>
      <c r="H108" s="184"/>
      <c r="I108" s="184"/>
      <c r="J108" s="184"/>
      <c r="K108" s="370"/>
      <c r="L108" s="184"/>
      <c r="M108" s="184"/>
      <c r="N108" s="184"/>
      <c r="O108" s="184"/>
      <c r="P108" s="184"/>
      <c r="Q108" s="90"/>
    </row>
    <row r="109" spans="2:18" x14ac:dyDescent="0.35">
      <c r="B109" s="188" t="s">
        <v>685</v>
      </c>
      <c r="C109" s="188" t="s">
        <v>179</v>
      </c>
      <c r="D109" s="188"/>
      <c r="E109" s="188" t="s">
        <v>351</v>
      </c>
      <c r="F109" s="188" t="s">
        <v>641</v>
      </c>
      <c r="G109" s="190">
        <v>1025</v>
      </c>
      <c r="H109" s="188"/>
      <c r="I109" s="190">
        <v>1025</v>
      </c>
      <c r="J109" s="188">
        <v>0</v>
      </c>
      <c r="K109" s="197">
        <v>6.43</v>
      </c>
      <c r="L109" s="374">
        <v>1284</v>
      </c>
      <c r="M109" s="198">
        <v>1</v>
      </c>
      <c r="N109" s="374">
        <v>1284</v>
      </c>
      <c r="O109" s="188">
        <v>0</v>
      </c>
      <c r="P109" s="188">
        <v>5.95</v>
      </c>
      <c r="Q109" s="90"/>
    </row>
    <row r="110" spans="2:18" x14ac:dyDescent="0.35">
      <c r="B110" s="184"/>
      <c r="C110" s="184"/>
      <c r="D110" s="184"/>
      <c r="E110" s="184"/>
      <c r="F110" s="184"/>
      <c r="G110" s="184"/>
      <c r="H110" s="184"/>
      <c r="I110" s="184"/>
      <c r="J110" s="184"/>
      <c r="K110" s="370"/>
      <c r="L110" s="184"/>
      <c r="M110" s="184"/>
      <c r="N110" s="184"/>
      <c r="O110" s="184"/>
      <c r="P110" s="184"/>
      <c r="Q110" s="90"/>
    </row>
    <row r="111" spans="2:18" x14ac:dyDescent="0.35">
      <c r="B111" s="188" t="s">
        <v>686</v>
      </c>
      <c r="C111" s="188" t="s">
        <v>179</v>
      </c>
      <c r="D111" s="188"/>
      <c r="E111" s="188" t="s">
        <v>997</v>
      </c>
      <c r="F111" s="188" t="s">
        <v>641</v>
      </c>
      <c r="G111" s="190">
        <v>2218</v>
      </c>
      <c r="H111" s="188"/>
      <c r="I111" s="190">
        <v>2218</v>
      </c>
      <c r="J111" s="188">
        <v>0</v>
      </c>
      <c r="K111" s="197">
        <v>5.5850999999999997</v>
      </c>
      <c r="L111" s="374">
        <v>2371</v>
      </c>
      <c r="M111" s="198">
        <v>1</v>
      </c>
      <c r="N111" s="374">
        <v>2371</v>
      </c>
      <c r="O111" s="188">
        <v>0</v>
      </c>
      <c r="P111" s="188">
        <v>5.38</v>
      </c>
      <c r="Q111" s="90"/>
    </row>
    <row r="112" spans="2:18" x14ac:dyDescent="0.35">
      <c r="K112" s="90"/>
      <c r="M112" s="91"/>
      <c r="Q112" s="90"/>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93"/>
  <sheetViews>
    <sheetView workbookViewId="0"/>
  </sheetViews>
  <sheetFormatPr defaultColWidth="8.7265625" defaultRowHeight="14.5" x14ac:dyDescent="0.35"/>
  <cols>
    <col min="1" max="1" width="27" style="148" customWidth="1"/>
    <col min="2" max="2" width="20.7265625" style="148" customWidth="1"/>
    <col min="3" max="3" width="12" style="148" customWidth="1"/>
    <col min="4" max="5" width="8.7265625" style="148"/>
    <col min="6" max="6" width="9.453125" style="148" bestFit="1" customWidth="1"/>
    <col min="7" max="8" width="8.7265625" style="148"/>
    <col min="9" max="9" width="9.453125" style="148" bestFit="1" customWidth="1"/>
    <col min="10" max="10" width="10.26953125" style="148" bestFit="1" customWidth="1"/>
    <col min="11" max="14" width="8.7265625" style="148"/>
    <col min="15" max="15" width="9.453125" style="148" bestFit="1" customWidth="1"/>
    <col min="16" max="17" width="11.7265625" style="148" bestFit="1" customWidth="1"/>
    <col min="18" max="18" width="9.7265625" style="148" bestFit="1" customWidth="1"/>
    <col min="19" max="16384" width="8.7265625" style="148"/>
  </cols>
  <sheetData>
    <row r="1" spans="1:18" s="51" customFormat="1" ht="29" x14ac:dyDescent="0.35">
      <c r="A1" s="50" t="s">
        <v>157</v>
      </c>
      <c r="B1" s="50" t="s">
        <v>180</v>
      </c>
      <c r="C1" s="50" t="s">
        <v>146</v>
      </c>
      <c r="D1" s="50" t="s">
        <v>703</v>
      </c>
      <c r="E1" s="50" t="s">
        <v>182</v>
      </c>
      <c r="F1" s="50" t="s">
        <v>142</v>
      </c>
    </row>
    <row r="2" spans="1:18" s="51" customFormat="1" ht="15" customHeight="1" x14ac:dyDescent="0.35">
      <c r="A2" s="63" t="s">
        <v>143</v>
      </c>
      <c r="B2" s="63" t="s">
        <v>750</v>
      </c>
      <c r="C2" s="108">
        <f>J31</f>
        <v>4493.6830126370587</v>
      </c>
      <c r="D2" s="108">
        <f>M31</f>
        <v>26478</v>
      </c>
      <c r="E2" s="108">
        <f>P31</f>
        <v>6074.306292464029</v>
      </c>
      <c r="F2" s="73">
        <f>N31</f>
        <v>2.2710191479719004</v>
      </c>
    </row>
    <row r="3" spans="1:18" s="51" customFormat="1" x14ac:dyDescent="0.35">
      <c r="A3" s="63" t="s">
        <v>144</v>
      </c>
      <c r="B3" s="63" t="s">
        <v>750</v>
      </c>
      <c r="C3" s="108">
        <f>J37</f>
        <v>1600</v>
      </c>
      <c r="D3" s="108">
        <f>M37</f>
        <v>5659</v>
      </c>
      <c r="E3" s="108">
        <f>P37</f>
        <v>5225.3449999999993</v>
      </c>
      <c r="F3" s="73">
        <f>N37</f>
        <v>2.2188188725923306</v>
      </c>
    </row>
    <row r="4" spans="1:18" s="51" customFormat="1" x14ac:dyDescent="0.35">
      <c r="A4" s="63" t="s">
        <v>1612</v>
      </c>
      <c r="B4" s="63" t="s">
        <v>750</v>
      </c>
      <c r="C4" s="108">
        <f>J39</f>
        <v>6093.6830126370587</v>
      </c>
      <c r="D4" s="108">
        <f>M39</f>
        <v>32137</v>
      </c>
      <c r="E4" s="108">
        <f>P39</f>
        <v>5851.397082200624</v>
      </c>
      <c r="F4" s="73">
        <f>N39</f>
        <v>2.2618272085135507</v>
      </c>
    </row>
    <row r="5" spans="1:18" s="51" customFormat="1" x14ac:dyDescent="0.35">
      <c r="A5" s="45" t="s">
        <v>1613</v>
      </c>
      <c r="B5" s="63" t="s">
        <v>750</v>
      </c>
      <c r="C5" s="106">
        <v>0</v>
      </c>
      <c r="D5" s="106">
        <v>0</v>
      </c>
      <c r="E5" s="156">
        <f>AS!H5</f>
        <v>2373.8226149627189</v>
      </c>
      <c r="F5" s="247">
        <f>AS!I5</f>
        <v>3.1806741615505532</v>
      </c>
    </row>
    <row r="6" spans="1:18" s="51" customFormat="1" x14ac:dyDescent="0.35">
      <c r="A6" s="45" t="s">
        <v>1614</v>
      </c>
      <c r="B6" s="63" t="s">
        <v>750</v>
      </c>
      <c r="C6" s="106">
        <v>0</v>
      </c>
      <c r="D6" s="106">
        <v>0</v>
      </c>
      <c r="E6" s="106">
        <v>0</v>
      </c>
      <c r="F6" s="44">
        <v>0</v>
      </c>
    </row>
    <row r="7" spans="1:18" s="51" customFormat="1" x14ac:dyDescent="0.35">
      <c r="A7" s="45" t="s">
        <v>1615</v>
      </c>
      <c r="B7" s="63" t="s">
        <v>750</v>
      </c>
      <c r="C7" s="106">
        <v>0</v>
      </c>
      <c r="D7" s="106">
        <v>0</v>
      </c>
      <c r="E7" s="106">
        <v>0</v>
      </c>
      <c r="F7" s="44">
        <v>0</v>
      </c>
    </row>
    <row r="8" spans="1:18" s="51" customFormat="1" x14ac:dyDescent="0.35">
      <c r="A8" s="45" t="s">
        <v>1604</v>
      </c>
      <c r="B8" s="63" t="s">
        <v>750</v>
      </c>
      <c r="C8" s="106">
        <f>J54</f>
        <v>2934.3020000000001</v>
      </c>
      <c r="D8" s="106">
        <f>M54</f>
        <v>4495</v>
      </c>
      <c r="E8" s="106">
        <f>P54</f>
        <v>1370.9623533062054</v>
      </c>
      <c r="F8" s="44">
        <f>N54</f>
        <v>2.2566122358175749</v>
      </c>
    </row>
    <row r="9" spans="1:18" s="51" customFormat="1" x14ac:dyDescent="0.35">
      <c r="A9" s="45" t="s">
        <v>1603</v>
      </c>
      <c r="B9" s="63" t="s">
        <v>750</v>
      </c>
      <c r="C9" s="106">
        <f>J67</f>
        <v>89.35</v>
      </c>
      <c r="D9" s="106">
        <f>M67</f>
        <v>0</v>
      </c>
      <c r="E9" s="106">
        <f>P67</f>
        <v>496.12115018349061</v>
      </c>
      <c r="F9" s="44">
        <f>N67</f>
        <v>0</v>
      </c>
    </row>
    <row r="10" spans="1:18" s="51" customFormat="1" x14ac:dyDescent="0.35">
      <c r="A10" s="45" t="s">
        <v>1605</v>
      </c>
      <c r="B10" s="63" t="s">
        <v>750</v>
      </c>
      <c r="C10" s="106">
        <v>0</v>
      </c>
      <c r="D10" s="157">
        <v>0</v>
      </c>
      <c r="E10" s="392">
        <f>BR!G11</f>
        <v>0</v>
      </c>
      <c r="F10" s="247">
        <f>BR!H11</f>
        <v>6.925795053003533</v>
      </c>
    </row>
    <row r="11" spans="1:18" s="51" customFormat="1" x14ac:dyDescent="0.35">
      <c r="A11" s="45" t="s">
        <v>1636</v>
      </c>
      <c r="B11" s="63" t="s">
        <v>750</v>
      </c>
      <c r="C11" s="156">
        <f>J70</f>
        <v>40</v>
      </c>
      <c r="D11" s="156">
        <f>K70</f>
        <v>75.25</v>
      </c>
      <c r="E11" s="156">
        <f>P70</f>
        <v>0</v>
      </c>
      <c r="F11" s="412">
        <f>N72</f>
        <v>10.684668110918546</v>
      </c>
    </row>
    <row r="12" spans="1:18" s="51" customFormat="1" x14ac:dyDescent="0.35">
      <c r="A12" s="45" t="s">
        <v>145</v>
      </c>
      <c r="B12" s="63" t="s">
        <v>750</v>
      </c>
      <c r="C12" s="106">
        <v>0</v>
      </c>
      <c r="D12" s="157">
        <v>0</v>
      </c>
      <c r="E12" s="157">
        <v>0</v>
      </c>
      <c r="F12" s="44">
        <v>0</v>
      </c>
    </row>
    <row r="13" spans="1:18" s="51" customFormat="1" x14ac:dyDescent="0.35">
      <c r="A13" s="63" t="s">
        <v>1606</v>
      </c>
      <c r="B13" s="63" t="s">
        <v>750</v>
      </c>
      <c r="C13" s="106">
        <v>0</v>
      </c>
      <c r="D13" s="106">
        <v>0</v>
      </c>
      <c r="E13" s="156">
        <f>BR!G14</f>
        <v>0</v>
      </c>
      <c r="F13" s="247">
        <f>BR!H14</f>
        <v>4.693297390025732</v>
      </c>
    </row>
    <row r="14" spans="1:18" s="51" customFormat="1" x14ac:dyDescent="0.35"/>
    <row r="16" spans="1:18" ht="87" x14ac:dyDescent="0.35">
      <c r="A16" s="3"/>
      <c r="B16" s="3" t="s">
        <v>264</v>
      </c>
      <c r="C16" s="3" t="s">
        <v>810</v>
      </c>
      <c r="D16" s="4" t="s">
        <v>1215</v>
      </c>
      <c r="E16" s="3" t="s">
        <v>1216</v>
      </c>
      <c r="F16" s="3" t="s">
        <v>1217</v>
      </c>
      <c r="G16" s="3" t="s">
        <v>1218</v>
      </c>
      <c r="H16" s="4" t="s">
        <v>1219</v>
      </c>
      <c r="I16" s="4" t="s">
        <v>1225</v>
      </c>
      <c r="J16" s="4" t="s">
        <v>1226</v>
      </c>
      <c r="K16" s="4" t="s">
        <v>1227</v>
      </c>
      <c r="L16" s="4" t="s">
        <v>811</v>
      </c>
      <c r="M16" s="4" t="s">
        <v>1220</v>
      </c>
      <c r="N16" s="4" t="s">
        <v>1221</v>
      </c>
      <c r="O16" s="4" t="s">
        <v>1222</v>
      </c>
      <c r="P16" s="208" t="s">
        <v>182</v>
      </c>
      <c r="Q16" s="4" t="s">
        <v>1223</v>
      </c>
      <c r="R16" s="4" t="s">
        <v>1224</v>
      </c>
    </row>
    <row r="17" spans="1:18" x14ac:dyDescent="0.35">
      <c r="A17" s="3" t="s">
        <v>812</v>
      </c>
      <c r="B17" s="3" t="s">
        <v>273</v>
      </c>
      <c r="C17" s="3" t="s">
        <v>274</v>
      </c>
      <c r="D17" s="3">
        <v>1600</v>
      </c>
      <c r="E17" s="22">
        <v>6.4699999999999994E-2</v>
      </c>
      <c r="F17" s="3">
        <v>1496.5</v>
      </c>
      <c r="G17" s="31">
        <v>0.85</v>
      </c>
      <c r="H17" s="3">
        <v>11142.94</v>
      </c>
      <c r="I17" s="22">
        <v>0.3054</v>
      </c>
      <c r="J17" s="152">
        <f>D17*I17</f>
        <v>488.64</v>
      </c>
      <c r="K17" s="3">
        <v>3403</v>
      </c>
      <c r="L17" s="3">
        <v>2374</v>
      </c>
      <c r="M17" s="3">
        <v>3403</v>
      </c>
      <c r="N17" s="3">
        <v>245.98</v>
      </c>
      <c r="O17" s="3">
        <v>28774.18</v>
      </c>
      <c r="P17" s="3">
        <f t="shared" ref="P17:P27" si="0">O17/J17*10^5/10^3</f>
        <v>5888.6255730189914</v>
      </c>
      <c r="Q17" s="3">
        <v>83708.31</v>
      </c>
      <c r="R17" s="3">
        <v>112482.49</v>
      </c>
    </row>
    <row r="18" spans="1:18" x14ac:dyDescent="0.35">
      <c r="A18" s="3" t="s">
        <v>813</v>
      </c>
      <c r="B18" s="3" t="s">
        <v>273</v>
      </c>
      <c r="C18" s="3" t="s">
        <v>274</v>
      </c>
      <c r="D18" s="3">
        <v>500</v>
      </c>
      <c r="E18" s="22">
        <v>5.7500000000000002E-2</v>
      </c>
      <c r="F18" s="3">
        <v>471.25</v>
      </c>
      <c r="G18" s="31">
        <v>0.85</v>
      </c>
      <c r="H18" s="3">
        <v>3508.93</v>
      </c>
      <c r="I18" s="22">
        <v>0.36799999999999999</v>
      </c>
      <c r="J18" s="152">
        <v>183.9592126374707</v>
      </c>
      <c r="K18" s="3">
        <v>1291</v>
      </c>
      <c r="L18" s="3">
        <v>826</v>
      </c>
      <c r="M18" s="3">
        <v>1291</v>
      </c>
      <c r="N18" s="3">
        <v>251.69</v>
      </c>
      <c r="O18" s="3">
        <v>19609.05</v>
      </c>
      <c r="P18" s="3">
        <f t="shared" si="0"/>
        <v>10659.45527753679</v>
      </c>
      <c r="Q18" s="3">
        <v>32499.26</v>
      </c>
      <c r="R18" s="3">
        <v>52108.31</v>
      </c>
    </row>
    <row r="19" spans="1:18" x14ac:dyDescent="0.35">
      <c r="A19" s="3" t="s">
        <v>814</v>
      </c>
      <c r="B19" s="3" t="s">
        <v>273</v>
      </c>
      <c r="C19" s="3" t="s">
        <v>274</v>
      </c>
      <c r="D19" s="3">
        <v>1000</v>
      </c>
      <c r="E19" s="22">
        <v>5.7500000000000002E-2</v>
      </c>
      <c r="F19" s="3">
        <v>942.5</v>
      </c>
      <c r="G19" s="31">
        <v>0.85</v>
      </c>
      <c r="H19" s="3">
        <v>7017.86</v>
      </c>
      <c r="I19" s="22">
        <v>9.0999999999999998E-2</v>
      </c>
      <c r="J19" s="152">
        <v>91.053398044418103</v>
      </c>
      <c r="K19" s="3">
        <v>639</v>
      </c>
      <c r="L19" s="3">
        <v>610</v>
      </c>
      <c r="M19" s="3">
        <v>639</v>
      </c>
      <c r="N19" s="3">
        <v>156.91999999999999</v>
      </c>
      <c r="O19" s="3">
        <v>5941.29</v>
      </c>
      <c r="P19" s="3">
        <f t="shared" si="0"/>
        <v>6525.0612581220648</v>
      </c>
      <c r="Q19" s="3">
        <v>10021.299999999999</v>
      </c>
      <c r="R19" s="3">
        <v>15962.59</v>
      </c>
    </row>
    <row r="20" spans="1:18" x14ac:dyDescent="0.35">
      <c r="A20" s="3" t="s">
        <v>815</v>
      </c>
      <c r="B20" s="3"/>
      <c r="C20" s="3" t="s">
        <v>274</v>
      </c>
      <c r="D20" s="3">
        <v>540</v>
      </c>
      <c r="E20" s="31">
        <v>0.09</v>
      </c>
      <c r="F20" s="3"/>
      <c r="G20" s="3"/>
      <c r="H20" s="3"/>
      <c r="I20" s="3"/>
      <c r="J20" s="3">
        <v>100</v>
      </c>
      <c r="K20" s="3">
        <v>797</v>
      </c>
      <c r="L20" s="3">
        <v>741</v>
      </c>
      <c r="M20" s="3">
        <v>797</v>
      </c>
      <c r="N20" s="11">
        <v>103.88</v>
      </c>
      <c r="O20" s="3">
        <v>16225.11</v>
      </c>
      <c r="P20" s="3">
        <f t="shared" si="0"/>
        <v>16225.11</v>
      </c>
      <c r="Q20" s="3">
        <v>8280.9</v>
      </c>
      <c r="R20" s="3">
        <v>24506.01</v>
      </c>
    </row>
    <row r="21" spans="1:18" x14ac:dyDescent="0.35">
      <c r="A21" s="3" t="s">
        <v>816</v>
      </c>
      <c r="B21" s="3"/>
      <c r="C21" s="3" t="s">
        <v>274</v>
      </c>
      <c r="D21" s="3">
        <v>250</v>
      </c>
      <c r="E21" s="31">
        <v>0.09</v>
      </c>
      <c r="F21" s="3">
        <v>227.5</v>
      </c>
      <c r="G21" s="31">
        <v>0.85</v>
      </c>
      <c r="H21" s="11">
        <v>1693.97</v>
      </c>
      <c r="I21" s="31">
        <v>0.2</v>
      </c>
      <c r="J21" s="153">
        <v>50.030401955170397</v>
      </c>
      <c r="K21" s="11">
        <v>339</v>
      </c>
      <c r="L21" s="3">
        <v>142</v>
      </c>
      <c r="M21" s="11">
        <v>339</v>
      </c>
      <c r="N21" s="3">
        <v>239.95</v>
      </c>
      <c r="O21" s="3">
        <v>4635.84</v>
      </c>
      <c r="P21" s="3">
        <f t="shared" si="0"/>
        <v>9266.0458817699127</v>
      </c>
      <c r="Q21" s="3">
        <v>8129.34</v>
      </c>
      <c r="R21" s="3">
        <v>12765.18</v>
      </c>
    </row>
    <row r="22" spans="1:18" x14ac:dyDescent="0.35">
      <c r="A22" s="3" t="s">
        <v>817</v>
      </c>
      <c r="B22" s="3"/>
      <c r="C22" s="3" t="s">
        <v>274</v>
      </c>
      <c r="D22" s="3">
        <v>1050</v>
      </c>
      <c r="E22" s="22">
        <v>6.5000000000000002E-2</v>
      </c>
      <c r="F22" s="11">
        <v>981.75</v>
      </c>
      <c r="G22" s="31">
        <v>0.85</v>
      </c>
      <c r="H22" s="11">
        <v>7310.11</v>
      </c>
      <c r="I22" s="22">
        <v>0.28570000000000001</v>
      </c>
      <c r="J22" s="152">
        <v>300</v>
      </c>
      <c r="K22" s="3">
        <v>2089</v>
      </c>
      <c r="L22" s="3">
        <v>2000</v>
      </c>
      <c r="M22" s="3">
        <v>2089</v>
      </c>
      <c r="N22" s="3">
        <v>199.73</v>
      </c>
      <c r="O22" s="3">
        <v>29699.5</v>
      </c>
      <c r="P22" s="3">
        <f t="shared" si="0"/>
        <v>9899.8333333333339</v>
      </c>
      <c r="Q22" s="3">
        <v>41715.67</v>
      </c>
      <c r="R22" s="3">
        <v>71415.17</v>
      </c>
    </row>
    <row r="23" spans="1:18" x14ac:dyDescent="0.35">
      <c r="A23" s="3" t="s">
        <v>818</v>
      </c>
      <c r="B23" s="3"/>
      <c r="C23" s="3" t="s">
        <v>274</v>
      </c>
      <c r="D23" s="3">
        <v>1260</v>
      </c>
      <c r="E23" s="22">
        <v>9.6000000000000002E-2</v>
      </c>
      <c r="F23" s="3">
        <v>1139</v>
      </c>
      <c r="G23" s="22">
        <v>0.75</v>
      </c>
      <c r="H23" s="3">
        <v>7483.49</v>
      </c>
      <c r="I23" s="3"/>
      <c r="J23" s="14">
        <f t="shared" ref="J23:J30" si="1">D23</f>
        <v>1260</v>
      </c>
      <c r="K23" s="3">
        <v>5018</v>
      </c>
      <c r="L23" s="3">
        <v>5018</v>
      </c>
      <c r="M23" s="3">
        <v>5018</v>
      </c>
      <c r="N23" s="3">
        <v>245.47</v>
      </c>
      <c r="O23" s="3">
        <v>35407.440000000002</v>
      </c>
      <c r="P23" s="3">
        <f t="shared" si="0"/>
        <v>2810.1142857142859</v>
      </c>
      <c r="Q23" s="3">
        <v>123176.85</v>
      </c>
      <c r="R23" s="3">
        <v>158584.29</v>
      </c>
    </row>
    <row r="24" spans="1:18" x14ac:dyDescent="0.35">
      <c r="A24" s="22" t="s">
        <v>819</v>
      </c>
      <c r="B24" s="3"/>
      <c r="C24" s="22" t="s">
        <v>274</v>
      </c>
      <c r="D24" s="3">
        <v>630</v>
      </c>
      <c r="E24" s="22">
        <v>0.09</v>
      </c>
      <c r="F24" s="31">
        <v>573.29999999999995</v>
      </c>
      <c r="G24" s="31">
        <v>0.85</v>
      </c>
      <c r="H24" s="3">
        <v>4268.79</v>
      </c>
      <c r="I24" s="3"/>
      <c r="J24" s="14">
        <f t="shared" si="1"/>
        <v>630</v>
      </c>
      <c r="K24" s="3">
        <v>4340</v>
      </c>
      <c r="L24" s="804">
        <v>7164</v>
      </c>
      <c r="M24" s="3">
        <v>4340</v>
      </c>
      <c r="N24" s="3">
        <v>216.33</v>
      </c>
      <c r="O24" s="3">
        <v>45660.04</v>
      </c>
      <c r="P24" s="3">
        <f t="shared" si="0"/>
        <v>7247.6253968253977</v>
      </c>
      <c r="Q24" s="3">
        <v>93887.22</v>
      </c>
      <c r="R24" s="3">
        <v>139547.26</v>
      </c>
    </row>
    <row r="25" spans="1:18" x14ac:dyDescent="0.35">
      <c r="A25" s="3" t="s">
        <v>820</v>
      </c>
      <c r="B25" s="3"/>
      <c r="C25" s="22" t="s">
        <v>274</v>
      </c>
      <c r="D25" s="3">
        <v>420</v>
      </c>
      <c r="E25" s="22">
        <v>0.09</v>
      </c>
      <c r="F25" s="3">
        <v>382.2</v>
      </c>
      <c r="G25" s="31">
        <v>0.85</v>
      </c>
      <c r="H25" s="3">
        <v>2845.86</v>
      </c>
      <c r="I25" s="31"/>
      <c r="J25" s="14">
        <f t="shared" si="1"/>
        <v>420</v>
      </c>
      <c r="K25" s="11">
        <v>2824</v>
      </c>
      <c r="L25" s="804"/>
      <c r="M25" s="3">
        <v>2824</v>
      </c>
      <c r="N25" s="3">
        <v>216.33</v>
      </c>
      <c r="O25" s="3">
        <v>29825.59</v>
      </c>
      <c r="P25" s="3">
        <f t="shared" si="0"/>
        <v>7101.3309523809521</v>
      </c>
      <c r="Q25" s="3">
        <v>61091.59</v>
      </c>
      <c r="R25" s="3">
        <v>90917.18</v>
      </c>
    </row>
    <row r="26" spans="1:18" x14ac:dyDescent="0.35">
      <c r="A26" s="3" t="s">
        <v>821</v>
      </c>
      <c r="B26" s="3"/>
      <c r="C26" s="22" t="s">
        <v>274</v>
      </c>
      <c r="D26" s="3">
        <v>450</v>
      </c>
      <c r="E26" s="22">
        <v>9.7000000000000003E-2</v>
      </c>
      <c r="F26" s="3">
        <v>406.35</v>
      </c>
      <c r="G26" s="31">
        <v>0.77</v>
      </c>
      <c r="H26" s="3">
        <v>2740.91</v>
      </c>
      <c r="I26" s="3"/>
      <c r="J26" s="14">
        <f t="shared" si="1"/>
        <v>450</v>
      </c>
      <c r="K26" s="3">
        <v>1676</v>
      </c>
      <c r="L26" s="3">
        <v>1676</v>
      </c>
      <c r="M26" s="3">
        <v>1676</v>
      </c>
      <c r="N26" s="3">
        <v>270.27</v>
      </c>
      <c r="O26" s="3">
        <v>10629.27</v>
      </c>
      <c r="P26" s="3">
        <f t="shared" si="0"/>
        <v>2362.06</v>
      </c>
      <c r="Q26" s="3">
        <v>45297.25</v>
      </c>
      <c r="R26" s="3">
        <v>55926.52</v>
      </c>
    </row>
    <row r="27" spans="1:18" x14ac:dyDescent="0.35">
      <c r="A27" s="3" t="s">
        <v>822</v>
      </c>
      <c r="B27" s="3"/>
      <c r="C27" s="22" t="s">
        <v>274</v>
      </c>
      <c r="D27" s="3">
        <v>500</v>
      </c>
      <c r="E27" s="22">
        <v>0.09</v>
      </c>
      <c r="F27" s="3">
        <v>455</v>
      </c>
      <c r="G27" s="31">
        <v>0.85</v>
      </c>
      <c r="H27" s="3">
        <v>3387.93</v>
      </c>
      <c r="I27" s="3"/>
      <c r="J27" s="14">
        <f t="shared" si="1"/>
        <v>500</v>
      </c>
      <c r="K27" s="3">
        <v>3651</v>
      </c>
      <c r="L27" s="3">
        <v>3651</v>
      </c>
      <c r="M27" s="3">
        <v>3651</v>
      </c>
      <c r="N27" s="3">
        <v>217.05</v>
      </c>
      <c r="O27" s="3">
        <v>46552.76</v>
      </c>
      <c r="P27" s="3">
        <f t="shared" si="0"/>
        <v>9310.5519999999997</v>
      </c>
      <c r="Q27" s="3">
        <v>79244.960000000006</v>
      </c>
      <c r="R27" s="3">
        <v>125797.72</v>
      </c>
    </row>
    <row r="28" spans="1:18" x14ac:dyDescent="0.35">
      <c r="A28" s="3" t="s">
        <v>836</v>
      </c>
      <c r="B28" s="3"/>
      <c r="C28" s="22" t="s">
        <v>274</v>
      </c>
      <c r="D28" s="3"/>
      <c r="E28" s="3"/>
      <c r="F28" s="3"/>
      <c r="G28" s="22"/>
      <c r="H28" s="3"/>
      <c r="I28" s="22"/>
      <c r="J28" s="22"/>
      <c r="K28" s="3">
        <v>361</v>
      </c>
      <c r="L28" s="3">
        <v>361</v>
      </c>
      <c r="M28" s="3">
        <v>361</v>
      </c>
      <c r="N28" s="3">
        <v>351.16</v>
      </c>
      <c r="O28" s="3"/>
      <c r="P28" s="3"/>
      <c r="Q28" s="3">
        <v>12683.9</v>
      </c>
      <c r="R28" s="3">
        <v>12683.9</v>
      </c>
    </row>
    <row r="29" spans="1:18" x14ac:dyDescent="0.35">
      <c r="A29" s="206" t="s">
        <v>823</v>
      </c>
      <c r="B29" s="3"/>
      <c r="C29" s="3" t="s">
        <v>274</v>
      </c>
      <c r="D29" s="3">
        <v>12</v>
      </c>
      <c r="E29" s="3"/>
      <c r="F29" s="3"/>
      <c r="G29" s="3"/>
      <c r="H29" s="3"/>
      <c r="I29" s="3"/>
      <c r="J29" s="14">
        <f t="shared" si="1"/>
        <v>12</v>
      </c>
      <c r="K29" s="3"/>
      <c r="L29" s="3">
        <v>7</v>
      </c>
      <c r="M29" s="3">
        <v>7</v>
      </c>
      <c r="N29" s="3">
        <v>211</v>
      </c>
      <c r="O29" s="3"/>
      <c r="P29" s="3">
        <f>O29/J29*10^5/10^3</f>
        <v>0</v>
      </c>
      <c r="Q29" s="3">
        <v>147.69999999999999</v>
      </c>
      <c r="R29" s="3">
        <v>147.69999999999999</v>
      </c>
    </row>
    <row r="30" spans="1:18" x14ac:dyDescent="0.35">
      <c r="A30" s="3" t="s">
        <v>824</v>
      </c>
      <c r="B30" s="3"/>
      <c r="C30" s="3" t="s">
        <v>274</v>
      </c>
      <c r="D30" s="3">
        <v>8</v>
      </c>
      <c r="E30" s="3"/>
      <c r="F30" s="3"/>
      <c r="G30" s="3"/>
      <c r="H30" s="3"/>
      <c r="I30" s="3"/>
      <c r="J30" s="14">
        <f t="shared" si="1"/>
        <v>8</v>
      </c>
      <c r="K30" s="3"/>
      <c r="L30" s="3">
        <v>43</v>
      </c>
      <c r="M30" s="3">
        <v>43</v>
      </c>
      <c r="N30" s="3">
        <v>334</v>
      </c>
      <c r="O30" s="3"/>
      <c r="P30" s="3">
        <f>O30/J30*10^5/10^3</f>
        <v>0</v>
      </c>
      <c r="Q30" s="3">
        <v>1436.2</v>
      </c>
      <c r="R30" s="3">
        <v>1436.2</v>
      </c>
    </row>
    <row r="31" spans="1:18" x14ac:dyDescent="0.35">
      <c r="A31" s="10" t="s">
        <v>998</v>
      </c>
      <c r="B31" s="10"/>
      <c r="C31" s="10"/>
      <c r="D31" s="205">
        <f>SUM(D17:D30)</f>
        <v>8220</v>
      </c>
      <c r="E31" s="10"/>
      <c r="F31" s="205">
        <f>SUM(F17:F30)</f>
        <v>7075.35</v>
      </c>
      <c r="G31" s="10"/>
      <c r="H31" s="205">
        <f>SUM(H17:H30)</f>
        <v>51400.79</v>
      </c>
      <c r="I31" s="10"/>
      <c r="J31" s="207">
        <f>SUM(J17:J30)</f>
        <v>4493.6830126370587</v>
      </c>
      <c r="K31" s="207">
        <f>SUM(K17:K27)+L29+L30</f>
        <v>26117</v>
      </c>
      <c r="L31" s="205">
        <f>SUM(L17:L30)</f>
        <v>24613</v>
      </c>
      <c r="M31" s="205">
        <f>SUM(M17:M30)</f>
        <v>26478</v>
      </c>
      <c r="N31" s="205">
        <f>Q31/M31/10</f>
        <v>2.2710191479719004</v>
      </c>
      <c r="O31" s="205">
        <f>SUM(O17:O30)</f>
        <v>272960.07</v>
      </c>
      <c r="P31" s="205">
        <f>O31/J31*10^5/10^3</f>
        <v>6074.306292464029</v>
      </c>
      <c r="Q31" s="205">
        <f>SUM(Q17:Q30)</f>
        <v>601320.44999999984</v>
      </c>
      <c r="R31" s="205">
        <f>SUM(R17:R30)</f>
        <v>874280.5199999999</v>
      </c>
    </row>
    <row r="32" spans="1:18" x14ac:dyDescent="0.35">
      <c r="P32" s="171"/>
    </row>
    <row r="33" spans="1:18" x14ac:dyDescent="0.35">
      <c r="P33" s="171"/>
    </row>
    <row r="34" spans="1:18" s="304" customFormat="1" ht="87" x14ac:dyDescent="0.35">
      <c r="A34" s="3"/>
      <c r="B34" s="3" t="s">
        <v>264</v>
      </c>
      <c r="C34" s="3" t="s">
        <v>810</v>
      </c>
      <c r="D34" s="4" t="s">
        <v>1215</v>
      </c>
      <c r="E34" s="3" t="s">
        <v>1216</v>
      </c>
      <c r="F34" s="3" t="s">
        <v>1217</v>
      </c>
      <c r="G34" s="3" t="s">
        <v>1218</v>
      </c>
      <c r="H34" s="4" t="s">
        <v>1219</v>
      </c>
      <c r="I34" s="4" t="s">
        <v>1225</v>
      </c>
      <c r="J34" s="4" t="s">
        <v>1226</v>
      </c>
      <c r="K34" s="4" t="s">
        <v>1227</v>
      </c>
      <c r="L34" s="4" t="s">
        <v>811</v>
      </c>
      <c r="M34" s="4" t="s">
        <v>1220</v>
      </c>
      <c r="N34" s="4" t="s">
        <v>1221</v>
      </c>
      <c r="O34" s="4" t="s">
        <v>1222</v>
      </c>
      <c r="P34" s="208" t="s">
        <v>182</v>
      </c>
      <c r="Q34" s="4" t="s">
        <v>1223</v>
      </c>
      <c r="R34" s="4" t="s">
        <v>1224</v>
      </c>
    </row>
    <row r="35" spans="1:18" x14ac:dyDescent="0.35">
      <c r="A35" s="3" t="s">
        <v>825</v>
      </c>
      <c r="B35" s="3"/>
      <c r="C35" s="22" t="s">
        <v>284</v>
      </c>
      <c r="D35" s="3">
        <v>600</v>
      </c>
      <c r="E35" s="22">
        <v>0.09</v>
      </c>
      <c r="F35" s="3">
        <v>546</v>
      </c>
      <c r="G35" s="31">
        <v>0.85</v>
      </c>
      <c r="H35" s="3">
        <v>4065.52</v>
      </c>
      <c r="I35" s="3"/>
      <c r="J35" s="3">
        <f>D35</f>
        <v>600</v>
      </c>
      <c r="K35" s="3">
        <v>2409</v>
      </c>
      <c r="L35" s="3">
        <v>2409</v>
      </c>
      <c r="M35" s="3">
        <v>2409</v>
      </c>
      <c r="N35" s="3">
        <v>217.23</v>
      </c>
      <c r="O35" s="3">
        <v>28719.78</v>
      </c>
      <c r="P35" s="202">
        <f>O35/J35*10^5/10^3</f>
        <v>4786.63</v>
      </c>
      <c r="Q35" s="3">
        <v>52330.71</v>
      </c>
      <c r="R35" s="3">
        <v>81050.490000000005</v>
      </c>
    </row>
    <row r="36" spans="1:18" ht="14.15" customHeight="1" x14ac:dyDescent="0.35">
      <c r="A36" s="3" t="s">
        <v>826</v>
      </c>
      <c r="B36" s="3"/>
      <c r="C36" s="22" t="s">
        <v>284</v>
      </c>
      <c r="D36" s="3">
        <v>1000</v>
      </c>
      <c r="E36" s="31">
        <v>0.09</v>
      </c>
      <c r="F36" s="3">
        <v>910</v>
      </c>
      <c r="G36" s="22">
        <v>0.85</v>
      </c>
      <c r="H36" s="3">
        <v>6775.86</v>
      </c>
      <c r="I36" s="3"/>
      <c r="J36" s="3">
        <f>D36</f>
        <v>1000</v>
      </c>
      <c r="K36" s="3">
        <v>3250</v>
      </c>
      <c r="L36" s="3">
        <v>3250</v>
      </c>
      <c r="M36" s="3">
        <v>3250</v>
      </c>
      <c r="N36" s="3">
        <v>225.33</v>
      </c>
      <c r="O36" s="3">
        <v>54885.74</v>
      </c>
      <c r="P36" s="202">
        <f>O36/J36*10^5/10^3</f>
        <v>5488.5739999999996</v>
      </c>
      <c r="Q36" s="3">
        <v>73232.25</v>
      </c>
      <c r="R36" s="3">
        <v>128117.99</v>
      </c>
    </row>
    <row r="37" spans="1:18" ht="14.15" customHeight="1" x14ac:dyDescent="0.35">
      <c r="A37" s="10" t="s">
        <v>756</v>
      </c>
      <c r="B37" s="10"/>
      <c r="C37" s="203"/>
      <c r="D37" s="10">
        <f>D35+D36</f>
        <v>1600</v>
      </c>
      <c r="E37" s="204"/>
      <c r="F37" s="10">
        <f>F35+F36</f>
        <v>1456</v>
      </c>
      <c r="G37" s="203"/>
      <c r="H37" s="10">
        <f>H35+H36</f>
        <v>10841.38</v>
      </c>
      <c r="I37" s="10"/>
      <c r="J37" s="10">
        <f>J35+J36</f>
        <v>1600</v>
      </c>
      <c r="K37" s="10">
        <f>K35+K36</f>
        <v>5659</v>
      </c>
      <c r="L37" s="10">
        <f>L35+L36</f>
        <v>5659</v>
      </c>
      <c r="M37" s="10">
        <f>M35+M36</f>
        <v>5659</v>
      </c>
      <c r="N37" s="10">
        <f>Q37/M37/10</f>
        <v>2.2188188725923306</v>
      </c>
      <c r="O37" s="10">
        <f>O35+O36</f>
        <v>83605.51999999999</v>
      </c>
      <c r="P37" s="10">
        <f>O37/J37*10^5/10^3</f>
        <v>5225.3449999999993</v>
      </c>
      <c r="Q37" s="10">
        <f>Q35+Q36</f>
        <v>125562.95999999999</v>
      </c>
      <c r="R37" s="10">
        <f>R35+R36</f>
        <v>209168.48</v>
      </c>
    </row>
    <row r="38" spans="1:18" ht="14.15" customHeight="1" x14ac:dyDescent="0.35">
      <c r="C38" s="140"/>
      <c r="E38" s="139"/>
      <c r="G38" s="140"/>
    </row>
    <row r="39" spans="1:18" ht="14.15" customHeight="1" x14ac:dyDescent="0.35">
      <c r="A39" s="10" t="s">
        <v>757</v>
      </c>
      <c r="B39" s="10"/>
      <c r="C39" s="203" t="s">
        <v>690</v>
      </c>
      <c r="D39" s="12">
        <f>D31+D37</f>
        <v>9820</v>
      </c>
      <c r="E39" s="204"/>
      <c r="F39" s="12">
        <f>F31+F37</f>
        <v>8531.35</v>
      </c>
      <c r="G39" s="203"/>
      <c r="H39" s="12">
        <f>H31+H37</f>
        <v>62242.17</v>
      </c>
      <c r="I39" s="10"/>
      <c r="J39" s="12">
        <f>J31+J37</f>
        <v>6093.6830126370587</v>
      </c>
      <c r="K39" s="12">
        <f>K31+K37</f>
        <v>31776</v>
      </c>
      <c r="L39" s="12">
        <f>L31+L37</f>
        <v>30272</v>
      </c>
      <c r="M39" s="12">
        <f>M31+M37</f>
        <v>32137</v>
      </c>
      <c r="N39" s="205">
        <f>Q39/M39/10</f>
        <v>2.2618272085135507</v>
      </c>
      <c r="O39" s="12">
        <f>O31+O37</f>
        <v>356565.58999999997</v>
      </c>
      <c r="P39" s="12">
        <f>O39/J39*10^5/10^3</f>
        <v>5851.397082200624</v>
      </c>
      <c r="Q39" s="12">
        <f>Q31+Q37</f>
        <v>726883.4099999998</v>
      </c>
      <c r="R39" s="12">
        <f>R31+R37</f>
        <v>1083449</v>
      </c>
    </row>
    <row r="40" spans="1:18" x14ac:dyDescent="0.35">
      <c r="C40" s="140"/>
      <c r="E40" s="139"/>
      <c r="G40" s="140"/>
    </row>
    <row r="41" spans="1:18" s="304" customFormat="1" ht="87" x14ac:dyDescent="0.35">
      <c r="A41" s="3"/>
      <c r="B41" s="3" t="s">
        <v>264</v>
      </c>
      <c r="C41" s="3" t="s">
        <v>810</v>
      </c>
      <c r="D41" s="4" t="s">
        <v>1215</v>
      </c>
      <c r="E41" s="3" t="s">
        <v>1216</v>
      </c>
      <c r="F41" s="3" t="s">
        <v>1217</v>
      </c>
      <c r="G41" s="3" t="s">
        <v>1218</v>
      </c>
      <c r="H41" s="4" t="s">
        <v>1219</v>
      </c>
      <c r="I41" s="4" t="s">
        <v>1225</v>
      </c>
      <c r="J41" s="4" t="s">
        <v>1226</v>
      </c>
      <c r="K41" s="4" t="s">
        <v>1227</v>
      </c>
      <c r="L41" s="4" t="s">
        <v>811</v>
      </c>
      <c r="M41" s="4" t="s">
        <v>1220</v>
      </c>
      <c r="N41" s="4" t="s">
        <v>1221</v>
      </c>
      <c r="O41" s="4" t="s">
        <v>1222</v>
      </c>
      <c r="P41" s="208" t="s">
        <v>182</v>
      </c>
      <c r="Q41" s="4" t="s">
        <v>1223</v>
      </c>
      <c r="R41" s="4" t="s">
        <v>1224</v>
      </c>
    </row>
    <row r="42" spans="1:18" x14ac:dyDescent="0.35">
      <c r="A42" s="3" t="s">
        <v>827</v>
      </c>
      <c r="B42" s="3" t="s">
        <v>308</v>
      </c>
      <c r="C42" s="3" t="s">
        <v>309</v>
      </c>
      <c r="D42" s="3">
        <v>60</v>
      </c>
      <c r="E42" s="31">
        <v>0.01</v>
      </c>
      <c r="F42" s="31"/>
      <c r="G42" s="31"/>
      <c r="H42" s="3">
        <v>338.61</v>
      </c>
      <c r="I42" s="22">
        <v>0.28339999999999999</v>
      </c>
      <c r="J42" s="3">
        <f>D42*I42</f>
        <v>17.003999999999998</v>
      </c>
      <c r="K42" s="3">
        <v>95</v>
      </c>
      <c r="L42" s="3">
        <v>93</v>
      </c>
      <c r="M42" s="3">
        <v>95</v>
      </c>
      <c r="N42" s="3">
        <v>183</v>
      </c>
      <c r="O42" s="3">
        <v>1529.78</v>
      </c>
      <c r="P42" s="210">
        <f t="shared" ref="P42:P49" si="2">O42/J42*10^5/10^3</f>
        <v>8996.5890378734439</v>
      </c>
      <c r="Q42" s="3">
        <v>1738.54</v>
      </c>
      <c r="R42" s="3">
        <v>3268.32</v>
      </c>
    </row>
    <row r="43" spans="1:18" x14ac:dyDescent="0.35">
      <c r="A43" s="3" t="s">
        <v>828</v>
      </c>
      <c r="B43" s="3"/>
      <c r="C43" s="3" t="s">
        <v>309</v>
      </c>
      <c r="D43" s="3">
        <v>510</v>
      </c>
      <c r="E43" s="22">
        <v>1.2E-2</v>
      </c>
      <c r="F43" s="22"/>
      <c r="G43" s="22"/>
      <c r="H43" s="3">
        <v>2572.6999999999998</v>
      </c>
      <c r="I43" s="22">
        <v>0.23980000000000001</v>
      </c>
      <c r="J43" s="3">
        <f>I43*D43</f>
        <v>122.298</v>
      </c>
      <c r="K43" s="3">
        <v>610</v>
      </c>
      <c r="L43" s="3">
        <v>591</v>
      </c>
      <c r="M43" s="3">
        <v>610</v>
      </c>
      <c r="N43" s="3">
        <v>116</v>
      </c>
      <c r="O43" s="3">
        <v>6219.74</v>
      </c>
      <c r="P43" s="210">
        <f t="shared" si="2"/>
        <v>5085.7250322981563</v>
      </c>
      <c r="Q43" s="3">
        <v>7070.55</v>
      </c>
      <c r="R43" s="3">
        <v>13290.29</v>
      </c>
    </row>
    <row r="44" spans="1:18" x14ac:dyDescent="0.35">
      <c r="A44" s="3" t="s">
        <v>829</v>
      </c>
      <c r="B44" s="3"/>
      <c r="C44" s="3" t="s">
        <v>309</v>
      </c>
      <c r="D44" s="3">
        <v>132</v>
      </c>
      <c r="E44" s="31">
        <v>0.01</v>
      </c>
      <c r="F44" s="31"/>
      <c r="G44" s="31"/>
      <c r="H44" s="3">
        <v>594.09</v>
      </c>
      <c r="I44" s="31">
        <v>1</v>
      </c>
      <c r="J44" s="3">
        <f>I44*D44</f>
        <v>132</v>
      </c>
      <c r="K44" s="3">
        <v>588</v>
      </c>
      <c r="L44" s="3">
        <v>582</v>
      </c>
      <c r="M44" s="3">
        <v>588</v>
      </c>
      <c r="N44" s="3">
        <v>309.7</v>
      </c>
      <c r="O44" s="3">
        <v>17396.439999999999</v>
      </c>
      <c r="P44" s="210">
        <f t="shared" si="2"/>
        <v>13179.12121212121</v>
      </c>
      <c r="Q44" s="3">
        <v>18214.98</v>
      </c>
      <c r="R44" s="3">
        <v>35611.42</v>
      </c>
    </row>
    <row r="45" spans="1:18" x14ac:dyDescent="0.35">
      <c r="A45" s="3" t="s">
        <v>830</v>
      </c>
      <c r="B45" s="3"/>
      <c r="C45" s="3" t="s">
        <v>309</v>
      </c>
      <c r="D45" s="3">
        <v>160</v>
      </c>
      <c r="E45" s="31">
        <v>0.01</v>
      </c>
      <c r="F45" s="31"/>
      <c r="G45" s="31"/>
      <c r="H45" s="3">
        <v>720</v>
      </c>
      <c r="I45" s="31">
        <v>1</v>
      </c>
      <c r="J45" s="3">
        <f>I45*D45</f>
        <v>160</v>
      </c>
      <c r="K45" s="3">
        <v>713</v>
      </c>
      <c r="L45" s="3">
        <v>713</v>
      </c>
      <c r="M45" s="3">
        <v>713</v>
      </c>
      <c r="N45" s="3">
        <v>144.4</v>
      </c>
      <c r="O45" s="3">
        <v>10185.5</v>
      </c>
      <c r="P45" s="210">
        <f t="shared" si="2"/>
        <v>6365.9375</v>
      </c>
      <c r="Q45" s="3">
        <v>10292.83</v>
      </c>
      <c r="R45" s="3">
        <v>20478.330000000002</v>
      </c>
    </row>
    <row r="46" spans="1:18" x14ac:dyDescent="0.35">
      <c r="A46" s="3" t="s">
        <v>831</v>
      </c>
      <c r="B46" s="3"/>
      <c r="C46" s="3" t="s">
        <v>309</v>
      </c>
      <c r="D46" s="3">
        <v>336</v>
      </c>
      <c r="E46" s="3"/>
      <c r="F46" s="3"/>
      <c r="G46" s="3"/>
      <c r="H46" s="3"/>
      <c r="I46" s="3"/>
      <c r="J46" s="3">
        <f>D46</f>
        <v>336</v>
      </c>
      <c r="K46" s="3">
        <v>554</v>
      </c>
      <c r="L46" s="3">
        <v>554</v>
      </c>
      <c r="M46" s="3">
        <v>554</v>
      </c>
      <c r="N46" s="3">
        <v>229</v>
      </c>
      <c r="O46" s="3"/>
      <c r="P46" s="210">
        <f t="shared" si="2"/>
        <v>0</v>
      </c>
      <c r="Q46" s="3">
        <v>12679.12</v>
      </c>
      <c r="R46" s="3">
        <v>12679.12</v>
      </c>
    </row>
    <row r="47" spans="1:18" x14ac:dyDescent="0.35">
      <c r="A47" s="3" t="s">
        <v>832</v>
      </c>
      <c r="B47" s="3"/>
      <c r="C47" s="3" t="s">
        <v>309</v>
      </c>
      <c r="D47" s="3">
        <v>60</v>
      </c>
      <c r="E47" s="3"/>
      <c r="F47" s="3"/>
      <c r="G47" s="3"/>
      <c r="H47" s="3"/>
      <c r="I47" s="3"/>
      <c r="J47" s="3">
        <f>D47</f>
        <v>60</v>
      </c>
      <c r="K47" s="3">
        <v>20</v>
      </c>
      <c r="L47" s="3">
        <v>20</v>
      </c>
      <c r="M47" s="3">
        <v>20</v>
      </c>
      <c r="N47" s="3">
        <v>217</v>
      </c>
      <c r="O47" s="3"/>
      <c r="P47" s="210">
        <f t="shared" si="2"/>
        <v>0</v>
      </c>
      <c r="Q47" s="3">
        <v>434</v>
      </c>
      <c r="R47" s="3">
        <v>434</v>
      </c>
    </row>
    <row r="48" spans="1:18" x14ac:dyDescent="0.35">
      <c r="A48" s="3" t="s">
        <v>833</v>
      </c>
      <c r="B48" s="3"/>
      <c r="C48" s="3" t="s">
        <v>309</v>
      </c>
      <c r="D48" s="3">
        <v>1020</v>
      </c>
      <c r="E48" s="3"/>
      <c r="F48" s="3"/>
      <c r="G48" s="3"/>
      <c r="H48" s="3"/>
      <c r="I48" s="3"/>
      <c r="J48" s="3">
        <f>D48</f>
        <v>1020</v>
      </c>
      <c r="K48" s="3">
        <v>1297</v>
      </c>
      <c r="L48" s="3">
        <v>1297</v>
      </c>
      <c r="M48" s="3">
        <v>1297</v>
      </c>
      <c r="N48" s="3">
        <v>216</v>
      </c>
      <c r="O48" s="3"/>
      <c r="P48" s="210">
        <f t="shared" si="2"/>
        <v>0</v>
      </c>
      <c r="Q48" s="3">
        <v>28013.69</v>
      </c>
      <c r="R48" s="3">
        <v>28013.69</v>
      </c>
    </row>
    <row r="49" spans="1:18" x14ac:dyDescent="0.35">
      <c r="A49" s="3" t="s">
        <v>834</v>
      </c>
      <c r="B49" s="3"/>
      <c r="C49" s="3" t="s">
        <v>309</v>
      </c>
      <c r="D49" s="3">
        <v>450</v>
      </c>
      <c r="E49" s="3"/>
      <c r="F49" s="22"/>
      <c r="G49" s="3"/>
      <c r="H49" s="3"/>
      <c r="I49" s="3"/>
      <c r="J49" s="3">
        <v>100</v>
      </c>
      <c r="K49" s="3">
        <v>618</v>
      </c>
      <c r="L49" s="3">
        <v>655</v>
      </c>
      <c r="M49" s="3">
        <v>618</v>
      </c>
      <c r="N49" s="3">
        <v>372.3</v>
      </c>
      <c r="O49" s="3"/>
      <c r="P49" s="210">
        <f t="shared" si="2"/>
        <v>0</v>
      </c>
      <c r="Q49" s="3">
        <v>22991.01</v>
      </c>
      <c r="R49" s="3">
        <v>22991.01</v>
      </c>
    </row>
    <row r="50" spans="1:18" x14ac:dyDescent="0.35">
      <c r="A50" s="3" t="s">
        <v>837</v>
      </c>
      <c r="B50" s="3"/>
      <c r="C50" s="3" t="s">
        <v>309</v>
      </c>
      <c r="D50" s="3"/>
      <c r="E50" s="3"/>
      <c r="F50" s="3"/>
      <c r="G50" s="31"/>
      <c r="H50" s="3"/>
      <c r="I50" s="31"/>
      <c r="J50" s="3"/>
      <c r="K50" s="3"/>
      <c r="L50" s="3">
        <v>362</v>
      </c>
      <c r="M50" s="212">
        <v>0</v>
      </c>
      <c r="N50" s="3">
        <v>0</v>
      </c>
      <c r="O50" s="3"/>
      <c r="P50" s="3"/>
      <c r="Q50" s="3"/>
      <c r="R50" s="3"/>
    </row>
    <row r="51" spans="1:18" x14ac:dyDescent="0.35">
      <c r="A51" s="3" t="s">
        <v>857</v>
      </c>
      <c r="B51" s="3"/>
      <c r="C51" s="3" t="s">
        <v>309</v>
      </c>
      <c r="D51" s="3">
        <v>36</v>
      </c>
      <c r="E51" s="22">
        <v>0.01</v>
      </c>
      <c r="F51" s="3"/>
      <c r="G51" s="22">
        <v>0.43759999999999999</v>
      </c>
      <c r="H51" s="3">
        <v>136.62</v>
      </c>
      <c r="I51" s="31">
        <v>1</v>
      </c>
      <c r="J51" s="3">
        <v>36</v>
      </c>
      <c r="K51" s="3"/>
      <c r="L51" s="3"/>
      <c r="M51" s="3"/>
      <c r="N51" s="3"/>
      <c r="O51" s="3">
        <v>178.60361406605662</v>
      </c>
      <c r="P51" s="3"/>
      <c r="Q51" s="3"/>
      <c r="R51" s="3"/>
    </row>
    <row r="52" spans="1:18" x14ac:dyDescent="0.35">
      <c r="A52" s="3" t="s">
        <v>858</v>
      </c>
      <c r="B52" s="3"/>
      <c r="C52" s="3" t="s">
        <v>309</v>
      </c>
      <c r="D52" s="3">
        <v>51</v>
      </c>
      <c r="E52" s="22">
        <v>0.01</v>
      </c>
      <c r="F52" s="3"/>
      <c r="G52" s="22">
        <v>0.56850000000000001</v>
      </c>
      <c r="H52" s="3">
        <v>251.46</v>
      </c>
      <c r="I52" s="31">
        <v>1</v>
      </c>
      <c r="J52" s="3">
        <v>51</v>
      </c>
      <c r="K52" s="3"/>
      <c r="L52" s="3"/>
      <c r="M52" s="3"/>
      <c r="N52" s="3"/>
      <c r="O52" s="3">
        <v>253.0217865935802</v>
      </c>
      <c r="P52" s="3"/>
      <c r="Q52" s="3"/>
      <c r="R52" s="3"/>
    </row>
    <row r="53" spans="1:18" x14ac:dyDescent="0.35">
      <c r="A53" s="3" t="s">
        <v>859</v>
      </c>
      <c r="B53" s="3"/>
      <c r="C53" s="3" t="s">
        <v>309</v>
      </c>
      <c r="D53" s="3">
        <v>900</v>
      </c>
      <c r="E53" s="22">
        <v>1.7000000000000001E-2</v>
      </c>
      <c r="F53" s="3"/>
      <c r="G53" s="22">
        <v>0.1338</v>
      </c>
      <c r="H53" s="3">
        <v>1037.0650000000001</v>
      </c>
      <c r="I53" s="31">
        <v>1</v>
      </c>
      <c r="J53" s="3">
        <v>900</v>
      </c>
      <c r="K53" s="3"/>
      <c r="L53" s="3"/>
      <c r="M53" s="3"/>
      <c r="N53" s="3"/>
      <c r="O53" s="3">
        <v>4465.0903516514145</v>
      </c>
      <c r="P53" s="3"/>
      <c r="Q53" s="3"/>
      <c r="R53" s="3"/>
    </row>
    <row r="54" spans="1:18" x14ac:dyDescent="0.35">
      <c r="A54" s="10" t="s">
        <v>994</v>
      </c>
      <c r="B54" s="10"/>
      <c r="C54" s="10" t="s">
        <v>996</v>
      </c>
      <c r="D54" s="10">
        <f>SUM(D42:D53)</f>
        <v>3715</v>
      </c>
      <c r="E54" s="10"/>
      <c r="F54" s="10">
        <f>SUM(F42:F53)</f>
        <v>0</v>
      </c>
      <c r="G54" s="10"/>
      <c r="H54" s="10">
        <f>SUM(H42:H53)</f>
        <v>5650.5450000000001</v>
      </c>
      <c r="I54" s="10"/>
      <c r="J54" s="10">
        <f>SUM(J42:J53)</f>
        <v>2934.3020000000001</v>
      </c>
      <c r="K54" s="10">
        <f>SUM(K42:K53)</f>
        <v>4495</v>
      </c>
      <c r="L54" s="10">
        <f>SUM(L42:L53)</f>
        <v>4867</v>
      </c>
      <c r="M54" s="10">
        <f>SUM(M42:M53)</f>
        <v>4495</v>
      </c>
      <c r="N54" s="205">
        <f>Q54/M54/10</f>
        <v>2.2566122358175749</v>
      </c>
      <c r="O54" s="10">
        <f>SUM(O42:O53)</f>
        <v>40228.17575231105</v>
      </c>
      <c r="P54" s="211">
        <f>O54/J54*10^5/10^3</f>
        <v>1370.9623533062054</v>
      </c>
      <c r="Q54" s="10">
        <f>SUM(Q42:Q53)</f>
        <v>101434.72</v>
      </c>
      <c r="R54" s="10">
        <f>SUM(R42:R53)</f>
        <v>136766.18</v>
      </c>
    </row>
    <row r="55" spans="1:18" x14ac:dyDescent="0.35">
      <c r="H55" s="140"/>
    </row>
    <row r="56" spans="1:18" s="304" customFormat="1" ht="87" x14ac:dyDescent="0.35">
      <c r="A56" s="3"/>
      <c r="B56" s="3" t="s">
        <v>264</v>
      </c>
      <c r="C56" s="3" t="s">
        <v>810</v>
      </c>
      <c r="D56" s="4" t="s">
        <v>1215</v>
      </c>
      <c r="E56" s="3" t="s">
        <v>1216</v>
      </c>
      <c r="F56" s="3" t="s">
        <v>1217</v>
      </c>
      <c r="G56" s="3" t="s">
        <v>1218</v>
      </c>
      <c r="H56" s="4" t="s">
        <v>1219</v>
      </c>
      <c r="I56" s="4" t="s">
        <v>1225</v>
      </c>
      <c r="J56" s="4" t="s">
        <v>1226</v>
      </c>
      <c r="K56" s="4" t="s">
        <v>1227</v>
      </c>
      <c r="L56" s="4" t="s">
        <v>811</v>
      </c>
      <c r="M56" s="4" t="s">
        <v>1220</v>
      </c>
      <c r="N56" s="4" t="s">
        <v>1221</v>
      </c>
      <c r="O56" s="4" t="s">
        <v>1222</v>
      </c>
      <c r="P56" s="208" t="s">
        <v>182</v>
      </c>
      <c r="Q56" s="4" t="s">
        <v>1223</v>
      </c>
      <c r="R56" s="4" t="s">
        <v>1224</v>
      </c>
    </row>
    <row r="57" spans="1:18" s="173" customFormat="1" x14ac:dyDescent="0.35">
      <c r="A57" s="218" t="s">
        <v>860</v>
      </c>
      <c r="B57" s="219"/>
      <c r="C57" s="219"/>
      <c r="D57" s="219">
        <v>8</v>
      </c>
      <c r="E57" s="220">
        <v>0.01</v>
      </c>
      <c r="F57" s="219"/>
      <c r="G57" s="220">
        <v>0.51370000000000005</v>
      </c>
      <c r="H57" s="219">
        <v>35.64</v>
      </c>
      <c r="I57" s="219"/>
      <c r="J57" s="219">
        <v>8</v>
      </c>
      <c r="K57" s="219"/>
      <c r="L57" s="219"/>
      <c r="M57" s="219"/>
      <c r="N57" s="219"/>
      <c r="O57" s="219">
        <v>39.689692014679245</v>
      </c>
      <c r="P57" s="219"/>
      <c r="Q57" s="219"/>
      <c r="R57" s="219"/>
    </row>
    <row r="58" spans="1:18" s="173" customFormat="1" x14ac:dyDescent="0.35">
      <c r="A58" s="218" t="s">
        <v>861</v>
      </c>
      <c r="B58" s="219"/>
      <c r="C58" s="219"/>
      <c r="D58" s="219">
        <v>22.5</v>
      </c>
      <c r="E58" s="220">
        <v>0.01</v>
      </c>
      <c r="F58" s="219"/>
      <c r="G58" s="220">
        <v>0.1421</v>
      </c>
      <c r="H58" s="219">
        <v>27.72</v>
      </c>
      <c r="I58" s="219"/>
      <c r="J58" s="219">
        <v>22.5</v>
      </c>
      <c r="K58" s="219"/>
      <c r="L58" s="219"/>
      <c r="M58" s="219"/>
      <c r="N58" s="219"/>
      <c r="O58" s="219">
        <v>111.62725879128537</v>
      </c>
      <c r="P58" s="219"/>
      <c r="Q58" s="219"/>
      <c r="R58" s="219"/>
    </row>
    <row r="59" spans="1:18" s="173" customFormat="1" x14ac:dyDescent="0.35">
      <c r="A59" s="218" t="s">
        <v>862</v>
      </c>
      <c r="B59" s="219"/>
      <c r="C59" s="219"/>
      <c r="D59" s="219">
        <v>22.25</v>
      </c>
      <c r="E59" s="220">
        <v>0.01</v>
      </c>
      <c r="F59" s="219"/>
      <c r="G59" s="220">
        <v>0.1421</v>
      </c>
      <c r="H59" s="219">
        <v>27.72</v>
      </c>
      <c r="I59" s="219"/>
      <c r="J59" s="219">
        <v>22.25</v>
      </c>
      <c r="K59" s="219"/>
      <c r="L59" s="219"/>
      <c r="M59" s="219"/>
      <c r="N59" s="219"/>
      <c r="O59" s="219">
        <v>110.38695591582665</v>
      </c>
      <c r="P59" s="219"/>
      <c r="Q59" s="219"/>
      <c r="R59" s="219"/>
    </row>
    <row r="60" spans="1:18" s="173" customFormat="1" x14ac:dyDescent="0.35">
      <c r="A60" s="218" t="s">
        <v>863</v>
      </c>
      <c r="B60" s="219"/>
      <c r="C60" s="219"/>
      <c r="D60" s="219">
        <v>22.5</v>
      </c>
      <c r="E60" s="220">
        <v>0.01</v>
      </c>
      <c r="F60" s="219"/>
      <c r="G60" s="220">
        <v>0.12180000000000001</v>
      </c>
      <c r="H60" s="219">
        <v>23.76</v>
      </c>
      <c r="I60" s="219"/>
      <c r="J60" s="219">
        <v>22.5</v>
      </c>
      <c r="K60" s="219"/>
      <c r="L60" s="219"/>
      <c r="M60" s="219"/>
      <c r="N60" s="219"/>
      <c r="O60" s="219">
        <v>111.62725879128537</v>
      </c>
      <c r="P60" s="219"/>
      <c r="Q60" s="219"/>
      <c r="R60" s="219"/>
    </row>
    <row r="61" spans="1:18" s="173" customFormat="1" x14ac:dyDescent="0.35">
      <c r="A61" s="218" t="s">
        <v>864</v>
      </c>
      <c r="B61" s="219"/>
      <c r="C61" s="219"/>
      <c r="D61" s="219">
        <v>2.5</v>
      </c>
      <c r="E61" s="220">
        <v>0.01</v>
      </c>
      <c r="F61" s="219"/>
      <c r="G61" s="220">
        <v>6.2600000000000003E-2</v>
      </c>
      <c r="H61" s="219">
        <v>1.36</v>
      </c>
      <c r="I61" s="219"/>
      <c r="J61" s="219">
        <v>2.5</v>
      </c>
      <c r="K61" s="219"/>
      <c r="L61" s="219"/>
      <c r="M61" s="219"/>
      <c r="N61" s="219"/>
      <c r="O61" s="219">
        <v>12.403028754587263</v>
      </c>
      <c r="P61" s="219"/>
      <c r="Q61" s="219"/>
      <c r="R61" s="219"/>
    </row>
    <row r="62" spans="1:18" s="173" customFormat="1" x14ac:dyDescent="0.35">
      <c r="A62" s="218" t="s">
        <v>865</v>
      </c>
      <c r="B62" s="219"/>
      <c r="C62" s="219"/>
      <c r="D62" s="219">
        <v>2</v>
      </c>
      <c r="E62" s="220">
        <v>0.01</v>
      </c>
      <c r="F62" s="219"/>
      <c r="G62" s="220">
        <v>0.47260000000000002</v>
      </c>
      <c r="H62" s="219">
        <v>8.1999999999999993</v>
      </c>
      <c r="I62" s="219"/>
      <c r="J62" s="219">
        <v>2</v>
      </c>
      <c r="K62" s="219"/>
      <c r="L62" s="219"/>
      <c r="M62" s="219"/>
      <c r="N62" s="219"/>
      <c r="O62" s="219">
        <v>9.9224230036698113</v>
      </c>
      <c r="P62" s="219"/>
      <c r="Q62" s="219"/>
      <c r="R62" s="219"/>
    </row>
    <row r="63" spans="1:18" s="173" customFormat="1" x14ac:dyDescent="0.35">
      <c r="A63" s="218" t="s">
        <v>866</v>
      </c>
      <c r="B63" s="219"/>
      <c r="C63" s="219"/>
      <c r="D63" s="219">
        <v>0.6</v>
      </c>
      <c r="E63" s="220">
        <v>0.01</v>
      </c>
      <c r="F63" s="219"/>
      <c r="G63" s="220">
        <v>2.2800000000000001E-2</v>
      </c>
      <c r="H63" s="219">
        <v>0.12</v>
      </c>
      <c r="I63" s="219"/>
      <c r="J63" s="219">
        <v>0.6</v>
      </c>
      <c r="K63" s="219"/>
      <c r="L63" s="219"/>
      <c r="M63" s="219"/>
      <c r="N63" s="219"/>
      <c r="O63" s="219">
        <v>2.9767269011009434</v>
      </c>
      <c r="P63" s="219"/>
      <c r="Q63" s="219"/>
      <c r="R63" s="219"/>
    </row>
    <row r="64" spans="1:18" s="173" customFormat="1" x14ac:dyDescent="0.35">
      <c r="A64" s="218" t="s">
        <v>867</v>
      </c>
      <c r="B64" s="219"/>
      <c r="C64" s="219"/>
      <c r="D64" s="219">
        <v>2</v>
      </c>
      <c r="E64" s="220">
        <v>0.01</v>
      </c>
      <c r="F64" s="219"/>
      <c r="G64" s="220">
        <v>7.3599999999999999E-2</v>
      </c>
      <c r="H64" s="219">
        <v>1.28</v>
      </c>
      <c r="I64" s="219"/>
      <c r="J64" s="219">
        <v>2</v>
      </c>
      <c r="K64" s="219"/>
      <c r="L64" s="219"/>
      <c r="M64" s="219"/>
      <c r="N64" s="219"/>
      <c r="O64" s="219">
        <v>9.9224230036698113</v>
      </c>
      <c r="P64" s="219"/>
      <c r="Q64" s="219"/>
      <c r="R64" s="219"/>
    </row>
    <row r="65" spans="1:18" s="173" customFormat="1" x14ac:dyDescent="0.35">
      <c r="A65" s="218" t="s">
        <v>868</v>
      </c>
      <c r="B65" s="219"/>
      <c r="C65" s="219"/>
      <c r="D65" s="219">
        <v>4</v>
      </c>
      <c r="E65" s="220">
        <v>0.01</v>
      </c>
      <c r="F65" s="219"/>
      <c r="G65" s="220">
        <v>0.21779999999999999</v>
      </c>
      <c r="H65" s="219">
        <v>7.56</v>
      </c>
      <c r="I65" s="219"/>
      <c r="J65" s="219">
        <v>4</v>
      </c>
      <c r="K65" s="219"/>
      <c r="L65" s="219"/>
      <c r="M65" s="219"/>
      <c r="N65" s="219"/>
      <c r="O65" s="219">
        <v>19.844846007339623</v>
      </c>
      <c r="P65" s="219"/>
      <c r="Q65" s="219"/>
      <c r="R65" s="219"/>
    </row>
    <row r="66" spans="1:18" s="173" customFormat="1" x14ac:dyDescent="0.35">
      <c r="A66" s="218" t="s">
        <v>869</v>
      </c>
      <c r="B66" s="219"/>
      <c r="C66" s="219"/>
      <c r="D66" s="219">
        <v>3</v>
      </c>
      <c r="E66" s="220">
        <v>0.01</v>
      </c>
      <c r="F66" s="219"/>
      <c r="G66" s="220">
        <v>0.27779999999999999</v>
      </c>
      <c r="H66" s="219">
        <v>7.23</v>
      </c>
      <c r="I66" s="219"/>
      <c r="J66" s="219">
        <v>3</v>
      </c>
      <c r="K66" s="219"/>
      <c r="L66" s="219"/>
      <c r="M66" s="219"/>
      <c r="N66" s="219"/>
      <c r="O66" s="219">
        <v>14.883634505504716</v>
      </c>
      <c r="P66" s="219"/>
      <c r="Q66" s="219"/>
      <c r="R66" s="219"/>
    </row>
    <row r="67" spans="1:18" x14ac:dyDescent="0.35">
      <c r="A67" s="10" t="s">
        <v>760</v>
      </c>
      <c r="B67" s="10"/>
      <c r="C67" s="10" t="s">
        <v>995</v>
      </c>
      <c r="D67" s="10">
        <f>SUM(D57:D66)</f>
        <v>89.35</v>
      </c>
      <c r="E67" s="10"/>
      <c r="F67" s="10">
        <f>SUM(F57:F66)</f>
        <v>0</v>
      </c>
      <c r="G67" s="10"/>
      <c r="H67" s="10">
        <f>SUM(H57:H66)</f>
        <v>140.59</v>
      </c>
      <c r="I67" s="10"/>
      <c r="J67" s="10">
        <f>SUM(J57:J66)</f>
        <v>89.35</v>
      </c>
      <c r="K67" s="10">
        <f>SUM(K57:K66)</f>
        <v>0</v>
      </c>
      <c r="L67" s="10">
        <f>SUM(L57:L66)</f>
        <v>0</v>
      </c>
      <c r="M67" s="10">
        <f>SUM(M57:M66)</f>
        <v>0</v>
      </c>
      <c r="N67" s="205">
        <v>0</v>
      </c>
      <c r="O67" s="10">
        <f>SUM(O57:O66)</f>
        <v>443.28424768894877</v>
      </c>
      <c r="P67" s="211">
        <f>O67/J67*10^5/10^3</f>
        <v>496.12115018349061</v>
      </c>
      <c r="Q67" s="10">
        <f>SUM(Q57:Q66)</f>
        <v>0</v>
      </c>
      <c r="R67" s="10">
        <f>SUM(R57:R66)</f>
        <v>0</v>
      </c>
    </row>
    <row r="68" spans="1:18" x14ac:dyDescent="0.35">
      <c r="A68" s="215"/>
      <c r="B68" s="215"/>
      <c r="C68" s="215"/>
      <c r="D68" s="215"/>
      <c r="E68" s="215"/>
      <c r="F68" s="215"/>
      <c r="G68" s="215"/>
      <c r="H68" s="215"/>
      <c r="I68" s="215"/>
      <c r="J68" s="215"/>
      <c r="K68" s="215"/>
      <c r="L68" s="215"/>
      <c r="M68" s="215"/>
      <c r="N68" s="216"/>
      <c r="O68" s="215"/>
      <c r="P68" s="217"/>
      <c r="Q68" s="215"/>
      <c r="R68" s="215"/>
    </row>
    <row r="69" spans="1:18" s="304" customFormat="1" ht="87" x14ac:dyDescent="0.35">
      <c r="A69" s="3"/>
      <c r="B69" s="3" t="s">
        <v>264</v>
      </c>
      <c r="C69" s="3" t="s">
        <v>810</v>
      </c>
      <c r="D69" s="4" t="s">
        <v>1215</v>
      </c>
      <c r="E69" s="3" t="s">
        <v>1216</v>
      </c>
      <c r="F69" s="3" t="s">
        <v>1217</v>
      </c>
      <c r="G69" s="3" t="s">
        <v>1218</v>
      </c>
      <c r="H69" s="4" t="s">
        <v>1219</v>
      </c>
      <c r="I69" s="4" t="s">
        <v>1225</v>
      </c>
      <c r="J69" s="4" t="s">
        <v>1226</v>
      </c>
      <c r="K69" s="4" t="s">
        <v>1227</v>
      </c>
      <c r="L69" s="4" t="s">
        <v>811</v>
      </c>
      <c r="M69" s="4" t="s">
        <v>1220</v>
      </c>
      <c r="N69" s="4" t="s">
        <v>1221</v>
      </c>
      <c r="O69" s="4" t="s">
        <v>1222</v>
      </c>
      <c r="P69" s="208" t="s">
        <v>182</v>
      </c>
      <c r="Q69" s="4" t="s">
        <v>1223</v>
      </c>
      <c r="R69" s="4" t="s">
        <v>1224</v>
      </c>
    </row>
    <row r="70" spans="1:18" x14ac:dyDescent="0.35">
      <c r="A70" s="149" t="s">
        <v>1000</v>
      </c>
      <c r="B70" s="149"/>
      <c r="C70" s="149" t="s">
        <v>351</v>
      </c>
      <c r="D70" s="149">
        <v>40</v>
      </c>
      <c r="E70" s="181">
        <v>0</v>
      </c>
      <c r="F70" s="149">
        <v>40</v>
      </c>
      <c r="G70" s="214">
        <v>9.0399999999999994E-2</v>
      </c>
      <c r="H70" s="149">
        <v>75.25</v>
      </c>
      <c r="I70" s="181">
        <v>1</v>
      </c>
      <c r="J70" s="149">
        <v>40</v>
      </c>
      <c r="K70" s="149">
        <v>75.25</v>
      </c>
      <c r="L70" s="149">
        <f>K70</f>
        <v>75.25</v>
      </c>
      <c r="M70" s="149">
        <f>K70</f>
        <v>75.25</v>
      </c>
      <c r="N70" s="14">
        <v>1069.95</v>
      </c>
      <c r="Q70" s="148">
        <f>N70*M70/100*10^6/10^5</f>
        <v>8051.3737499999997</v>
      </c>
      <c r="R70" s="148">
        <f>O70+Q70</f>
        <v>8051.3737499999997</v>
      </c>
    </row>
    <row r="71" spans="1:18" x14ac:dyDescent="0.35">
      <c r="A71" s="3" t="s">
        <v>835</v>
      </c>
      <c r="B71" s="3"/>
      <c r="C71" s="202" t="s">
        <v>351</v>
      </c>
      <c r="D71" s="3"/>
      <c r="E71" s="3"/>
      <c r="F71" s="3"/>
      <c r="G71" s="3"/>
      <c r="H71" s="22"/>
      <c r="I71" s="3"/>
      <c r="J71" s="3"/>
      <c r="K71" s="3">
        <v>69</v>
      </c>
      <c r="L71" s="3">
        <v>69</v>
      </c>
      <c r="M71" s="11">
        <v>69</v>
      </c>
      <c r="N71" s="3">
        <v>1069.95</v>
      </c>
      <c r="O71" s="3"/>
      <c r="P71" s="3"/>
      <c r="Q71" s="3">
        <v>7361.26</v>
      </c>
      <c r="R71" s="3">
        <v>7361.26</v>
      </c>
    </row>
    <row r="72" spans="1:18" x14ac:dyDescent="0.35">
      <c r="A72" s="213" t="s">
        <v>999</v>
      </c>
      <c r="B72" s="10"/>
      <c r="C72" s="213" t="s">
        <v>351</v>
      </c>
      <c r="D72" s="10">
        <f>SUM(D70:D71)</f>
        <v>40</v>
      </c>
      <c r="E72" s="10"/>
      <c r="F72" s="10">
        <f>SUM(F70:F71)</f>
        <v>40</v>
      </c>
      <c r="G72" s="203"/>
      <c r="H72" s="10">
        <f>SUM(H70:H71)</f>
        <v>75.25</v>
      </c>
      <c r="I72" s="203"/>
      <c r="J72" s="10">
        <f>SUM(J70:J71)</f>
        <v>40</v>
      </c>
      <c r="K72" s="10">
        <f>SUM(K70:K71)</f>
        <v>144.25</v>
      </c>
      <c r="L72" s="10">
        <f>SUM(L70:L71)</f>
        <v>144.25</v>
      </c>
      <c r="M72" s="10">
        <f>SUM(M70:M71)</f>
        <v>144.25</v>
      </c>
      <c r="N72" s="205">
        <f>Q72/M72/10</f>
        <v>10.684668110918546</v>
      </c>
      <c r="O72" s="10">
        <f>SUM(O70:O71)</f>
        <v>0</v>
      </c>
      <c r="P72" s="211">
        <f>O72/J72*10^5/10^3</f>
        <v>0</v>
      </c>
      <c r="Q72" s="10">
        <f>SUM(Q70:Q71)</f>
        <v>15412.633750000001</v>
      </c>
      <c r="R72" s="10">
        <f>SUM(R70:R71)</f>
        <v>15412.633750000001</v>
      </c>
    </row>
    <row r="73" spans="1:18" x14ac:dyDescent="0.35">
      <c r="G73" s="139"/>
      <c r="I73" s="139"/>
    </row>
    <row r="74" spans="1:18" x14ac:dyDescent="0.35">
      <c r="G74" s="139"/>
      <c r="I74" s="139"/>
    </row>
    <row r="75" spans="1:18" x14ac:dyDescent="0.35">
      <c r="G75" s="139"/>
      <c r="I75" s="139"/>
    </row>
    <row r="76" spans="1:18" x14ac:dyDescent="0.35">
      <c r="A76" s="148" t="s">
        <v>838</v>
      </c>
      <c r="G76" s="139"/>
      <c r="I76" s="139"/>
      <c r="L76" s="148">
        <v>3350</v>
      </c>
      <c r="M76" s="148">
        <v>1859</v>
      </c>
      <c r="N76" s="148">
        <v>391.66</v>
      </c>
      <c r="Q76" s="148">
        <v>72809.59</v>
      </c>
      <c r="R76" s="148">
        <v>72809.59</v>
      </c>
    </row>
    <row r="77" spans="1:18" x14ac:dyDescent="0.35">
      <c r="A77" s="3" t="s">
        <v>839</v>
      </c>
      <c r="B77" s="3"/>
      <c r="C77" s="202" t="s">
        <v>351</v>
      </c>
      <c r="D77" s="3"/>
      <c r="E77" s="3"/>
      <c r="F77" s="3"/>
      <c r="G77" s="3"/>
      <c r="H77" s="3"/>
      <c r="I77" s="3"/>
      <c r="J77" s="3"/>
      <c r="K77" s="3"/>
      <c r="L77" s="3">
        <v>138</v>
      </c>
      <c r="M77" s="3">
        <v>138</v>
      </c>
      <c r="N77" s="3">
        <v>450</v>
      </c>
      <c r="O77" s="3"/>
      <c r="P77" s="3"/>
      <c r="Q77" s="3">
        <v>6208.65</v>
      </c>
      <c r="R77" s="3">
        <v>6208.65</v>
      </c>
    </row>
    <row r="78" spans="1:18" x14ac:dyDescent="0.35">
      <c r="A78" s="148" t="s">
        <v>840</v>
      </c>
      <c r="L78" s="148">
        <v>266</v>
      </c>
      <c r="M78" s="148">
        <v>266</v>
      </c>
      <c r="N78" s="148">
        <v>334</v>
      </c>
      <c r="Q78" s="148">
        <v>8884.4</v>
      </c>
      <c r="R78" s="148">
        <v>8884.4</v>
      </c>
    </row>
    <row r="79" spans="1:18" x14ac:dyDescent="0.35">
      <c r="A79" s="148" t="s">
        <v>841</v>
      </c>
      <c r="L79" s="148">
        <v>5</v>
      </c>
      <c r="M79" s="148">
        <v>5</v>
      </c>
      <c r="N79" s="148">
        <v>419</v>
      </c>
      <c r="Q79" s="148">
        <v>209.5</v>
      </c>
      <c r="R79" s="148">
        <v>209.5</v>
      </c>
    </row>
    <row r="80" spans="1:18" x14ac:dyDescent="0.35">
      <c r="A80" s="148" t="s">
        <v>842</v>
      </c>
      <c r="L80" s="148">
        <v>129</v>
      </c>
      <c r="M80" s="148">
        <v>129</v>
      </c>
      <c r="N80" s="148">
        <v>186</v>
      </c>
      <c r="Q80" s="148">
        <v>2399.4</v>
      </c>
      <c r="R80" s="148">
        <v>2399.4</v>
      </c>
    </row>
    <row r="81" spans="1:18" ht="116" x14ac:dyDescent="0.35">
      <c r="A81" s="148" t="s">
        <v>843</v>
      </c>
      <c r="B81" s="172" t="s">
        <v>844</v>
      </c>
      <c r="L81" s="148">
        <v>227</v>
      </c>
      <c r="M81" s="148">
        <v>227</v>
      </c>
      <c r="N81" s="148">
        <v>276</v>
      </c>
      <c r="Q81" s="148">
        <v>6265.2</v>
      </c>
      <c r="R81" s="148">
        <v>6265.2</v>
      </c>
    </row>
    <row r="82" spans="1:18" x14ac:dyDescent="0.35">
      <c r="A82" s="148" t="s">
        <v>845</v>
      </c>
      <c r="L82" s="148">
        <v>70</v>
      </c>
      <c r="M82" s="148">
        <v>70</v>
      </c>
      <c r="N82" s="148">
        <v>253</v>
      </c>
      <c r="Q82" s="148">
        <v>1771</v>
      </c>
      <c r="R82" s="148">
        <v>1771</v>
      </c>
    </row>
    <row r="83" spans="1:18" x14ac:dyDescent="0.35">
      <c r="A83" s="148" t="s">
        <v>846</v>
      </c>
      <c r="C83" s="148" t="s">
        <v>364</v>
      </c>
      <c r="L83" s="148">
        <v>50</v>
      </c>
      <c r="M83" s="148">
        <v>50</v>
      </c>
      <c r="N83" s="148">
        <v>213.35</v>
      </c>
      <c r="Q83" s="148">
        <v>1066.75</v>
      </c>
      <c r="R83" s="148">
        <v>1066.75</v>
      </c>
    </row>
    <row r="84" spans="1:18" x14ac:dyDescent="0.35">
      <c r="A84" s="148" t="s">
        <v>847</v>
      </c>
      <c r="L84" s="148">
        <v>11</v>
      </c>
      <c r="M84" s="148">
        <v>11</v>
      </c>
      <c r="N84" s="148">
        <v>360</v>
      </c>
      <c r="Q84" s="148">
        <v>396</v>
      </c>
      <c r="R84" s="148">
        <v>396</v>
      </c>
    </row>
    <row r="85" spans="1:18" x14ac:dyDescent="0.35">
      <c r="A85" s="148" t="s">
        <v>848</v>
      </c>
      <c r="L85" s="148">
        <v>9</v>
      </c>
      <c r="M85" s="148">
        <v>9</v>
      </c>
      <c r="N85" s="148">
        <v>360</v>
      </c>
      <c r="Q85" s="148">
        <v>324</v>
      </c>
      <c r="R85" s="148">
        <v>324</v>
      </c>
    </row>
    <row r="86" spans="1:18" x14ac:dyDescent="0.35">
      <c r="A86" s="148" t="s">
        <v>849</v>
      </c>
      <c r="L86" s="148">
        <v>6</v>
      </c>
      <c r="M86" s="148">
        <v>6</v>
      </c>
      <c r="N86" s="148">
        <v>237</v>
      </c>
      <c r="Q86" s="148">
        <v>142.19999999999999</v>
      </c>
      <c r="R86" s="148">
        <v>142.19999999999999</v>
      </c>
    </row>
    <row r="87" spans="1:18" x14ac:dyDescent="0.35">
      <c r="A87" s="148" t="s">
        <v>850</v>
      </c>
      <c r="L87" s="148">
        <v>5</v>
      </c>
      <c r="M87" s="148">
        <v>5</v>
      </c>
      <c r="N87" s="148">
        <v>319</v>
      </c>
      <c r="Q87" s="148">
        <v>159.5</v>
      </c>
      <c r="R87" s="148">
        <v>159.5</v>
      </c>
    </row>
    <row r="88" spans="1:18" x14ac:dyDescent="0.35">
      <c r="A88" s="148" t="s">
        <v>851</v>
      </c>
      <c r="L88" s="148">
        <v>69</v>
      </c>
      <c r="M88" s="148">
        <v>69</v>
      </c>
      <c r="N88" s="148">
        <v>395</v>
      </c>
      <c r="Q88" s="148">
        <v>2725.5</v>
      </c>
      <c r="R88" s="148">
        <v>2725.5</v>
      </c>
    </row>
    <row r="89" spans="1:18" x14ac:dyDescent="0.35">
      <c r="A89" s="148" t="s">
        <v>852</v>
      </c>
      <c r="L89" s="148">
        <v>40</v>
      </c>
      <c r="M89" s="148">
        <v>40</v>
      </c>
      <c r="N89" s="148">
        <v>625</v>
      </c>
      <c r="Q89" s="148">
        <v>2500</v>
      </c>
      <c r="R89" s="148">
        <v>2500</v>
      </c>
    </row>
    <row r="90" spans="1:18" x14ac:dyDescent="0.35">
      <c r="A90" s="148" t="s">
        <v>853</v>
      </c>
      <c r="L90" s="148">
        <v>212</v>
      </c>
      <c r="M90" s="148">
        <v>212</v>
      </c>
      <c r="N90" s="148">
        <v>435.82</v>
      </c>
      <c r="O90" s="148">
        <v>8312.41</v>
      </c>
      <c r="Q90" s="148">
        <v>9239.3799999999992</v>
      </c>
      <c r="R90" s="148">
        <v>17551.79</v>
      </c>
    </row>
    <row r="91" spans="1:18" x14ac:dyDescent="0.35">
      <c r="A91" s="148" t="s">
        <v>854</v>
      </c>
      <c r="L91" s="148">
        <v>0.21</v>
      </c>
      <c r="M91" s="148">
        <v>0.21</v>
      </c>
      <c r="N91" s="148">
        <v>400</v>
      </c>
      <c r="Q91" s="148">
        <v>8.4</v>
      </c>
      <c r="R91" s="148">
        <v>8.4</v>
      </c>
    </row>
    <row r="92" spans="1:18" x14ac:dyDescent="0.35">
      <c r="A92" s="148" t="s">
        <v>855</v>
      </c>
      <c r="L92" s="148">
        <v>4</v>
      </c>
      <c r="M92" s="148">
        <v>3.5</v>
      </c>
      <c r="N92" s="148">
        <v>785</v>
      </c>
      <c r="O92" s="148">
        <v>2.06</v>
      </c>
      <c r="Q92" s="148">
        <v>274.75</v>
      </c>
      <c r="R92" s="148">
        <v>276.81</v>
      </c>
    </row>
    <row r="93" spans="1:18" x14ac:dyDescent="0.35">
      <c r="A93" s="148" t="s">
        <v>856</v>
      </c>
      <c r="L93" s="148">
        <v>0</v>
      </c>
      <c r="M93" s="148">
        <v>0.05</v>
      </c>
      <c r="N93" s="148">
        <v>655.09</v>
      </c>
      <c r="Q93" s="148">
        <v>3.28</v>
      </c>
      <c r="R93" s="148">
        <v>3.28</v>
      </c>
    </row>
  </sheetData>
  <mergeCells count="1">
    <mergeCell ref="L24:L25"/>
  </mergeCells>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01"/>
  <sheetViews>
    <sheetView workbookViewId="0">
      <selection activeCell="A103" sqref="A103"/>
    </sheetView>
  </sheetViews>
  <sheetFormatPr defaultColWidth="8.7265625" defaultRowHeight="14.5" x14ac:dyDescent="0.35"/>
  <cols>
    <col min="1" max="1" width="29.26953125" style="173" customWidth="1"/>
    <col min="2" max="2" width="24" style="173" customWidth="1"/>
    <col min="3" max="6" width="11.7265625" style="173" customWidth="1"/>
    <col min="7" max="7" width="11.7265625" style="174" customWidth="1"/>
    <col min="8" max="8" width="12.453125" style="173" customWidth="1"/>
    <col min="9" max="16384" width="8.7265625" style="173"/>
  </cols>
  <sheetData>
    <row r="1" spans="1:7" s="51" customFormat="1" ht="29" x14ac:dyDescent="0.35">
      <c r="A1" s="50" t="s">
        <v>157</v>
      </c>
      <c r="B1" s="50" t="s">
        <v>180</v>
      </c>
      <c r="C1" s="50" t="s">
        <v>146</v>
      </c>
      <c r="D1" s="50" t="s">
        <v>703</v>
      </c>
      <c r="E1" s="50" t="s">
        <v>182</v>
      </c>
      <c r="F1" s="50" t="s">
        <v>142</v>
      </c>
    </row>
    <row r="2" spans="1:7" s="51" customFormat="1" ht="15" customHeight="1" x14ac:dyDescent="0.35">
      <c r="A2" s="63" t="s">
        <v>143</v>
      </c>
      <c r="B2" s="63" t="s">
        <v>750</v>
      </c>
      <c r="C2" s="108">
        <f>F38</f>
        <v>2048.1279999999997</v>
      </c>
      <c r="D2" s="108">
        <f>G38</f>
        <v>8425.9500000000007</v>
      </c>
      <c r="E2" s="108">
        <f>H38</f>
        <v>9150.7464377226443</v>
      </c>
      <c r="F2" s="73">
        <f>I38</f>
        <v>2.1358185130460066</v>
      </c>
    </row>
    <row r="3" spans="1:7" s="51" customFormat="1" x14ac:dyDescent="0.35">
      <c r="A3" s="63" t="s">
        <v>144</v>
      </c>
      <c r="B3" s="63" t="s">
        <v>750</v>
      </c>
      <c r="C3" s="108">
        <f>F47</f>
        <v>3108.9401245181211</v>
      </c>
      <c r="D3" s="108">
        <f>G47</f>
        <v>22718.079999999998</v>
      </c>
      <c r="E3" s="108">
        <f>H47</f>
        <v>10903.169132359539</v>
      </c>
      <c r="F3" s="73">
        <f>I47</f>
        <v>2.0071634574752792</v>
      </c>
    </row>
    <row r="4" spans="1:7" s="51" customFormat="1" x14ac:dyDescent="0.35">
      <c r="A4" s="63" t="s">
        <v>1612</v>
      </c>
      <c r="B4" s="63" t="s">
        <v>750</v>
      </c>
      <c r="C4" s="108">
        <f>F49</f>
        <v>5157.0681245181204</v>
      </c>
      <c r="D4" s="108">
        <f>G49</f>
        <v>31144.03</v>
      </c>
      <c r="E4" s="108">
        <f>H49</f>
        <v>10207.195004801035</v>
      </c>
      <c r="F4" s="73">
        <f>I49</f>
        <v>2.0419708046774936</v>
      </c>
    </row>
    <row r="5" spans="1:7" s="51" customFormat="1" x14ac:dyDescent="0.35">
      <c r="A5" s="45" t="s">
        <v>1613</v>
      </c>
      <c r="B5" s="63" t="s">
        <v>750</v>
      </c>
      <c r="C5" s="106">
        <f>F57</f>
        <v>401.09039000000001</v>
      </c>
      <c r="D5" s="106">
        <f>G57</f>
        <v>605.67000000000007</v>
      </c>
      <c r="E5" s="106">
        <f>H57</f>
        <v>5589.0144862358839</v>
      </c>
      <c r="F5" s="44">
        <f>I57</f>
        <v>2.7257417405517854</v>
      </c>
    </row>
    <row r="6" spans="1:7" s="51" customFormat="1" x14ac:dyDescent="0.35">
      <c r="A6" s="45" t="s">
        <v>1614</v>
      </c>
      <c r="B6" s="63" t="s">
        <v>750</v>
      </c>
      <c r="C6" s="106">
        <v>0</v>
      </c>
      <c r="D6" s="106">
        <v>0</v>
      </c>
      <c r="E6" s="106">
        <v>0</v>
      </c>
      <c r="F6" s="44">
        <v>0</v>
      </c>
    </row>
    <row r="7" spans="1:7" s="51" customFormat="1" x14ac:dyDescent="0.35">
      <c r="A7" s="45" t="s">
        <v>1615</v>
      </c>
      <c r="B7" s="63" t="s">
        <v>750</v>
      </c>
      <c r="C7" s="106">
        <f>F88</f>
        <v>196.81200000000001</v>
      </c>
      <c r="D7" s="106">
        <f>G88</f>
        <v>1350.29</v>
      </c>
      <c r="E7" s="106">
        <f>H88</f>
        <v>0</v>
      </c>
      <c r="F7" s="44">
        <f>I88</f>
        <v>2.915447792696384</v>
      </c>
    </row>
    <row r="8" spans="1:7" s="51" customFormat="1" x14ac:dyDescent="0.35">
      <c r="A8" s="45" t="s">
        <v>1604</v>
      </c>
      <c r="B8" s="63" t="s">
        <v>750</v>
      </c>
      <c r="C8" s="106">
        <f>F82</f>
        <v>1041.4077440000001</v>
      </c>
      <c r="D8" s="106">
        <f>G82</f>
        <v>5983.3099999999995</v>
      </c>
      <c r="E8" s="106">
        <f>H82</f>
        <v>8148.7775070741172</v>
      </c>
      <c r="F8" s="44">
        <f>I82</f>
        <v>1.8562635063200805</v>
      </c>
    </row>
    <row r="9" spans="1:7" s="51" customFormat="1" x14ac:dyDescent="0.35">
      <c r="A9" s="45" t="s">
        <v>1603</v>
      </c>
      <c r="B9" s="63" t="s">
        <v>750</v>
      </c>
      <c r="C9" s="106">
        <f>F100</f>
        <v>172.66666666666666</v>
      </c>
      <c r="D9" s="106">
        <f>G100</f>
        <v>556.08335847529327</v>
      </c>
      <c r="E9" s="106">
        <f>H100</f>
        <v>0</v>
      </c>
      <c r="F9" s="44">
        <f>I100</f>
        <v>2.42</v>
      </c>
    </row>
    <row r="10" spans="1:7" s="51" customFormat="1" x14ac:dyDescent="0.35">
      <c r="A10" s="45" t="s">
        <v>1605</v>
      </c>
      <c r="B10" s="63" t="s">
        <v>750</v>
      </c>
      <c r="C10" s="106">
        <f>F99</f>
        <v>280.31666666666666</v>
      </c>
      <c r="D10" s="106">
        <f>G99</f>
        <v>902.77664152470652</v>
      </c>
      <c r="E10" s="106">
        <f>H99</f>
        <v>0</v>
      </c>
      <c r="F10" s="44">
        <f>I99</f>
        <v>7.1047233362808022</v>
      </c>
    </row>
    <row r="11" spans="1:7" s="51" customFormat="1" x14ac:dyDescent="0.35">
      <c r="A11" s="45" t="s">
        <v>1636</v>
      </c>
      <c r="B11" s="63" t="s">
        <v>750</v>
      </c>
      <c r="C11" s="156">
        <f>F94</f>
        <v>868.39666666666665</v>
      </c>
      <c r="D11" s="156">
        <f>G94</f>
        <v>2007.1599999999999</v>
      </c>
      <c r="E11" s="156">
        <f>H94</f>
        <v>0</v>
      </c>
      <c r="F11" s="247">
        <f>I94</f>
        <v>5.7130472906992971</v>
      </c>
    </row>
    <row r="12" spans="1:7" s="51" customFormat="1" x14ac:dyDescent="0.35">
      <c r="A12" s="45" t="s">
        <v>145</v>
      </c>
      <c r="B12" s="63" t="s">
        <v>750</v>
      </c>
      <c r="C12" s="106">
        <v>0</v>
      </c>
      <c r="D12" s="106">
        <v>0</v>
      </c>
      <c r="E12" s="106">
        <v>0</v>
      </c>
      <c r="F12" s="44">
        <v>0</v>
      </c>
    </row>
    <row r="13" spans="1:7" s="51" customFormat="1" x14ac:dyDescent="0.35">
      <c r="A13" s="63" t="s">
        <v>1606</v>
      </c>
      <c r="B13" s="63" t="s">
        <v>750</v>
      </c>
      <c r="C13" s="108">
        <v>0</v>
      </c>
      <c r="D13" s="108">
        <v>0</v>
      </c>
      <c r="E13" s="108">
        <v>0</v>
      </c>
      <c r="F13" s="73">
        <v>0</v>
      </c>
    </row>
    <row r="14" spans="1:7" s="51" customFormat="1" x14ac:dyDescent="0.35">
      <c r="A14" s="221"/>
      <c r="B14" s="221"/>
      <c r="C14" s="222"/>
      <c r="D14" s="222"/>
      <c r="E14" s="201"/>
    </row>
    <row r="15" spans="1:7" s="51" customFormat="1" x14ac:dyDescent="0.35">
      <c r="A15" s="221"/>
      <c r="B15" s="221"/>
      <c r="C15" s="222"/>
      <c r="D15" s="222"/>
      <c r="E15" s="201"/>
    </row>
    <row r="16" spans="1:7" x14ac:dyDescent="0.35">
      <c r="A16" s="2" t="s">
        <v>49</v>
      </c>
      <c r="B16" s="2"/>
      <c r="G16" s="173"/>
    </row>
    <row r="17" spans="1:15" x14ac:dyDescent="0.35">
      <c r="A17" s="226" t="s">
        <v>1001</v>
      </c>
      <c r="B17" s="227" t="s">
        <v>870</v>
      </c>
      <c r="G17" s="173"/>
    </row>
    <row r="18" spans="1:15" x14ac:dyDescent="0.35">
      <c r="A18" s="226" t="s">
        <v>1002</v>
      </c>
      <c r="B18" s="148" t="s">
        <v>1007</v>
      </c>
      <c r="G18" s="173"/>
    </row>
    <row r="19" spans="1:15" x14ac:dyDescent="0.35">
      <c r="A19" s="224"/>
      <c r="B19" s="223"/>
      <c r="G19" s="173"/>
    </row>
    <row r="20" spans="1:15" x14ac:dyDescent="0.35">
      <c r="A20" s="240"/>
      <c r="B20" s="241"/>
      <c r="G20" s="173"/>
    </row>
    <row r="21" spans="1:15" x14ac:dyDescent="0.35">
      <c r="A21" s="224"/>
      <c r="B21" s="225"/>
      <c r="G21" s="173"/>
    </row>
    <row r="22" spans="1:15" x14ac:dyDescent="0.35">
      <c r="A22" s="10" t="s">
        <v>158</v>
      </c>
      <c r="B22" s="10" t="s">
        <v>157</v>
      </c>
      <c r="C22" s="10" t="s">
        <v>1008</v>
      </c>
      <c r="D22" s="10" t="s">
        <v>871</v>
      </c>
      <c r="E22" s="10" t="s">
        <v>872</v>
      </c>
      <c r="F22" s="10" t="s">
        <v>873</v>
      </c>
      <c r="G22" s="10" t="s">
        <v>874</v>
      </c>
      <c r="H22" s="10" t="s">
        <v>182</v>
      </c>
      <c r="I22" s="10" t="s">
        <v>877</v>
      </c>
      <c r="J22" s="10" t="s">
        <v>875</v>
      </c>
      <c r="K22" s="10" t="s">
        <v>876</v>
      </c>
      <c r="L22" s="10" t="s">
        <v>878</v>
      </c>
      <c r="M22" s="10" t="s">
        <v>879</v>
      </c>
      <c r="N22" s="10" t="s">
        <v>880</v>
      </c>
      <c r="O22" s="10" t="s">
        <v>1006</v>
      </c>
    </row>
    <row r="23" spans="1:15" x14ac:dyDescent="0.35">
      <c r="A23" s="219" t="s">
        <v>885</v>
      </c>
      <c r="B23" s="219" t="s">
        <v>274</v>
      </c>
      <c r="C23" s="219" t="s">
        <v>690</v>
      </c>
      <c r="D23" s="219">
        <v>1000</v>
      </c>
      <c r="E23" s="231">
        <v>0.11</v>
      </c>
      <c r="F23" s="234">
        <f t="shared" ref="F23:F33" si="0">D23*E23</f>
        <v>110</v>
      </c>
      <c r="G23" s="234">
        <v>810.71</v>
      </c>
      <c r="H23" s="219">
        <f t="shared" ref="H23:H38" si="1">L23/F23*10^7/10^3</f>
        <v>6281.818181818182</v>
      </c>
      <c r="I23" s="219">
        <v>170.7</v>
      </c>
      <c r="J23" s="234">
        <v>567.80999999999995</v>
      </c>
      <c r="K23" s="219">
        <v>12.17</v>
      </c>
      <c r="L23" s="234">
        <v>69.099999999999994</v>
      </c>
      <c r="M23" s="234">
        <v>138.38999999999999</v>
      </c>
      <c r="N23" s="219"/>
      <c r="O23" s="219">
        <v>207.49</v>
      </c>
    </row>
    <row r="24" spans="1:15" x14ac:dyDescent="0.35">
      <c r="A24" s="219" t="s">
        <v>886</v>
      </c>
      <c r="B24" s="219" t="s">
        <v>274</v>
      </c>
      <c r="C24" s="219" t="s">
        <v>690</v>
      </c>
      <c r="D24" s="219">
        <v>1000</v>
      </c>
      <c r="E24" s="220">
        <v>0.10199999999999999</v>
      </c>
      <c r="F24" s="234">
        <f t="shared" si="0"/>
        <v>102</v>
      </c>
      <c r="G24" s="234">
        <v>773.82</v>
      </c>
      <c r="H24" s="219">
        <f t="shared" si="1"/>
        <v>7043.1372549019616</v>
      </c>
      <c r="I24" s="219">
        <v>170.3</v>
      </c>
      <c r="J24" s="234">
        <v>626.89</v>
      </c>
      <c r="K24" s="219">
        <v>11.46</v>
      </c>
      <c r="L24" s="234">
        <v>71.84</v>
      </c>
      <c r="M24" s="234">
        <v>131.78</v>
      </c>
      <c r="N24" s="219"/>
      <c r="O24" s="219">
        <v>203.62</v>
      </c>
    </row>
    <row r="25" spans="1:15" x14ac:dyDescent="0.35">
      <c r="A25" s="219" t="s">
        <v>887</v>
      </c>
      <c r="B25" s="219" t="s">
        <v>489</v>
      </c>
      <c r="C25" s="219" t="s">
        <v>690</v>
      </c>
      <c r="D25" s="219">
        <f>210*2</f>
        <v>420</v>
      </c>
      <c r="E25" s="220">
        <v>8.5699999999999998E-2</v>
      </c>
      <c r="F25" s="234">
        <f t="shared" si="0"/>
        <v>35.994</v>
      </c>
      <c r="G25" s="234">
        <v>87.75</v>
      </c>
      <c r="H25" s="219">
        <f t="shared" si="1"/>
        <v>5848.1969217091746</v>
      </c>
      <c r="I25" s="219">
        <v>274.89999999999998</v>
      </c>
      <c r="J25" s="234">
        <v>233.86</v>
      </c>
      <c r="K25" s="219">
        <v>9</v>
      </c>
      <c r="L25" s="234">
        <v>21.05</v>
      </c>
      <c r="M25" s="234">
        <v>24.12</v>
      </c>
      <c r="N25" s="219"/>
      <c r="O25" s="219">
        <v>45.17</v>
      </c>
    </row>
    <row r="26" spans="1:15" x14ac:dyDescent="0.35">
      <c r="A26" s="219" t="s">
        <v>888</v>
      </c>
      <c r="B26" s="219" t="s">
        <v>489</v>
      </c>
      <c r="C26" s="219" t="s">
        <v>690</v>
      </c>
      <c r="D26" s="219">
        <f>210*2</f>
        <v>420</v>
      </c>
      <c r="E26" s="220">
        <v>0.14280000000000001</v>
      </c>
      <c r="F26" s="234">
        <f t="shared" si="0"/>
        <v>59.976000000000006</v>
      </c>
      <c r="G26" s="234">
        <v>137.05000000000001</v>
      </c>
      <c r="H26" s="219">
        <f t="shared" si="1"/>
        <v>6345.8716820061354</v>
      </c>
      <c r="I26" s="219">
        <v>274.3</v>
      </c>
      <c r="J26" s="234">
        <v>243.32</v>
      </c>
      <c r="K26" s="219">
        <v>15.64</v>
      </c>
      <c r="L26" s="234">
        <v>38.06</v>
      </c>
      <c r="M26" s="234">
        <v>37.590000000000003</v>
      </c>
      <c r="N26" s="219"/>
      <c r="O26" s="219">
        <v>75.650000000000006</v>
      </c>
    </row>
    <row r="27" spans="1:15" x14ac:dyDescent="0.35">
      <c r="A27" s="219" t="s">
        <v>889</v>
      </c>
      <c r="B27" s="219" t="s">
        <v>489</v>
      </c>
      <c r="C27" s="219" t="s">
        <v>690</v>
      </c>
      <c r="D27" s="219">
        <v>210</v>
      </c>
      <c r="E27" s="220">
        <v>8.1000000000000003E-2</v>
      </c>
      <c r="F27" s="234">
        <f t="shared" si="0"/>
        <v>17.010000000000002</v>
      </c>
      <c r="G27" s="234">
        <v>36.46</v>
      </c>
      <c r="H27" s="219">
        <f t="shared" si="1"/>
        <v>10540.858318636096</v>
      </c>
      <c r="I27" s="219">
        <v>274.3</v>
      </c>
      <c r="J27" s="234">
        <v>189.9</v>
      </c>
      <c r="K27" s="219">
        <v>9.44</v>
      </c>
      <c r="L27" s="234">
        <v>17.93</v>
      </c>
      <c r="M27" s="234">
        <v>10</v>
      </c>
      <c r="N27" s="219"/>
      <c r="O27" s="219">
        <v>27.93</v>
      </c>
    </row>
    <row r="28" spans="1:15" x14ac:dyDescent="0.35">
      <c r="A28" s="14" t="s">
        <v>890</v>
      </c>
      <c r="B28" s="219" t="s">
        <v>489</v>
      </c>
      <c r="C28" s="219" t="s">
        <v>690</v>
      </c>
      <c r="D28" s="14">
        <v>2100</v>
      </c>
      <c r="E28" s="235">
        <v>1.3899999999999999E-2</v>
      </c>
      <c r="F28" s="154">
        <f t="shared" si="0"/>
        <v>29.189999999999998</v>
      </c>
      <c r="G28" s="234">
        <v>50.55</v>
      </c>
      <c r="H28" s="219">
        <f t="shared" si="1"/>
        <v>4114.4227475162734</v>
      </c>
      <c r="I28" s="219">
        <v>265.39999999999998</v>
      </c>
      <c r="J28" s="234">
        <v>857.91</v>
      </c>
      <c r="K28" s="219">
        <v>1.4</v>
      </c>
      <c r="L28" s="234">
        <v>12.01</v>
      </c>
      <c r="M28" s="234">
        <v>13.42</v>
      </c>
      <c r="N28" s="219"/>
      <c r="O28" s="219">
        <v>25.43</v>
      </c>
    </row>
    <row r="29" spans="1:15" x14ac:dyDescent="0.35">
      <c r="A29" s="14" t="s">
        <v>891</v>
      </c>
      <c r="B29" s="219" t="s">
        <v>489</v>
      </c>
      <c r="C29" s="219" t="s">
        <v>690</v>
      </c>
      <c r="D29" s="14">
        <f>210*4</f>
        <v>840</v>
      </c>
      <c r="E29" s="235">
        <v>6.0699999999999997E-2</v>
      </c>
      <c r="F29" s="154">
        <f t="shared" si="0"/>
        <v>50.988</v>
      </c>
      <c r="G29" s="234">
        <v>253.25</v>
      </c>
      <c r="H29" s="219">
        <f t="shared" si="1"/>
        <v>6952.6163018749521</v>
      </c>
      <c r="I29" s="219">
        <v>258</v>
      </c>
      <c r="J29" s="234">
        <v>583.08000000000004</v>
      </c>
      <c r="K29" s="219">
        <v>6.08</v>
      </c>
      <c r="L29" s="234">
        <v>35.450000000000003</v>
      </c>
      <c r="M29" s="234">
        <v>65.34</v>
      </c>
      <c r="N29" s="219"/>
      <c r="O29" s="219">
        <v>100.79</v>
      </c>
    </row>
    <row r="30" spans="1:15" x14ac:dyDescent="0.35">
      <c r="A30" s="219" t="s">
        <v>892</v>
      </c>
      <c r="B30" s="219" t="s">
        <v>489</v>
      </c>
      <c r="C30" s="219" t="s">
        <v>690</v>
      </c>
      <c r="D30" s="219">
        <v>1500</v>
      </c>
      <c r="E30" s="220">
        <v>8.0199999999999994E-2</v>
      </c>
      <c r="F30" s="234">
        <f t="shared" si="0"/>
        <v>120.3</v>
      </c>
      <c r="G30" s="234">
        <v>709.88</v>
      </c>
      <c r="H30" s="219">
        <f t="shared" si="1"/>
        <v>5290.1080631753948</v>
      </c>
      <c r="I30" s="219">
        <v>244.6</v>
      </c>
      <c r="J30" s="234">
        <v>1189.58</v>
      </c>
      <c r="K30" s="219">
        <v>5.35</v>
      </c>
      <c r="L30" s="234">
        <v>63.64</v>
      </c>
      <c r="M30" s="234">
        <v>173.64</v>
      </c>
      <c r="N30" s="219"/>
      <c r="O30" s="219">
        <v>237.28</v>
      </c>
    </row>
    <row r="31" spans="1:15" x14ac:dyDescent="0.35">
      <c r="A31" s="14" t="s">
        <v>897</v>
      </c>
      <c r="B31" s="219" t="s">
        <v>489</v>
      </c>
      <c r="C31" s="219" t="s">
        <v>690</v>
      </c>
      <c r="D31" s="14">
        <f>490*2</f>
        <v>980</v>
      </c>
      <c r="E31" s="235">
        <v>0</v>
      </c>
      <c r="F31" s="236">
        <f t="shared" si="0"/>
        <v>0</v>
      </c>
      <c r="G31" s="219">
        <v>2.0099999999999998</v>
      </c>
      <c r="H31" s="219" t="e">
        <f t="shared" si="1"/>
        <v>#DIV/0!</v>
      </c>
      <c r="I31" s="219">
        <v>303.7</v>
      </c>
      <c r="J31" s="232">
        <v>1060.31</v>
      </c>
      <c r="K31" s="219">
        <v>0.82</v>
      </c>
      <c r="L31" s="219">
        <v>0.7</v>
      </c>
      <c r="M31" s="219">
        <v>0.61</v>
      </c>
      <c r="N31" s="219"/>
      <c r="O31" s="219">
        <v>1.31</v>
      </c>
    </row>
    <row r="32" spans="1:15" x14ac:dyDescent="0.35">
      <c r="A32" s="219" t="s">
        <v>898</v>
      </c>
      <c r="B32" s="219" t="s">
        <v>489</v>
      </c>
      <c r="C32" s="219" t="s">
        <v>690</v>
      </c>
      <c r="D32" s="219">
        <v>1000</v>
      </c>
      <c r="E32" s="220">
        <v>8.2669999999999993E-2</v>
      </c>
      <c r="F32" s="230">
        <f t="shared" si="0"/>
        <v>82.669999999999987</v>
      </c>
      <c r="G32" s="219">
        <v>627.19000000000005</v>
      </c>
      <c r="H32" s="219">
        <f t="shared" si="1"/>
        <v>11830.168138381518</v>
      </c>
      <c r="I32" s="219">
        <v>169.4</v>
      </c>
      <c r="J32" s="232">
        <v>1015.58</v>
      </c>
      <c r="K32" s="219">
        <v>9.6300000000000008</v>
      </c>
      <c r="L32" s="219">
        <v>97.8</v>
      </c>
      <c r="M32" s="219">
        <v>106.25</v>
      </c>
      <c r="N32" s="219"/>
      <c r="O32" s="219">
        <v>204.05</v>
      </c>
    </row>
    <row r="33" spans="1:15" x14ac:dyDescent="0.35">
      <c r="A33" s="219" t="s">
        <v>907</v>
      </c>
      <c r="B33" s="219" t="s">
        <v>489</v>
      </c>
      <c r="C33" s="219" t="s">
        <v>690</v>
      </c>
      <c r="D33" s="219">
        <v>2000</v>
      </c>
      <c r="E33" s="231">
        <v>0.1</v>
      </c>
      <c r="F33" s="230">
        <f t="shared" si="0"/>
        <v>200</v>
      </c>
      <c r="G33" s="232">
        <v>1486.37</v>
      </c>
      <c r="H33" s="219">
        <f t="shared" si="1"/>
        <v>4858.5</v>
      </c>
      <c r="I33" s="219">
        <v>152.5</v>
      </c>
      <c r="J33" s="219">
        <v>869.17</v>
      </c>
      <c r="K33" s="219">
        <v>11.18</v>
      </c>
      <c r="L33" s="219">
        <v>97.17</v>
      </c>
      <c r="M33" s="219">
        <v>226.67</v>
      </c>
      <c r="N33" s="219"/>
      <c r="O33" s="219">
        <v>323.83999999999997</v>
      </c>
    </row>
    <row r="34" spans="1:15" x14ac:dyDescent="0.35">
      <c r="A34" s="16" t="s">
        <v>899</v>
      </c>
      <c r="B34" s="219" t="s">
        <v>489</v>
      </c>
      <c r="C34" s="219" t="s">
        <v>690</v>
      </c>
      <c r="D34" s="219">
        <v>1200</v>
      </c>
      <c r="E34" s="23">
        <f>F34/D34</f>
        <v>0.25</v>
      </c>
      <c r="F34" s="237">
        <v>300</v>
      </c>
      <c r="G34" s="219">
        <v>870.28</v>
      </c>
      <c r="H34" s="219">
        <f t="shared" si="1"/>
        <v>9461</v>
      </c>
      <c r="I34" s="219">
        <v>221.7</v>
      </c>
      <c r="J34" s="232">
        <v>1135.3</v>
      </c>
      <c r="K34" s="219">
        <v>25</v>
      </c>
      <c r="L34" s="219">
        <v>283.83</v>
      </c>
      <c r="M34" s="219">
        <v>192.94</v>
      </c>
      <c r="N34" s="219"/>
      <c r="O34" s="219">
        <v>476.77</v>
      </c>
    </row>
    <row r="35" spans="1:15" x14ac:dyDescent="0.35">
      <c r="A35" s="14" t="s">
        <v>893</v>
      </c>
      <c r="B35" s="219" t="s">
        <v>489</v>
      </c>
      <c r="C35" s="219" t="s">
        <v>690</v>
      </c>
      <c r="D35" s="219">
        <v>540</v>
      </c>
      <c r="E35" s="238">
        <v>1</v>
      </c>
      <c r="F35" s="234">
        <f>D35*E35</f>
        <v>540</v>
      </c>
      <c r="G35" s="234">
        <v>1223</v>
      </c>
      <c r="H35" s="219">
        <f t="shared" si="1"/>
        <v>13050.370370370369</v>
      </c>
      <c r="I35" s="219">
        <v>294</v>
      </c>
      <c r="J35" s="234"/>
      <c r="K35" s="219">
        <v>100</v>
      </c>
      <c r="L35" s="234">
        <v>704.72</v>
      </c>
      <c r="M35" s="234">
        <v>359.56</v>
      </c>
      <c r="N35" s="219"/>
      <c r="O35" s="232">
        <v>1064.28</v>
      </c>
    </row>
    <row r="36" spans="1:15" x14ac:dyDescent="0.35">
      <c r="A36" s="16" t="s">
        <v>894</v>
      </c>
      <c r="B36" s="219" t="s">
        <v>274</v>
      </c>
      <c r="C36" s="219" t="s">
        <v>690</v>
      </c>
      <c r="D36" s="219">
        <v>1000</v>
      </c>
      <c r="E36" s="23">
        <f>F36/D36</f>
        <v>0.2</v>
      </c>
      <c r="F36" s="237">
        <v>200</v>
      </c>
      <c r="G36" s="234">
        <v>979.86</v>
      </c>
      <c r="H36" s="219">
        <f t="shared" si="1"/>
        <v>12600</v>
      </c>
      <c r="I36" s="219">
        <v>246.7</v>
      </c>
      <c r="J36" s="234">
        <v>1259.98</v>
      </c>
      <c r="K36" s="219">
        <v>20</v>
      </c>
      <c r="L36" s="234">
        <v>252</v>
      </c>
      <c r="M36" s="234">
        <v>241.73</v>
      </c>
      <c r="N36" s="219"/>
      <c r="O36" s="219">
        <v>493.73</v>
      </c>
    </row>
    <row r="37" spans="1:15" x14ac:dyDescent="0.35">
      <c r="A37" s="16" t="s">
        <v>895</v>
      </c>
      <c r="B37" s="219" t="s">
        <v>489</v>
      </c>
      <c r="C37" s="219" t="s">
        <v>690</v>
      </c>
      <c r="D37" s="219">
        <v>500</v>
      </c>
      <c r="E37" s="23">
        <f>F37/D37</f>
        <v>0.4</v>
      </c>
      <c r="F37" s="237">
        <v>200</v>
      </c>
      <c r="G37" s="234">
        <v>377.77</v>
      </c>
      <c r="H37" s="219">
        <f t="shared" si="1"/>
        <v>5444.5</v>
      </c>
      <c r="I37" s="219">
        <v>205.4</v>
      </c>
      <c r="J37" s="234"/>
      <c r="K37" s="219"/>
      <c r="L37" s="234">
        <v>108.89</v>
      </c>
      <c r="M37" s="234">
        <v>77.59</v>
      </c>
      <c r="N37" s="219"/>
      <c r="O37" s="219">
        <v>186.48</v>
      </c>
    </row>
    <row r="38" spans="1:15" x14ac:dyDescent="0.35">
      <c r="A38" s="10" t="s">
        <v>991</v>
      </c>
      <c r="B38" s="10" t="s">
        <v>489</v>
      </c>
      <c r="C38" s="10" t="s">
        <v>690</v>
      </c>
      <c r="D38" s="10">
        <f>SUM(D23:D37)</f>
        <v>14710</v>
      </c>
      <c r="E38" s="10"/>
      <c r="F38" s="211">
        <f>SUM(F23:F37)</f>
        <v>2048.1279999999997</v>
      </c>
      <c r="G38" s="211">
        <f>SUM(G23:G37)</f>
        <v>8425.9500000000007</v>
      </c>
      <c r="H38" s="10">
        <f t="shared" si="1"/>
        <v>9150.7464377226443</v>
      </c>
      <c r="I38" s="12">
        <f>M38/G38*10</f>
        <v>2.1358185130460066</v>
      </c>
      <c r="J38" s="211">
        <f>SUM(J23:J37)</f>
        <v>9832.6899999999987</v>
      </c>
      <c r="K38" s="25">
        <f>L38/J38</f>
        <v>0.19060806351059581</v>
      </c>
      <c r="L38" s="211">
        <f>SUM(L23:L37)</f>
        <v>1874.19</v>
      </c>
      <c r="M38" s="211">
        <f>SUM(M23:M37)</f>
        <v>1799.6299999999999</v>
      </c>
      <c r="N38" s="10"/>
      <c r="O38" s="211">
        <f>SUM(O23:O37)</f>
        <v>3673.8199999999997</v>
      </c>
    </row>
    <row r="39" spans="1:15" x14ac:dyDescent="0.35">
      <c r="F39" s="174"/>
      <c r="G39" s="173"/>
    </row>
    <row r="40" spans="1:15" x14ac:dyDescent="0.35">
      <c r="A40" s="10" t="s">
        <v>158</v>
      </c>
      <c r="B40" s="10" t="s">
        <v>157</v>
      </c>
      <c r="C40" s="10" t="s">
        <v>1008</v>
      </c>
      <c r="D40" s="10" t="s">
        <v>871</v>
      </c>
      <c r="E40" s="10" t="s">
        <v>872</v>
      </c>
      <c r="F40" s="10" t="s">
        <v>873</v>
      </c>
      <c r="G40" s="10" t="s">
        <v>874</v>
      </c>
      <c r="H40" s="10" t="s">
        <v>182</v>
      </c>
      <c r="I40" s="10" t="s">
        <v>877</v>
      </c>
      <c r="J40" s="10" t="s">
        <v>875</v>
      </c>
      <c r="K40" s="10" t="s">
        <v>876</v>
      </c>
      <c r="L40" s="10" t="s">
        <v>878</v>
      </c>
      <c r="M40" s="10" t="s">
        <v>879</v>
      </c>
      <c r="N40" s="10" t="s">
        <v>880</v>
      </c>
      <c r="O40" s="10" t="s">
        <v>1006</v>
      </c>
    </row>
    <row r="41" spans="1:15" x14ac:dyDescent="0.35">
      <c r="A41" s="16" t="s">
        <v>896</v>
      </c>
      <c r="B41" s="219" t="s">
        <v>284</v>
      </c>
      <c r="C41" s="219" t="s">
        <v>690</v>
      </c>
      <c r="D41" s="219">
        <v>660</v>
      </c>
      <c r="E41" s="23">
        <v>3.6400000000000002E-2</v>
      </c>
      <c r="F41" s="234">
        <f>D41*E41</f>
        <v>24.024000000000001</v>
      </c>
      <c r="G41" s="219">
        <v>35.75</v>
      </c>
      <c r="H41" s="219">
        <f t="shared" ref="H41:H47" si="2">L41/F41*10^7/10^3</f>
        <v>9478.0219780219777</v>
      </c>
      <c r="I41" s="219">
        <v>277</v>
      </c>
      <c r="J41" s="219"/>
      <c r="K41" s="219"/>
      <c r="L41" s="219">
        <v>22.77</v>
      </c>
      <c r="M41" s="219">
        <v>9.9</v>
      </c>
      <c r="N41" s="219"/>
      <c r="O41" s="219">
        <v>32.67</v>
      </c>
    </row>
    <row r="42" spans="1:15" x14ac:dyDescent="0.35">
      <c r="A42" s="16" t="s">
        <v>900</v>
      </c>
      <c r="B42" s="219" t="s">
        <v>284</v>
      </c>
      <c r="C42" s="219" t="s">
        <v>690</v>
      </c>
      <c r="D42" s="219">
        <v>4000</v>
      </c>
      <c r="E42" s="23">
        <v>0.125</v>
      </c>
      <c r="F42" s="234">
        <f>D42*E42</f>
        <v>500</v>
      </c>
      <c r="G42" s="232">
        <v>3162.36</v>
      </c>
      <c r="H42" s="219">
        <f t="shared" si="2"/>
        <v>5723.8</v>
      </c>
      <c r="I42" s="219">
        <v>129.24</v>
      </c>
      <c r="J42" s="219" t="s">
        <v>901</v>
      </c>
      <c r="K42" s="219"/>
      <c r="L42" s="219">
        <v>286.19</v>
      </c>
      <c r="M42" s="219">
        <v>408.7</v>
      </c>
      <c r="N42" s="219"/>
      <c r="O42" s="219">
        <v>694.89</v>
      </c>
    </row>
    <row r="43" spans="1:15" x14ac:dyDescent="0.35">
      <c r="A43" s="16" t="s">
        <v>902</v>
      </c>
      <c r="B43" s="219" t="s">
        <v>284</v>
      </c>
      <c r="C43" s="219" t="s">
        <v>690</v>
      </c>
      <c r="D43" s="219">
        <v>3960</v>
      </c>
      <c r="E43" s="23">
        <v>0.15</v>
      </c>
      <c r="F43" s="234">
        <f>D43*E43</f>
        <v>594</v>
      </c>
      <c r="G43" s="232">
        <v>4723.78</v>
      </c>
      <c r="H43" s="219">
        <f t="shared" si="2"/>
        <v>1353.5353535353536</v>
      </c>
      <c r="I43" s="219">
        <v>114.96</v>
      </c>
      <c r="J43" s="219" t="s">
        <v>903</v>
      </c>
      <c r="K43" s="219"/>
      <c r="L43" s="219">
        <v>80.400000000000006</v>
      </c>
      <c r="M43" s="219">
        <v>543.04999999999995</v>
      </c>
      <c r="N43" s="219"/>
      <c r="O43" s="219">
        <v>623.45000000000005</v>
      </c>
    </row>
    <row r="44" spans="1:15" x14ac:dyDescent="0.35">
      <c r="A44" s="14" t="s">
        <v>904</v>
      </c>
      <c r="B44" s="219" t="s">
        <v>284</v>
      </c>
      <c r="C44" s="219" t="s">
        <v>690</v>
      </c>
      <c r="D44" s="219">
        <v>1980</v>
      </c>
      <c r="E44" s="23">
        <f>F44/D44</f>
        <v>0.41418511086225046</v>
      </c>
      <c r="F44" s="234">
        <f>$F$33*G44/$G$33</f>
        <v>820.08651950725596</v>
      </c>
      <c r="G44" s="232">
        <v>6094.76</v>
      </c>
      <c r="H44" s="219">
        <f t="shared" si="2"/>
        <v>20456.256261936483</v>
      </c>
      <c r="I44" s="219">
        <v>265.05</v>
      </c>
      <c r="J44" s="219"/>
      <c r="K44" s="219">
        <v>100</v>
      </c>
      <c r="L44" s="232">
        <v>1677.59</v>
      </c>
      <c r="M44" s="232">
        <v>1615.42</v>
      </c>
      <c r="N44" s="219"/>
      <c r="O44" s="232">
        <v>3293.01</v>
      </c>
    </row>
    <row r="45" spans="1:15" x14ac:dyDescent="0.35">
      <c r="A45" s="14" t="s">
        <v>905</v>
      </c>
      <c r="B45" s="219" t="s">
        <v>493</v>
      </c>
      <c r="C45" s="219" t="s">
        <v>690</v>
      </c>
      <c r="D45" s="219">
        <v>1400</v>
      </c>
      <c r="E45" s="23">
        <f>F45/D45</f>
        <v>0.83560909175661913</v>
      </c>
      <c r="F45" s="234">
        <f>$F$33*G45/$G$33</f>
        <v>1169.8527284592667</v>
      </c>
      <c r="G45" s="232">
        <v>8694.17</v>
      </c>
      <c r="H45" s="219">
        <f t="shared" si="2"/>
        <v>11293.985711689556</v>
      </c>
      <c r="I45" s="219">
        <v>227.8</v>
      </c>
      <c r="J45" s="219"/>
      <c r="K45" s="219">
        <v>100</v>
      </c>
      <c r="L45" s="232">
        <v>1321.23</v>
      </c>
      <c r="M45" s="232">
        <v>1980.53</v>
      </c>
      <c r="N45" s="219"/>
      <c r="O45" s="232">
        <v>3301.76</v>
      </c>
    </row>
    <row r="46" spans="1:15" x14ac:dyDescent="0.35">
      <c r="A46" s="14" t="s">
        <v>906</v>
      </c>
      <c r="B46" s="219" t="s">
        <v>284</v>
      </c>
      <c r="C46" s="219" t="s">
        <v>690</v>
      </c>
      <c r="D46" s="219">
        <v>1500</v>
      </c>
      <c r="E46" s="23">
        <f>F46/D46</f>
        <v>6.512510343992412E-4</v>
      </c>
      <c r="F46" s="234">
        <f>$F$33*G46/$G$33</f>
        <v>0.97687655159886178</v>
      </c>
      <c r="G46" s="219">
        <v>7.26</v>
      </c>
      <c r="H46" s="219">
        <f t="shared" si="2"/>
        <v>15866.89738292011</v>
      </c>
      <c r="I46" s="219">
        <v>314.89999999999998</v>
      </c>
      <c r="J46" s="232">
        <v>1766.66</v>
      </c>
      <c r="K46" s="219">
        <v>0.73</v>
      </c>
      <c r="L46" s="219">
        <v>1.55</v>
      </c>
      <c r="M46" s="219">
        <v>2.29</v>
      </c>
      <c r="N46" s="219"/>
      <c r="O46" s="219">
        <v>3.84</v>
      </c>
    </row>
    <row r="47" spans="1:15" x14ac:dyDescent="0.35">
      <c r="A47" s="233" t="s">
        <v>992</v>
      </c>
      <c r="B47" s="10" t="s">
        <v>284</v>
      </c>
      <c r="C47" s="10" t="s">
        <v>690</v>
      </c>
      <c r="D47" s="211">
        <f>SUM(D41:D46)</f>
        <v>13500</v>
      </c>
      <c r="E47" s="10"/>
      <c r="F47" s="211">
        <f>SUM(F41:F46)</f>
        <v>3108.9401245181211</v>
      </c>
      <c r="G47" s="211">
        <f>SUM(G41:G46)</f>
        <v>22718.079999999998</v>
      </c>
      <c r="H47" s="10">
        <f t="shared" si="2"/>
        <v>10903.169132359539</v>
      </c>
      <c r="I47" s="12">
        <f>M47/G47*10</f>
        <v>2.0071634574752792</v>
      </c>
      <c r="J47" s="211">
        <f>SUM(J41:J46)</f>
        <v>1766.66</v>
      </c>
      <c r="K47" s="10"/>
      <c r="L47" s="211">
        <f>SUM(L41:L46)</f>
        <v>3389.73</v>
      </c>
      <c r="M47" s="211">
        <f>SUM(M41:M46)</f>
        <v>4559.8899999999994</v>
      </c>
      <c r="N47" s="211">
        <f>SUM(N41:N46)</f>
        <v>0</v>
      </c>
      <c r="O47" s="211">
        <f>SUM(O41:O46)</f>
        <v>7949.6200000000008</v>
      </c>
    </row>
    <row r="48" spans="1:15" x14ac:dyDescent="0.35">
      <c r="F48" s="174"/>
      <c r="G48" s="173"/>
    </row>
    <row r="49" spans="1:15" x14ac:dyDescent="0.35">
      <c r="A49" s="246" t="s">
        <v>757</v>
      </c>
      <c r="B49" s="10"/>
      <c r="C49" s="213" t="s">
        <v>690</v>
      </c>
      <c r="D49" s="211">
        <f>D38+D47</f>
        <v>28210</v>
      </c>
      <c r="E49" s="10"/>
      <c r="F49" s="211">
        <f>F38+F47</f>
        <v>5157.0681245181204</v>
      </c>
      <c r="G49" s="211">
        <f>G38+G47</f>
        <v>31144.03</v>
      </c>
      <c r="H49" s="10">
        <f>L49/F49*10^7/10^3</f>
        <v>10207.195004801035</v>
      </c>
      <c r="I49" s="12">
        <f>M49/G49*10</f>
        <v>2.0419708046774936</v>
      </c>
      <c r="J49" s="211">
        <f>J38+J47</f>
        <v>11599.349999999999</v>
      </c>
      <c r="K49" s="10"/>
      <c r="L49" s="211">
        <f>L38+L47</f>
        <v>5263.92</v>
      </c>
      <c r="M49" s="211">
        <f>M38+M47</f>
        <v>6359.5199999999995</v>
      </c>
      <c r="N49" s="211">
        <f>N38+N47</f>
        <v>0</v>
      </c>
      <c r="O49" s="211">
        <f>O38+O47</f>
        <v>11623.44</v>
      </c>
    </row>
    <row r="50" spans="1:15" x14ac:dyDescent="0.35">
      <c r="F50" s="174"/>
      <c r="G50" s="173"/>
    </row>
    <row r="51" spans="1:15" x14ac:dyDescent="0.35">
      <c r="F51" s="174"/>
      <c r="G51" s="173"/>
    </row>
    <row r="52" spans="1:15" x14ac:dyDescent="0.35">
      <c r="A52" s="10" t="s">
        <v>158</v>
      </c>
      <c r="B52" s="10" t="s">
        <v>157</v>
      </c>
      <c r="C52" s="10" t="s">
        <v>1008</v>
      </c>
      <c r="D52" s="10" t="s">
        <v>871</v>
      </c>
      <c r="E52" s="10" t="s">
        <v>872</v>
      </c>
      <c r="F52" s="10" t="s">
        <v>873</v>
      </c>
      <c r="G52" s="10" t="s">
        <v>874</v>
      </c>
      <c r="H52" s="10" t="s">
        <v>182</v>
      </c>
      <c r="I52" s="10" t="s">
        <v>877</v>
      </c>
      <c r="J52" s="10" t="s">
        <v>875</v>
      </c>
      <c r="K52" s="10" t="s">
        <v>876</v>
      </c>
      <c r="L52" s="10" t="s">
        <v>878</v>
      </c>
      <c r="M52" s="10" t="s">
        <v>879</v>
      </c>
      <c r="N52" s="10" t="s">
        <v>880</v>
      </c>
      <c r="O52" s="10" t="s">
        <v>1006</v>
      </c>
    </row>
    <row r="53" spans="1:15" x14ac:dyDescent="0.35">
      <c r="A53" s="219" t="s">
        <v>881</v>
      </c>
      <c r="B53" s="219" t="s">
        <v>689</v>
      </c>
      <c r="C53" s="219" t="s">
        <v>301</v>
      </c>
      <c r="D53" s="219">
        <f>(88.7*3)+(153)</f>
        <v>419.1</v>
      </c>
      <c r="E53" s="220">
        <v>0.1169</v>
      </c>
      <c r="F53" s="230">
        <f>D53*E53</f>
        <v>48.992790000000007</v>
      </c>
      <c r="G53" s="219">
        <v>89.5</v>
      </c>
      <c r="H53" s="219">
        <f>L53/F53*10^7/10^3</f>
        <v>6060.0753702738702</v>
      </c>
      <c r="I53" s="219">
        <v>247.5</v>
      </c>
      <c r="J53" s="219">
        <v>213.75</v>
      </c>
      <c r="K53" s="219">
        <v>13.89</v>
      </c>
      <c r="L53" s="219">
        <v>29.69</v>
      </c>
      <c r="M53" s="219">
        <v>22.15</v>
      </c>
      <c r="N53" s="219"/>
      <c r="O53" s="219">
        <v>51.84</v>
      </c>
    </row>
    <row r="54" spans="1:15" x14ac:dyDescent="0.35">
      <c r="A54" s="219" t="s">
        <v>882</v>
      </c>
      <c r="B54" s="219" t="s">
        <v>689</v>
      </c>
      <c r="C54" s="219" t="s">
        <v>301</v>
      </c>
      <c r="D54" s="219">
        <v>663</v>
      </c>
      <c r="E54" s="220">
        <v>0.12520000000000001</v>
      </c>
      <c r="F54" s="230">
        <f>D54*E54</f>
        <v>83.007600000000011</v>
      </c>
      <c r="G54" s="219">
        <v>67.540000000000006</v>
      </c>
      <c r="H54" s="219">
        <f>L54/F54*10^7/10^3</f>
        <v>4068.3021795594623</v>
      </c>
      <c r="I54" s="219">
        <v>300.8</v>
      </c>
      <c r="J54" s="219">
        <v>240.54</v>
      </c>
      <c r="K54" s="219">
        <v>14.04</v>
      </c>
      <c r="L54" s="219">
        <v>33.770000000000003</v>
      </c>
      <c r="M54" s="219">
        <v>20.32</v>
      </c>
      <c r="N54" s="219"/>
      <c r="O54" s="219">
        <v>54.09</v>
      </c>
    </row>
    <row r="55" spans="1:15" x14ac:dyDescent="0.35">
      <c r="A55" s="219" t="s">
        <v>883</v>
      </c>
      <c r="B55" s="219" t="s">
        <v>689</v>
      </c>
      <c r="C55" s="219" t="s">
        <v>301</v>
      </c>
      <c r="D55" s="219">
        <v>830</v>
      </c>
      <c r="E55" s="220">
        <v>0.159</v>
      </c>
      <c r="F55" s="230">
        <f>D55*E55</f>
        <v>131.97</v>
      </c>
      <c r="G55" s="219">
        <v>107.37</v>
      </c>
      <c r="H55" s="219">
        <f>L55/F55*10^7/10^3</f>
        <v>3971.3571266196864</v>
      </c>
      <c r="I55" s="219">
        <v>270.8</v>
      </c>
      <c r="J55" s="219">
        <v>309.76</v>
      </c>
      <c r="K55" s="219">
        <v>16.920000000000002</v>
      </c>
      <c r="L55" s="219">
        <v>52.41</v>
      </c>
      <c r="M55" s="219">
        <v>29.08</v>
      </c>
      <c r="N55" s="219"/>
      <c r="O55" s="219">
        <v>81.489999999999995</v>
      </c>
    </row>
    <row r="56" spans="1:15" x14ac:dyDescent="0.35">
      <c r="A56" s="16" t="s">
        <v>884</v>
      </c>
      <c r="B56" s="219" t="s">
        <v>689</v>
      </c>
      <c r="C56" s="219" t="s">
        <v>301</v>
      </c>
      <c r="D56" s="219">
        <v>1371.2</v>
      </c>
      <c r="E56" s="231">
        <v>0.1</v>
      </c>
      <c r="F56" s="230">
        <f>D56*E56</f>
        <v>137.12</v>
      </c>
      <c r="G56" s="219">
        <v>341.26</v>
      </c>
      <c r="H56" s="219">
        <f>L56/F56*10^7/10^3</f>
        <v>7898.1913652275371</v>
      </c>
      <c r="I56" s="219">
        <v>274.08999999999997</v>
      </c>
      <c r="J56" s="232">
        <v>1083.03</v>
      </c>
      <c r="K56" s="219">
        <v>10</v>
      </c>
      <c r="L56" s="219">
        <v>108.3</v>
      </c>
      <c r="M56" s="219">
        <v>93.54</v>
      </c>
      <c r="N56" s="219"/>
      <c r="O56" s="219">
        <v>201.84</v>
      </c>
    </row>
    <row r="57" spans="1:15" x14ac:dyDescent="0.35">
      <c r="A57" s="10" t="s">
        <v>758</v>
      </c>
      <c r="B57" s="10" t="s">
        <v>689</v>
      </c>
      <c r="C57" s="10" t="s">
        <v>301</v>
      </c>
      <c r="D57" s="10">
        <f>SUM(D53:D56)</f>
        <v>3283.3</v>
      </c>
      <c r="E57" s="10"/>
      <c r="F57" s="10">
        <f>SUM(F53:F56)</f>
        <v>401.09039000000001</v>
      </c>
      <c r="G57" s="10">
        <f>SUM(G53:G56)</f>
        <v>605.67000000000007</v>
      </c>
      <c r="H57" s="10">
        <f>L57/F57*10^7/10^3</f>
        <v>5589.0144862358839</v>
      </c>
      <c r="I57" s="12">
        <f>M57/G57*10</f>
        <v>2.7257417405517854</v>
      </c>
      <c r="J57" s="10">
        <f>SUM(J53:J56)</f>
        <v>1847.08</v>
      </c>
      <c r="K57" s="10"/>
      <c r="L57" s="10">
        <f>SUM(L53:L56)</f>
        <v>224.17000000000002</v>
      </c>
      <c r="M57" s="10">
        <f>SUM(M53:M56)</f>
        <v>165.09</v>
      </c>
      <c r="N57" s="10"/>
      <c r="O57" s="10">
        <f>SUM(O53:O56)</f>
        <v>389.26</v>
      </c>
    </row>
    <row r="58" spans="1:15" x14ac:dyDescent="0.35">
      <c r="F58" s="174"/>
      <c r="G58" s="173"/>
    </row>
    <row r="59" spans="1:15" x14ac:dyDescent="0.35">
      <c r="F59" s="174"/>
      <c r="G59" s="173"/>
    </row>
    <row r="60" spans="1:15" x14ac:dyDescent="0.35">
      <c r="A60" s="10" t="s">
        <v>158</v>
      </c>
      <c r="B60" s="10" t="s">
        <v>157</v>
      </c>
      <c r="C60" s="10" t="s">
        <v>1008</v>
      </c>
      <c r="D60" s="10" t="s">
        <v>871</v>
      </c>
      <c r="E60" s="10" t="s">
        <v>872</v>
      </c>
      <c r="F60" s="10" t="s">
        <v>873</v>
      </c>
      <c r="G60" s="10" t="s">
        <v>874</v>
      </c>
      <c r="H60" s="10" t="s">
        <v>182</v>
      </c>
      <c r="I60" s="10" t="s">
        <v>877</v>
      </c>
      <c r="J60" s="10" t="s">
        <v>875</v>
      </c>
      <c r="K60" s="10" t="s">
        <v>876</v>
      </c>
      <c r="L60" s="10" t="s">
        <v>878</v>
      </c>
      <c r="M60" s="10" t="s">
        <v>879</v>
      </c>
      <c r="N60" s="10" t="s">
        <v>880</v>
      </c>
      <c r="O60" s="10" t="s">
        <v>1006</v>
      </c>
    </row>
    <row r="61" spans="1:15" x14ac:dyDescent="0.35">
      <c r="A61" s="219" t="s">
        <v>908</v>
      </c>
      <c r="B61" s="219" t="s">
        <v>309</v>
      </c>
      <c r="C61" s="219" t="s">
        <v>308</v>
      </c>
      <c r="D61" s="234">
        <v>800</v>
      </c>
      <c r="E61" s="220">
        <v>7.7299999999999994E-2</v>
      </c>
      <c r="F61" s="234">
        <f t="shared" ref="F61:F81" si="3">D61*E61</f>
        <v>61.839999999999996</v>
      </c>
      <c r="G61" s="219">
        <v>431.66</v>
      </c>
      <c r="H61" s="219">
        <f t="shared" ref="H61:H82" si="4">L61/F61*10^7/10^3</f>
        <v>9359.6377749029762</v>
      </c>
      <c r="I61" s="219">
        <v>217.1</v>
      </c>
      <c r="J61" s="232">
        <v>1142.4100000000001</v>
      </c>
      <c r="K61" s="219">
        <v>9.59</v>
      </c>
      <c r="L61" s="219">
        <v>57.88</v>
      </c>
      <c r="M61" s="219">
        <v>93.71</v>
      </c>
      <c r="N61" s="219"/>
      <c r="O61" s="219">
        <v>151.59</v>
      </c>
    </row>
    <row r="62" spans="1:15" x14ac:dyDescent="0.35">
      <c r="A62" s="239" t="s">
        <v>909</v>
      </c>
      <c r="B62" s="219" t="s">
        <v>309</v>
      </c>
      <c r="C62" s="219" t="s">
        <v>308</v>
      </c>
      <c r="D62" s="234">
        <v>180</v>
      </c>
      <c r="E62" s="220">
        <v>0.46500000000000002</v>
      </c>
      <c r="F62" s="234">
        <f t="shared" si="3"/>
        <v>83.7</v>
      </c>
      <c r="G62" s="239">
        <v>320.85000000000002</v>
      </c>
      <c r="H62" s="219">
        <f t="shared" si="4"/>
        <v>4385.9020310633214</v>
      </c>
      <c r="I62" s="239">
        <v>96.3</v>
      </c>
      <c r="J62" s="239">
        <v>130.75</v>
      </c>
      <c r="K62" s="239">
        <v>46.5</v>
      </c>
      <c r="L62" s="239">
        <v>36.71</v>
      </c>
      <c r="M62" s="239">
        <v>30.9</v>
      </c>
      <c r="N62" s="219"/>
      <c r="O62" s="239">
        <v>67.61</v>
      </c>
    </row>
    <row r="63" spans="1:15" x14ac:dyDescent="0.35">
      <c r="A63" s="239" t="s">
        <v>910</v>
      </c>
      <c r="B63" s="219" t="s">
        <v>309</v>
      </c>
      <c r="C63" s="219" t="s">
        <v>308</v>
      </c>
      <c r="D63" s="234">
        <v>690</v>
      </c>
      <c r="E63" s="220">
        <v>0.26600000000000001</v>
      </c>
      <c r="F63" s="234">
        <f t="shared" si="3"/>
        <v>183.54000000000002</v>
      </c>
      <c r="G63" s="239">
        <v>883.12</v>
      </c>
      <c r="H63" s="219">
        <f t="shared" si="4"/>
        <v>2955.2141222621772</v>
      </c>
      <c r="I63" s="239">
        <v>58.26</v>
      </c>
      <c r="J63" s="239">
        <v>312.86</v>
      </c>
      <c r="K63" s="239">
        <v>26.6</v>
      </c>
      <c r="L63" s="239">
        <v>54.24</v>
      </c>
      <c r="M63" s="239">
        <v>51.45</v>
      </c>
      <c r="N63" s="239">
        <v>98.57</v>
      </c>
      <c r="O63" s="239">
        <v>204.26</v>
      </c>
    </row>
    <row r="64" spans="1:15" x14ac:dyDescent="0.35">
      <c r="A64" s="239" t="s">
        <v>911</v>
      </c>
      <c r="B64" s="219" t="s">
        <v>309</v>
      </c>
      <c r="C64" s="219" t="s">
        <v>308</v>
      </c>
      <c r="D64" s="234">
        <f>3*31.4</f>
        <v>94.199999999999989</v>
      </c>
      <c r="E64" s="220">
        <v>0.17929999999999999</v>
      </c>
      <c r="F64" s="234">
        <f t="shared" si="3"/>
        <v>16.890059999999998</v>
      </c>
      <c r="G64" s="239">
        <v>80.69</v>
      </c>
      <c r="H64" s="219">
        <f t="shared" si="4"/>
        <v>6897.5480252882471</v>
      </c>
      <c r="I64" s="239">
        <v>156.83000000000001</v>
      </c>
      <c r="J64" s="239">
        <v>123.56</v>
      </c>
      <c r="K64" s="239">
        <v>17.93</v>
      </c>
      <c r="L64" s="239">
        <v>11.65</v>
      </c>
      <c r="M64" s="239">
        <v>12.65</v>
      </c>
      <c r="N64" s="219"/>
      <c r="O64" s="239">
        <v>24.3</v>
      </c>
    </row>
    <row r="65" spans="1:15" x14ac:dyDescent="0.35">
      <c r="A65" s="239" t="s">
        <v>912</v>
      </c>
      <c r="B65" s="219" t="s">
        <v>309</v>
      </c>
      <c r="C65" s="219" t="s">
        <v>308</v>
      </c>
      <c r="D65" s="234">
        <f>3*180</f>
        <v>540</v>
      </c>
      <c r="E65" s="220">
        <v>0.10199999999999999</v>
      </c>
      <c r="F65" s="234">
        <f t="shared" si="3"/>
        <v>55.08</v>
      </c>
      <c r="G65" s="239">
        <v>237.66</v>
      </c>
      <c r="H65" s="219">
        <f t="shared" si="4"/>
        <v>3672.8395061728397</v>
      </c>
      <c r="I65" s="239">
        <v>110.93</v>
      </c>
      <c r="J65" s="239">
        <v>321.08</v>
      </c>
      <c r="K65" s="239">
        <v>10.199999999999999</v>
      </c>
      <c r="L65" s="239">
        <v>20.23</v>
      </c>
      <c r="M65" s="239">
        <v>26.36</v>
      </c>
      <c r="N65" s="219"/>
      <c r="O65" s="239">
        <v>46.59</v>
      </c>
    </row>
    <row r="66" spans="1:15" x14ac:dyDescent="0.35">
      <c r="A66" s="239" t="s">
        <v>913</v>
      </c>
      <c r="B66" s="219" t="s">
        <v>309</v>
      </c>
      <c r="C66" s="219" t="s">
        <v>308</v>
      </c>
      <c r="D66" s="234">
        <f>300</f>
        <v>300</v>
      </c>
      <c r="E66" s="231">
        <v>0.1</v>
      </c>
      <c r="F66" s="234">
        <f t="shared" si="3"/>
        <v>30</v>
      </c>
      <c r="G66" s="239">
        <v>146</v>
      </c>
      <c r="H66" s="219">
        <f t="shared" si="4"/>
        <v>6696.6666666666661</v>
      </c>
      <c r="I66" s="239">
        <v>99.15</v>
      </c>
      <c r="J66" s="239">
        <v>258.58999999999997</v>
      </c>
      <c r="K66" s="239">
        <v>12.63</v>
      </c>
      <c r="L66" s="239">
        <v>20.09</v>
      </c>
      <c r="M66" s="239">
        <v>14.48</v>
      </c>
      <c r="N66" s="219"/>
      <c r="O66" s="239">
        <v>34.57</v>
      </c>
    </row>
    <row r="67" spans="1:15" x14ac:dyDescent="0.35">
      <c r="A67" s="239" t="s">
        <v>914</v>
      </c>
      <c r="B67" s="219" t="s">
        <v>309</v>
      </c>
      <c r="C67" s="219" t="s">
        <v>308</v>
      </c>
      <c r="D67" s="234">
        <f>3*77</f>
        <v>231</v>
      </c>
      <c r="E67" s="220">
        <v>7.8560000000000005E-2</v>
      </c>
      <c r="F67" s="234">
        <f t="shared" si="3"/>
        <v>18.147360000000003</v>
      </c>
      <c r="G67" s="239">
        <v>81.17</v>
      </c>
      <c r="H67" s="219">
        <f t="shared" si="4"/>
        <v>14288.579716278289</v>
      </c>
      <c r="I67" s="239">
        <v>212.34</v>
      </c>
      <c r="J67" s="239">
        <v>404.52</v>
      </c>
      <c r="K67" s="239">
        <v>10.050000000000001</v>
      </c>
      <c r="L67" s="239">
        <v>25.93</v>
      </c>
      <c r="M67" s="239">
        <v>17.239999999999998</v>
      </c>
      <c r="N67" s="219"/>
      <c r="O67" s="239">
        <v>43.17</v>
      </c>
    </row>
    <row r="68" spans="1:15" x14ac:dyDescent="0.35">
      <c r="A68" s="239" t="s">
        <v>915</v>
      </c>
      <c r="B68" s="219" t="s">
        <v>309</v>
      </c>
      <c r="C68" s="219" t="s">
        <v>308</v>
      </c>
      <c r="D68" s="234">
        <f>4*120</f>
        <v>480</v>
      </c>
      <c r="E68" s="220">
        <v>0.13750000000000001</v>
      </c>
      <c r="F68" s="234">
        <f t="shared" si="3"/>
        <v>66</v>
      </c>
      <c r="G68" s="239">
        <v>387.75</v>
      </c>
      <c r="H68" s="219">
        <f t="shared" si="4"/>
        <v>5316.666666666667</v>
      </c>
      <c r="I68" s="239">
        <v>80.819999999999993</v>
      </c>
      <c r="J68" s="239">
        <v>363.6</v>
      </c>
      <c r="K68" s="239">
        <v>13.75</v>
      </c>
      <c r="L68" s="239">
        <v>35.090000000000003</v>
      </c>
      <c r="M68" s="239">
        <v>31.34</v>
      </c>
      <c r="N68" s="239">
        <v>17.739999999999998</v>
      </c>
      <c r="O68" s="239">
        <v>84.17</v>
      </c>
    </row>
    <row r="69" spans="1:15" x14ac:dyDescent="0.35">
      <c r="A69" s="239" t="s">
        <v>916</v>
      </c>
      <c r="B69" s="219" t="s">
        <v>309</v>
      </c>
      <c r="C69" s="219" t="s">
        <v>308</v>
      </c>
      <c r="D69" s="234">
        <f>4*60</f>
        <v>240</v>
      </c>
      <c r="E69" s="220">
        <v>8.1320000000000003E-2</v>
      </c>
      <c r="F69" s="234">
        <f t="shared" si="3"/>
        <v>19.5168</v>
      </c>
      <c r="G69" s="239">
        <v>91.57</v>
      </c>
      <c r="H69" s="219">
        <f t="shared" si="4"/>
        <v>15735.161501885555</v>
      </c>
      <c r="I69" s="239">
        <v>241.45</v>
      </c>
      <c r="J69" s="239">
        <v>466.47</v>
      </c>
      <c r="K69" s="239">
        <v>9.25</v>
      </c>
      <c r="L69" s="239">
        <v>30.71</v>
      </c>
      <c r="M69" s="239">
        <v>22.11</v>
      </c>
      <c r="N69" s="239">
        <v>7.93</v>
      </c>
      <c r="O69" s="239">
        <v>60.75</v>
      </c>
    </row>
    <row r="70" spans="1:15" ht="15.75" customHeight="1" x14ac:dyDescent="0.35">
      <c r="A70" s="239" t="s">
        <v>917</v>
      </c>
      <c r="B70" s="219" t="s">
        <v>309</v>
      </c>
      <c r="C70" s="219" t="s">
        <v>308</v>
      </c>
      <c r="D70" s="234">
        <f>4*70</f>
        <v>280</v>
      </c>
      <c r="E70" s="231">
        <v>0.1</v>
      </c>
      <c r="F70" s="234">
        <f t="shared" si="3"/>
        <v>28</v>
      </c>
      <c r="G70" s="239">
        <v>110</v>
      </c>
      <c r="H70" s="219">
        <f t="shared" si="4"/>
        <v>4439.2857142857138</v>
      </c>
      <c r="I70" s="239">
        <v>151.13999999999999</v>
      </c>
      <c r="J70" s="239">
        <v>298.20999999999998</v>
      </c>
      <c r="K70" s="239">
        <v>11.4</v>
      </c>
      <c r="L70" s="239">
        <v>12.43</v>
      </c>
      <c r="M70" s="239">
        <v>16.63</v>
      </c>
      <c r="N70" s="239"/>
      <c r="O70" s="239">
        <v>29.06</v>
      </c>
    </row>
    <row r="71" spans="1:15" x14ac:dyDescent="0.35">
      <c r="A71" s="239" t="s">
        <v>918</v>
      </c>
      <c r="B71" s="219" t="s">
        <v>309</v>
      </c>
      <c r="C71" s="219" t="s">
        <v>308</v>
      </c>
      <c r="D71" s="234">
        <f>3*130</f>
        <v>390</v>
      </c>
      <c r="E71" s="220">
        <v>8.2799999999999999E-2</v>
      </c>
      <c r="F71" s="234">
        <f t="shared" si="3"/>
        <v>32.292000000000002</v>
      </c>
      <c r="G71" s="239">
        <v>180.5</v>
      </c>
      <c r="H71" s="219">
        <f t="shared" si="4"/>
        <v>18351.29443825096</v>
      </c>
      <c r="I71" s="239">
        <v>278.62</v>
      </c>
      <c r="J71" s="239">
        <v>923.83</v>
      </c>
      <c r="K71" s="239">
        <v>10.47</v>
      </c>
      <c r="L71" s="239">
        <v>59.26</v>
      </c>
      <c r="M71" s="239">
        <v>50.29</v>
      </c>
      <c r="N71" s="239">
        <v>8.9600000000000009</v>
      </c>
      <c r="O71" s="239">
        <v>118.51</v>
      </c>
    </row>
    <row r="72" spans="1:15" x14ac:dyDescent="0.35">
      <c r="A72" s="239" t="s">
        <v>919</v>
      </c>
      <c r="B72" s="219" t="s">
        <v>309</v>
      </c>
      <c r="C72" s="219" t="s">
        <v>308</v>
      </c>
      <c r="D72" s="234">
        <f>3*40</f>
        <v>120</v>
      </c>
      <c r="E72" s="220">
        <v>8.3299999999999999E-2</v>
      </c>
      <c r="F72" s="234">
        <f t="shared" si="3"/>
        <v>9.9960000000000004</v>
      </c>
      <c r="G72" s="239">
        <v>43.32</v>
      </c>
      <c r="H72" s="219">
        <f t="shared" si="4"/>
        <v>13955.582232893155</v>
      </c>
      <c r="I72" s="239">
        <v>216.42</v>
      </c>
      <c r="J72" s="239">
        <v>198.9</v>
      </c>
      <c r="K72" s="239">
        <v>10.52</v>
      </c>
      <c r="L72" s="239">
        <v>13.95</v>
      </c>
      <c r="M72" s="239">
        <v>9.3800000000000008</v>
      </c>
      <c r="N72" s="239">
        <v>0.86</v>
      </c>
      <c r="O72" s="239">
        <v>24.19</v>
      </c>
    </row>
    <row r="73" spans="1:15" x14ac:dyDescent="0.35">
      <c r="A73" s="239" t="s">
        <v>920</v>
      </c>
      <c r="B73" s="219" t="s">
        <v>309</v>
      </c>
      <c r="C73" s="219" t="s">
        <v>308</v>
      </c>
      <c r="D73" s="234">
        <f>4*130</f>
        <v>520</v>
      </c>
      <c r="E73" s="220">
        <v>7.8600000000000003E-2</v>
      </c>
      <c r="F73" s="234">
        <f t="shared" si="3"/>
        <v>40.872</v>
      </c>
      <c r="G73" s="239">
        <v>53.45</v>
      </c>
      <c r="H73" s="219">
        <f t="shared" si="4"/>
        <v>3131.7283225680176</v>
      </c>
      <c r="I73" s="239">
        <v>273.75</v>
      </c>
      <c r="J73" s="239">
        <v>330.09</v>
      </c>
      <c r="K73" s="239">
        <v>10.25</v>
      </c>
      <c r="L73" s="239">
        <v>12.8</v>
      </c>
      <c r="M73" s="239">
        <v>14.63</v>
      </c>
      <c r="N73" s="239"/>
      <c r="O73" s="239">
        <v>27.43</v>
      </c>
    </row>
    <row r="74" spans="1:15" x14ac:dyDescent="0.35">
      <c r="A74" s="16" t="s">
        <v>921</v>
      </c>
      <c r="B74" s="219" t="s">
        <v>309</v>
      </c>
      <c r="C74" s="219" t="s">
        <v>308</v>
      </c>
      <c r="D74" s="234">
        <f>3*110</f>
        <v>330</v>
      </c>
      <c r="E74" s="231">
        <v>0</v>
      </c>
      <c r="F74" s="234">
        <f t="shared" si="3"/>
        <v>0</v>
      </c>
      <c r="G74" s="219">
        <v>59.1</v>
      </c>
      <c r="H74" s="219" t="e">
        <f t="shared" si="4"/>
        <v>#DIV/0!</v>
      </c>
      <c r="I74" s="219">
        <v>331.72</v>
      </c>
      <c r="J74" s="219"/>
      <c r="K74" s="219"/>
      <c r="L74" s="219">
        <v>9.1</v>
      </c>
      <c r="M74" s="219">
        <v>19.600000000000001</v>
      </c>
      <c r="N74" s="219"/>
      <c r="O74" s="219">
        <v>28.7</v>
      </c>
    </row>
    <row r="75" spans="1:15" x14ac:dyDescent="0.35">
      <c r="A75" s="219" t="s">
        <v>922</v>
      </c>
      <c r="B75" s="219" t="s">
        <v>309</v>
      </c>
      <c r="C75" s="219" t="s">
        <v>308</v>
      </c>
      <c r="D75" s="234">
        <v>1500</v>
      </c>
      <c r="E75" s="220">
        <v>0.1013</v>
      </c>
      <c r="F75" s="234">
        <f t="shared" si="3"/>
        <v>151.94999999999999</v>
      </c>
      <c r="G75" s="219">
        <v>669.77</v>
      </c>
      <c r="H75" s="219">
        <f t="shared" si="4"/>
        <v>8313.9190523198431</v>
      </c>
      <c r="I75" s="219">
        <v>144.1</v>
      </c>
      <c r="J75" s="232">
        <v>1656.84</v>
      </c>
      <c r="K75" s="219">
        <v>11.62</v>
      </c>
      <c r="L75" s="219">
        <v>126.33</v>
      </c>
      <c r="M75" s="219">
        <v>96.51</v>
      </c>
      <c r="N75" s="219"/>
      <c r="O75" s="219">
        <v>222.84</v>
      </c>
    </row>
    <row r="76" spans="1:15" x14ac:dyDescent="0.35">
      <c r="A76" s="219" t="s">
        <v>923</v>
      </c>
      <c r="B76" s="219" t="s">
        <v>309</v>
      </c>
      <c r="C76" s="219" t="s">
        <v>308</v>
      </c>
      <c r="D76" s="234">
        <v>412.02</v>
      </c>
      <c r="E76" s="220">
        <v>5.62E-2</v>
      </c>
      <c r="F76" s="234">
        <f t="shared" si="3"/>
        <v>23.155524</v>
      </c>
      <c r="G76" s="219">
        <v>103.97</v>
      </c>
      <c r="H76" s="219">
        <f t="shared" si="4"/>
        <v>9829.1880589702905</v>
      </c>
      <c r="I76" s="219">
        <v>161.26</v>
      </c>
      <c r="J76" s="219">
        <v>521.71</v>
      </c>
      <c r="K76" s="219">
        <v>6.77</v>
      </c>
      <c r="L76" s="219">
        <v>22.76</v>
      </c>
      <c r="M76" s="219">
        <v>16.77</v>
      </c>
      <c r="N76" s="219"/>
      <c r="O76" s="219">
        <v>39.53</v>
      </c>
    </row>
    <row r="77" spans="1:15" x14ac:dyDescent="0.35">
      <c r="A77" s="219" t="s">
        <v>924</v>
      </c>
      <c r="B77" s="219" t="s">
        <v>309</v>
      </c>
      <c r="C77" s="219" t="s">
        <v>308</v>
      </c>
      <c r="D77" s="234">
        <v>1000</v>
      </c>
      <c r="E77" s="220">
        <v>7.6999999999999999E-2</v>
      </c>
      <c r="F77" s="234">
        <f t="shared" si="3"/>
        <v>77</v>
      </c>
      <c r="G77" s="219">
        <v>215.31</v>
      </c>
      <c r="H77" s="219">
        <f t="shared" si="4"/>
        <v>8685.7142857142862</v>
      </c>
      <c r="I77" s="219">
        <v>299.82</v>
      </c>
      <c r="J77" s="232">
        <v>1458.24</v>
      </c>
      <c r="K77" s="219">
        <v>8.7200000000000006</v>
      </c>
      <c r="L77" s="219">
        <v>66.88</v>
      </c>
      <c r="M77" s="219">
        <v>64.55</v>
      </c>
      <c r="N77" s="219"/>
      <c r="O77" s="219">
        <v>131.43</v>
      </c>
    </row>
    <row r="78" spans="1:15" x14ac:dyDescent="0.35">
      <c r="A78" s="219" t="s">
        <v>925</v>
      </c>
      <c r="B78" s="219" t="s">
        <v>309</v>
      </c>
      <c r="C78" s="219" t="s">
        <v>308</v>
      </c>
      <c r="D78" s="234">
        <v>400</v>
      </c>
      <c r="E78" s="220">
        <v>6.3600000000000004E-2</v>
      </c>
      <c r="F78" s="234">
        <f t="shared" si="3"/>
        <v>25.44</v>
      </c>
      <c r="G78" s="219">
        <v>73.45</v>
      </c>
      <c r="H78" s="219">
        <f t="shared" si="4"/>
        <v>7551.1006289308179</v>
      </c>
      <c r="I78" s="219">
        <v>195.48</v>
      </c>
      <c r="J78" s="219">
        <v>393.33</v>
      </c>
      <c r="K78" s="219">
        <v>7.38</v>
      </c>
      <c r="L78" s="219">
        <v>19.21</v>
      </c>
      <c r="M78" s="219">
        <v>14.36</v>
      </c>
      <c r="N78" s="219"/>
      <c r="O78" s="219">
        <v>33.57</v>
      </c>
    </row>
    <row r="79" spans="1:15" x14ac:dyDescent="0.35">
      <c r="A79" s="16" t="s">
        <v>926</v>
      </c>
      <c r="B79" s="219" t="s">
        <v>309</v>
      </c>
      <c r="C79" s="219" t="s">
        <v>308</v>
      </c>
      <c r="D79" s="234">
        <v>100</v>
      </c>
      <c r="E79" s="231">
        <v>0.88</v>
      </c>
      <c r="F79" s="234">
        <f t="shared" si="3"/>
        <v>88</v>
      </c>
      <c r="G79" s="219">
        <v>354.88</v>
      </c>
      <c r="H79" s="219">
        <f t="shared" si="4"/>
        <v>7297.7272727272721</v>
      </c>
      <c r="I79" s="219">
        <v>224.41</v>
      </c>
      <c r="J79" s="219"/>
      <c r="K79" s="219">
        <v>100</v>
      </c>
      <c r="L79" s="219">
        <v>64.22</v>
      </c>
      <c r="M79" s="219">
        <v>79.64</v>
      </c>
      <c r="N79" s="219"/>
      <c r="O79" s="219">
        <v>143.86000000000001</v>
      </c>
    </row>
    <row r="80" spans="1:15" x14ac:dyDescent="0.35">
      <c r="A80" s="219" t="s">
        <v>927</v>
      </c>
      <c r="B80" s="219" t="s">
        <v>309</v>
      </c>
      <c r="C80" s="219" t="s">
        <v>308</v>
      </c>
      <c r="D80" s="234">
        <v>1020</v>
      </c>
      <c r="E80" s="220">
        <v>2.9399999999999999E-2</v>
      </c>
      <c r="F80" s="234">
        <f t="shared" si="3"/>
        <v>29.988</v>
      </c>
      <c r="G80" s="219">
        <v>95.86</v>
      </c>
      <c r="H80" s="219">
        <f t="shared" si="4"/>
        <v>0</v>
      </c>
      <c r="I80" s="219">
        <v>202</v>
      </c>
      <c r="J80" s="219"/>
      <c r="K80" s="219"/>
      <c r="L80" s="219"/>
      <c r="M80" s="219">
        <v>19.36</v>
      </c>
      <c r="N80" s="219"/>
      <c r="O80" s="219">
        <v>19.36</v>
      </c>
    </row>
    <row r="81" spans="1:15" x14ac:dyDescent="0.35">
      <c r="A81" s="14" t="s">
        <v>928</v>
      </c>
      <c r="B81" s="219" t="s">
        <v>309</v>
      </c>
      <c r="C81" s="219" t="s">
        <v>308</v>
      </c>
      <c r="D81" s="234">
        <f>4*33</f>
        <v>132</v>
      </c>
      <c r="E81" s="219"/>
      <c r="F81" s="154">
        <f t="shared" si="3"/>
        <v>0</v>
      </c>
      <c r="G81" s="232">
        <v>1363.23</v>
      </c>
      <c r="H81" s="219" t="e">
        <f t="shared" si="4"/>
        <v>#DIV/0!</v>
      </c>
      <c r="I81" s="219">
        <v>299.8</v>
      </c>
      <c r="J81" s="219"/>
      <c r="K81" s="219"/>
      <c r="L81" s="219">
        <v>149.15</v>
      </c>
      <c r="M81" s="219">
        <v>408.7</v>
      </c>
      <c r="N81" s="219"/>
      <c r="O81" s="219">
        <v>557.85</v>
      </c>
    </row>
    <row r="82" spans="1:15" x14ac:dyDescent="0.35">
      <c r="A82" s="10" t="s">
        <v>994</v>
      </c>
      <c r="B82" s="10" t="s">
        <v>309</v>
      </c>
      <c r="C82" s="10" t="s">
        <v>308</v>
      </c>
      <c r="D82" s="211">
        <f>SUM(D61:D81)</f>
        <v>9759.2199999999993</v>
      </c>
      <c r="E82" s="10"/>
      <c r="F82" s="211">
        <f>SUM(F61:F81)</f>
        <v>1041.4077440000001</v>
      </c>
      <c r="G82" s="10">
        <f>SUM(G61:G81)</f>
        <v>5983.3099999999995</v>
      </c>
      <c r="H82" s="10">
        <f t="shared" si="4"/>
        <v>8148.7775070741172</v>
      </c>
      <c r="I82" s="12">
        <f>M82/G82*10</f>
        <v>1.8562635063200805</v>
      </c>
      <c r="J82" s="10">
        <f>SUM(J61:J81)</f>
        <v>9304.99</v>
      </c>
      <c r="K82" s="25">
        <f>L82/J82</f>
        <v>9.1200527888799468E-2</v>
      </c>
      <c r="L82" s="10">
        <f>SUM(L61:L81)</f>
        <v>848.62000000000012</v>
      </c>
      <c r="M82" s="10">
        <f>SUM(M61:M81)</f>
        <v>1110.6600000000001</v>
      </c>
      <c r="N82" s="10">
        <f>SUM(N61:N81)</f>
        <v>134.06</v>
      </c>
      <c r="O82" s="10">
        <f>SUM(O61:O81)</f>
        <v>2093.34</v>
      </c>
    </row>
    <row r="83" spans="1:15" x14ac:dyDescent="0.35">
      <c r="F83" s="174"/>
      <c r="G83" s="173"/>
    </row>
    <row r="84" spans="1:15" x14ac:dyDescent="0.35">
      <c r="A84" s="10" t="s">
        <v>158</v>
      </c>
      <c r="B84" s="10" t="s">
        <v>157</v>
      </c>
      <c r="C84" s="10" t="s">
        <v>1008</v>
      </c>
      <c r="D84" s="10" t="s">
        <v>871</v>
      </c>
      <c r="E84" s="10" t="s">
        <v>872</v>
      </c>
      <c r="F84" s="10" t="s">
        <v>873</v>
      </c>
      <c r="G84" s="10" t="s">
        <v>874</v>
      </c>
      <c r="H84" s="10" t="s">
        <v>182</v>
      </c>
      <c r="I84" s="10" t="s">
        <v>877</v>
      </c>
      <c r="J84" s="10" t="s">
        <v>875</v>
      </c>
      <c r="K84" s="10" t="s">
        <v>876</v>
      </c>
      <c r="L84" s="10" t="s">
        <v>878</v>
      </c>
      <c r="M84" s="10" t="s">
        <v>879</v>
      </c>
      <c r="N84" s="10" t="s">
        <v>880</v>
      </c>
      <c r="O84" s="10" t="s">
        <v>1006</v>
      </c>
    </row>
    <row r="85" spans="1:15" x14ac:dyDescent="0.35">
      <c r="A85" s="219" t="s">
        <v>521</v>
      </c>
      <c r="B85" s="219" t="s">
        <v>304</v>
      </c>
      <c r="C85" s="219" t="s">
        <v>304</v>
      </c>
      <c r="D85" s="219">
        <v>440</v>
      </c>
      <c r="E85" s="220">
        <v>0.1159</v>
      </c>
      <c r="F85" s="230">
        <f>D85*E85</f>
        <v>50.996000000000002</v>
      </c>
      <c r="G85" s="234">
        <v>388.08</v>
      </c>
      <c r="H85" s="219">
        <f>L85/F85*10^7/10^3</f>
        <v>0</v>
      </c>
      <c r="I85" s="219">
        <v>258.5</v>
      </c>
      <c r="J85" s="219"/>
      <c r="K85" s="219"/>
      <c r="L85" s="219"/>
      <c r="M85" s="219">
        <v>100.32</v>
      </c>
      <c r="N85" s="219"/>
      <c r="O85" s="219">
        <v>100.32</v>
      </c>
    </row>
    <row r="86" spans="1:15" x14ac:dyDescent="0.35">
      <c r="A86" s="219" t="s">
        <v>929</v>
      </c>
      <c r="B86" s="219" t="s">
        <v>304</v>
      </c>
      <c r="C86" s="219" t="s">
        <v>304</v>
      </c>
      <c r="D86" s="219">
        <f>220*2</f>
        <v>440</v>
      </c>
      <c r="E86" s="220">
        <v>0.2273</v>
      </c>
      <c r="F86" s="230">
        <f>D86*E86</f>
        <v>100.012</v>
      </c>
      <c r="G86" s="234">
        <v>716.22</v>
      </c>
      <c r="H86" s="219">
        <f>L86/F86*10^7/10^3</f>
        <v>0</v>
      </c>
      <c r="I86" s="219">
        <v>288.13</v>
      </c>
      <c r="J86" s="219"/>
      <c r="K86" s="219"/>
      <c r="L86" s="219"/>
      <c r="M86" s="219">
        <v>206.36</v>
      </c>
      <c r="N86" s="219"/>
      <c r="O86" s="219">
        <v>206.36</v>
      </c>
    </row>
    <row r="87" spans="1:15" x14ac:dyDescent="0.35">
      <c r="A87" s="219" t="s">
        <v>930</v>
      </c>
      <c r="B87" s="219" t="s">
        <v>304</v>
      </c>
      <c r="C87" s="219" t="s">
        <v>304</v>
      </c>
      <c r="D87" s="219">
        <f>220*2</f>
        <v>440</v>
      </c>
      <c r="E87" s="220">
        <v>0.1041</v>
      </c>
      <c r="F87" s="230">
        <f>D87*E87</f>
        <v>45.804000000000002</v>
      </c>
      <c r="G87" s="234">
        <v>245.99</v>
      </c>
      <c r="H87" s="219">
        <f>L87/F87*10^7/10^3</f>
        <v>0</v>
      </c>
      <c r="I87" s="219">
        <v>353.64</v>
      </c>
      <c r="J87" s="219"/>
      <c r="K87" s="219"/>
      <c r="L87" s="219"/>
      <c r="M87" s="219">
        <v>86.99</v>
      </c>
      <c r="N87" s="219"/>
      <c r="O87" s="219">
        <v>86.99</v>
      </c>
    </row>
    <row r="88" spans="1:15" x14ac:dyDescent="0.35">
      <c r="A88" s="10" t="s">
        <v>759</v>
      </c>
      <c r="B88" s="10" t="s">
        <v>304</v>
      </c>
      <c r="C88" s="10" t="s">
        <v>304</v>
      </c>
      <c r="D88" s="211">
        <f>SUM(D85:D87)</f>
        <v>1320</v>
      </c>
      <c r="E88" s="10"/>
      <c r="F88" s="211">
        <f>SUM(F85:F87)</f>
        <v>196.81200000000001</v>
      </c>
      <c r="G88" s="211">
        <f>SUM(G85:G87)</f>
        <v>1350.29</v>
      </c>
      <c r="H88" s="10">
        <f>L88/F88*10^7/10^3</f>
        <v>0</v>
      </c>
      <c r="I88" s="12">
        <f>M88/G88*10</f>
        <v>2.915447792696384</v>
      </c>
      <c r="J88" s="211">
        <f>SUM(J85:J87)</f>
        <v>0</v>
      </c>
      <c r="K88" s="10"/>
      <c r="L88" s="211">
        <f>SUM(L85:L87)</f>
        <v>0</v>
      </c>
      <c r="M88" s="211">
        <f>SUM(M85:M87)</f>
        <v>393.67</v>
      </c>
      <c r="N88" s="211">
        <f>SUM(N85:N87)</f>
        <v>0</v>
      </c>
      <c r="O88" s="211">
        <f>SUM(O85:O87)</f>
        <v>393.67</v>
      </c>
    </row>
    <row r="89" spans="1:15" x14ac:dyDescent="0.35">
      <c r="F89" s="174"/>
      <c r="G89" s="173"/>
    </row>
    <row r="90" spans="1:15" x14ac:dyDescent="0.35">
      <c r="F90" s="174"/>
      <c r="G90" s="173"/>
    </row>
    <row r="91" spans="1:15" x14ac:dyDescent="0.35">
      <c r="A91" s="10" t="s">
        <v>158</v>
      </c>
      <c r="B91" s="10" t="s">
        <v>157</v>
      </c>
      <c r="C91" s="10" t="s">
        <v>264</v>
      </c>
      <c r="D91" s="10" t="s">
        <v>871</v>
      </c>
      <c r="E91" s="10" t="s">
        <v>872</v>
      </c>
      <c r="F91" s="10" t="s">
        <v>873</v>
      </c>
      <c r="G91" s="10" t="s">
        <v>874</v>
      </c>
      <c r="H91" s="10" t="s">
        <v>182</v>
      </c>
      <c r="I91" s="10" t="s">
        <v>877</v>
      </c>
      <c r="J91" s="10" t="s">
        <v>875</v>
      </c>
      <c r="K91" s="10" t="s">
        <v>876</v>
      </c>
      <c r="L91" s="10" t="s">
        <v>878</v>
      </c>
      <c r="M91" s="10" t="s">
        <v>879</v>
      </c>
      <c r="N91" s="10" t="s">
        <v>880</v>
      </c>
      <c r="O91" s="10" t="s">
        <v>1006</v>
      </c>
    </row>
    <row r="92" spans="1:15" x14ac:dyDescent="0.35">
      <c r="A92" s="219" t="s">
        <v>351</v>
      </c>
      <c r="B92" s="219"/>
      <c r="C92" s="219"/>
      <c r="D92" s="219"/>
      <c r="E92" s="219"/>
      <c r="F92" s="230"/>
      <c r="G92" s="242">
        <v>1712.28</v>
      </c>
      <c r="H92" s="232"/>
      <c r="I92" s="219">
        <v>590</v>
      </c>
      <c r="J92" s="219"/>
      <c r="K92" s="219"/>
      <c r="L92" s="219"/>
      <c r="M92" s="232">
        <v>1010.25</v>
      </c>
      <c r="N92" s="219"/>
      <c r="O92" s="232">
        <v>1010.25</v>
      </c>
    </row>
    <row r="93" spans="1:15" ht="29" x14ac:dyDescent="0.35">
      <c r="A93" s="243" t="s">
        <v>931</v>
      </c>
      <c r="B93" s="219"/>
      <c r="C93" s="219"/>
      <c r="D93" s="219"/>
      <c r="E93" s="219"/>
      <c r="F93" s="230"/>
      <c r="G93" s="242">
        <v>294.88</v>
      </c>
      <c r="H93" s="219"/>
      <c r="I93" s="219">
        <v>462.73</v>
      </c>
      <c r="J93" s="219"/>
      <c r="K93" s="219"/>
      <c r="L93" s="219"/>
      <c r="M93" s="219">
        <v>136.44999999999999</v>
      </c>
      <c r="N93" s="219"/>
      <c r="O93" s="219">
        <v>136.44999999999999</v>
      </c>
    </row>
    <row r="94" spans="1:15" x14ac:dyDescent="0.35">
      <c r="A94" s="10" t="s">
        <v>999</v>
      </c>
      <c r="B94" s="10"/>
      <c r="C94" s="10"/>
      <c r="D94" s="10"/>
      <c r="E94" s="10"/>
      <c r="F94" s="211">
        <f>Capacity!K324</f>
        <v>868.39666666666665</v>
      </c>
      <c r="G94" s="244">
        <f>SUM(G92:G93)</f>
        <v>2007.1599999999999</v>
      </c>
      <c r="H94" s="245"/>
      <c r="I94" s="12">
        <f>M94/G94*10</f>
        <v>5.7130472906992971</v>
      </c>
      <c r="J94" s="10"/>
      <c r="K94" s="10"/>
      <c r="L94" s="10">
        <f>SUM(L92)</f>
        <v>0</v>
      </c>
      <c r="M94" s="244">
        <f>SUM(M92:M93)</f>
        <v>1146.7</v>
      </c>
      <c r="N94" s="10"/>
      <c r="O94" s="244">
        <f>SUM(O92:O93)</f>
        <v>1146.7</v>
      </c>
    </row>
    <row r="95" spans="1:15" x14ac:dyDescent="0.35">
      <c r="F95" s="174"/>
      <c r="G95" s="173"/>
    </row>
    <row r="96" spans="1:15" x14ac:dyDescent="0.35">
      <c r="F96" s="174"/>
      <c r="G96" s="173"/>
    </row>
    <row r="97" spans="1:15" x14ac:dyDescent="0.35">
      <c r="A97" s="10" t="s">
        <v>158</v>
      </c>
      <c r="B97" s="10" t="s">
        <v>157</v>
      </c>
      <c r="C97" s="10" t="s">
        <v>264</v>
      </c>
      <c r="D97" s="10" t="s">
        <v>871</v>
      </c>
      <c r="E97" s="10" t="s">
        <v>872</v>
      </c>
      <c r="F97" s="10" t="s">
        <v>873</v>
      </c>
      <c r="G97" s="10" t="s">
        <v>874</v>
      </c>
      <c r="H97" s="10" t="s">
        <v>182</v>
      </c>
      <c r="I97" s="10" t="s">
        <v>1009</v>
      </c>
      <c r="J97" s="10" t="s">
        <v>875</v>
      </c>
      <c r="K97" s="10" t="s">
        <v>876</v>
      </c>
      <c r="L97" s="10" t="s">
        <v>878</v>
      </c>
      <c r="M97" s="10" t="s">
        <v>879</v>
      </c>
      <c r="N97" s="10" t="s">
        <v>880</v>
      </c>
      <c r="O97" s="10" t="s">
        <v>1006</v>
      </c>
    </row>
    <row r="98" spans="1:15" x14ac:dyDescent="0.35">
      <c r="A98" s="219" t="s">
        <v>932</v>
      </c>
      <c r="B98" s="219"/>
      <c r="C98" s="219"/>
      <c r="D98" s="219"/>
      <c r="E98" s="219"/>
      <c r="F98" s="219"/>
      <c r="G98" s="219">
        <v>1458.86</v>
      </c>
      <c r="H98" s="219"/>
      <c r="I98" s="219">
        <v>5.319</v>
      </c>
      <c r="J98" s="219"/>
      <c r="K98" s="219"/>
      <c r="L98" s="219"/>
      <c r="M98" s="219">
        <v>775.97</v>
      </c>
      <c r="N98" s="219"/>
      <c r="O98" s="219"/>
    </row>
    <row r="99" spans="1:15" x14ac:dyDescent="0.35">
      <c r="A99" s="219" t="s">
        <v>1213</v>
      </c>
      <c r="B99" s="219" t="s">
        <v>452</v>
      </c>
      <c r="C99" s="219" t="s">
        <v>452</v>
      </c>
      <c r="D99" s="219"/>
      <c r="E99" s="219"/>
      <c r="F99" s="234">
        <f>Capacity!L324</f>
        <v>280.31666666666666</v>
      </c>
      <c r="G99" s="232">
        <f>1458.86*F99/($F$99+$F$100)</f>
        <v>902.77664152470652</v>
      </c>
      <c r="H99" s="232"/>
      <c r="I99" s="348">
        <f>M99/G99*10</f>
        <v>7.1047233362808022</v>
      </c>
      <c r="J99" s="219"/>
      <c r="K99" s="219"/>
      <c r="L99" s="219"/>
      <c r="M99" s="219">
        <f>M98-M100</f>
        <v>641.39782724897907</v>
      </c>
      <c r="N99" s="219"/>
      <c r="O99" s="219">
        <f>L99+M99+N99</f>
        <v>641.39782724897907</v>
      </c>
    </row>
    <row r="100" spans="1:15" x14ac:dyDescent="0.35">
      <c r="A100" s="352" t="s">
        <v>1214</v>
      </c>
      <c r="B100" s="219" t="s">
        <v>995</v>
      </c>
      <c r="C100" s="219" t="s">
        <v>761</v>
      </c>
      <c r="D100" s="219"/>
      <c r="E100" s="219"/>
      <c r="F100" s="234">
        <f>Capacity!M324</f>
        <v>172.66666666666666</v>
      </c>
      <c r="G100" s="232">
        <f>1458.86*F100/($F$99+$F$100)</f>
        <v>556.08335847529327</v>
      </c>
      <c r="H100" s="232"/>
      <c r="I100" s="219">
        <v>2.42</v>
      </c>
      <c r="J100" s="219"/>
      <c r="K100" s="219"/>
      <c r="L100" s="219"/>
      <c r="M100" s="219">
        <f>I100*G100/10</f>
        <v>134.57217275102096</v>
      </c>
      <c r="N100" s="219"/>
      <c r="O100" s="219">
        <f>L100+M100+N100</f>
        <v>134.57217275102096</v>
      </c>
    </row>
    <row r="101" spans="1:15" x14ac:dyDescent="0.35">
      <c r="A101" s="350"/>
      <c r="F101" s="349"/>
      <c r="G101" s="351"/>
      <c r="H101" s="175"/>
      <c r="M101" s="173">
        <v>775.97</v>
      </c>
    </row>
  </sheetData>
  <hyperlinks>
    <hyperlink ref="B17" r:id="rId1"/>
  </hyperlinks>
  <pageMargins left="0.7" right="0.7" top="0.75" bottom="0.75" header="0.3" footer="0.3"/>
  <pageSetup orientation="portrait"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16"/>
  <sheetViews>
    <sheetView workbookViewId="0">
      <pane xSplit="5" topLeftCell="F1" activePane="topRight" state="frozen"/>
      <selection pane="topRight"/>
    </sheetView>
  </sheetViews>
  <sheetFormatPr defaultColWidth="8.7265625" defaultRowHeight="14.5" x14ac:dyDescent="0.35"/>
  <cols>
    <col min="1" max="1" width="21" style="148" customWidth="1"/>
    <col min="2" max="2" width="16.453125" style="148" customWidth="1"/>
    <col min="3" max="3" width="19.453125" style="148" customWidth="1"/>
    <col min="4" max="4" width="8.7265625" style="148"/>
    <col min="5" max="5" width="9.26953125" style="148" customWidth="1"/>
    <col min="6" max="16384" width="8.7265625" style="148"/>
  </cols>
  <sheetData>
    <row r="1" spans="1:6" s="51" customFormat="1" ht="29" x14ac:dyDescent="0.35">
      <c r="A1" s="50" t="s">
        <v>157</v>
      </c>
      <c r="B1" s="50" t="s">
        <v>180</v>
      </c>
      <c r="C1" s="50" t="s">
        <v>146</v>
      </c>
      <c r="D1" s="50" t="s">
        <v>703</v>
      </c>
      <c r="E1" s="50" t="s">
        <v>182</v>
      </c>
      <c r="F1" s="50" t="s">
        <v>142</v>
      </c>
    </row>
    <row r="2" spans="1:6" s="51" customFormat="1" ht="15" customHeight="1" x14ac:dyDescent="0.35">
      <c r="A2" s="63" t="s">
        <v>143</v>
      </c>
      <c r="B2" s="63" t="s">
        <v>750</v>
      </c>
      <c r="C2" s="108">
        <f>H38</f>
        <v>5118.9720000000007</v>
      </c>
      <c r="D2" s="108">
        <f>I38</f>
        <v>28468.178780487808</v>
      </c>
      <c r="E2" s="108">
        <f>J38</f>
        <v>6984.8985304080561</v>
      </c>
      <c r="F2" s="73">
        <f>K38</f>
        <v>2.4896532375605034</v>
      </c>
    </row>
    <row r="3" spans="1:6" s="51" customFormat="1" x14ac:dyDescent="0.35">
      <c r="A3" s="63" t="s">
        <v>144</v>
      </c>
      <c r="B3" s="63" t="s">
        <v>750</v>
      </c>
      <c r="C3" s="108">
        <f>H49</f>
        <v>3602.8500000000004</v>
      </c>
      <c r="D3" s="108">
        <f>I49</f>
        <v>23781.802305765184</v>
      </c>
      <c r="E3" s="108">
        <f>J49</f>
        <v>8964.5634075044109</v>
      </c>
      <c r="F3" s="73">
        <f>K49</f>
        <v>2.5521775784747507</v>
      </c>
    </row>
    <row r="4" spans="1:6" s="51" customFormat="1" x14ac:dyDescent="0.35">
      <c r="A4" s="63" t="s">
        <v>1612</v>
      </c>
      <c r="B4" s="63" t="s">
        <v>750</v>
      </c>
      <c r="C4" s="108">
        <f>H51</f>
        <v>8721.8220000000001</v>
      </c>
      <c r="D4" s="108">
        <f>I51</f>
        <v>52249.981086252992</v>
      </c>
      <c r="E4" s="108">
        <f>J51</f>
        <v>7802.6675243690206</v>
      </c>
      <c r="F4" s="73">
        <f>K51</f>
        <v>2.5181114586738524</v>
      </c>
    </row>
    <row r="5" spans="1:6" s="51" customFormat="1" x14ac:dyDescent="0.35">
      <c r="A5" s="45" t="s">
        <v>1613</v>
      </c>
      <c r="B5" s="63" t="s">
        <v>750</v>
      </c>
      <c r="C5" s="106">
        <f>H61</f>
        <v>966.57999999999993</v>
      </c>
      <c r="D5" s="106">
        <f>I61</f>
        <v>3074.56</v>
      </c>
      <c r="E5" s="106">
        <f>J61</f>
        <v>8381.8204390738501</v>
      </c>
      <c r="F5" s="44">
        <f>K61</f>
        <v>2.278700041631974</v>
      </c>
    </row>
    <row r="6" spans="1:6" s="51" customFormat="1" x14ac:dyDescent="0.35">
      <c r="A6" s="45" t="s">
        <v>1614</v>
      </c>
      <c r="B6" s="63" t="s">
        <v>750</v>
      </c>
      <c r="C6" s="106">
        <v>0</v>
      </c>
      <c r="D6" s="106">
        <v>0</v>
      </c>
      <c r="E6" s="106">
        <v>0</v>
      </c>
      <c r="F6" s="44">
        <v>0</v>
      </c>
    </row>
    <row r="7" spans="1:6" s="51" customFormat="1" x14ac:dyDescent="0.35">
      <c r="A7" s="45" t="s">
        <v>1615</v>
      </c>
      <c r="B7" s="63" t="s">
        <v>750</v>
      </c>
      <c r="C7" s="106">
        <f>H82</f>
        <v>1708.4639999999999</v>
      </c>
      <c r="D7" s="106">
        <f>I82</f>
        <v>8649.89</v>
      </c>
      <c r="E7" s="106">
        <f>J82</f>
        <v>0</v>
      </c>
      <c r="F7" s="44">
        <f>K82</f>
        <v>3.2410007526107276</v>
      </c>
    </row>
    <row r="8" spans="1:6" s="51" customFormat="1" x14ac:dyDescent="0.35">
      <c r="A8" s="45" t="s">
        <v>1604</v>
      </c>
      <c r="B8" s="63" t="s">
        <v>750</v>
      </c>
      <c r="C8" s="106">
        <f>H68</f>
        <v>1388.9414225941423</v>
      </c>
      <c r="D8" s="106">
        <f>I68</f>
        <v>4678.97</v>
      </c>
      <c r="E8" s="106">
        <f>J68</f>
        <v>4692.4945098310927</v>
      </c>
      <c r="F8" s="44">
        <f>K68</f>
        <v>0</v>
      </c>
    </row>
    <row r="9" spans="1:6" s="51" customFormat="1" x14ac:dyDescent="0.35">
      <c r="A9" s="45" t="s">
        <v>1603</v>
      </c>
      <c r="B9" s="63" t="s">
        <v>750</v>
      </c>
      <c r="C9" s="106">
        <f>H73</f>
        <v>925.9585774058578</v>
      </c>
      <c r="D9" s="106">
        <f>I73</f>
        <v>1026</v>
      </c>
      <c r="E9" s="106">
        <f>J73</f>
        <v>1773.7294519170678</v>
      </c>
      <c r="F9" s="44">
        <f>K73</f>
        <v>0</v>
      </c>
    </row>
    <row r="10" spans="1:6" s="51" customFormat="1" x14ac:dyDescent="0.35">
      <c r="A10" s="45" t="s">
        <v>1605</v>
      </c>
      <c r="B10" s="63" t="s">
        <v>750</v>
      </c>
      <c r="C10" s="106">
        <f>H97</f>
        <v>986.99</v>
      </c>
      <c r="D10" s="106">
        <f>I97</f>
        <v>729.72</v>
      </c>
      <c r="E10" s="106">
        <f>J97</f>
        <v>0</v>
      </c>
      <c r="F10" s="44">
        <f>K97</f>
        <v>3.08</v>
      </c>
    </row>
    <row r="11" spans="1:6" s="51" customFormat="1" x14ac:dyDescent="0.35">
      <c r="A11" s="45" t="s">
        <v>1636</v>
      </c>
      <c r="B11" s="63" t="s">
        <v>750</v>
      </c>
      <c r="C11" s="108">
        <f>H93</f>
        <v>2724.55</v>
      </c>
      <c r="D11" s="108">
        <f>I93</f>
        <v>2293.9</v>
      </c>
      <c r="E11" s="108">
        <f>J93</f>
        <v>0</v>
      </c>
      <c r="F11" s="73">
        <f>K93</f>
        <v>6.85</v>
      </c>
    </row>
    <row r="12" spans="1:6" s="51" customFormat="1" x14ac:dyDescent="0.35">
      <c r="A12" s="45" t="s">
        <v>145</v>
      </c>
      <c r="B12" s="63" t="s">
        <v>750</v>
      </c>
      <c r="C12" s="108">
        <v>0</v>
      </c>
      <c r="D12" s="108">
        <v>0</v>
      </c>
      <c r="E12" s="108">
        <v>0</v>
      </c>
      <c r="F12" s="73">
        <v>0</v>
      </c>
    </row>
    <row r="13" spans="1:6" s="51" customFormat="1" x14ac:dyDescent="0.35">
      <c r="A13" s="63" t="s">
        <v>1606</v>
      </c>
      <c r="B13" s="63" t="s">
        <v>750</v>
      </c>
      <c r="C13" s="108">
        <f>H89</f>
        <v>8468.11</v>
      </c>
      <c r="D13" s="108">
        <f>I89</f>
        <v>6325.56</v>
      </c>
      <c r="E13" s="108">
        <f>J89</f>
        <v>0</v>
      </c>
      <c r="F13" s="73">
        <f>K89</f>
        <v>3.0793795331954792</v>
      </c>
    </row>
    <row r="14" spans="1:6" s="51" customFormat="1" x14ac:dyDescent="0.35">
      <c r="A14" s="221"/>
      <c r="B14" s="221"/>
      <c r="C14" s="222"/>
      <c r="D14" s="222"/>
      <c r="E14" s="201"/>
    </row>
    <row r="15" spans="1:6" s="51" customFormat="1" x14ac:dyDescent="0.35">
      <c r="A15" s="221"/>
      <c r="B15" s="221"/>
      <c r="C15" s="222"/>
      <c r="D15" s="222"/>
      <c r="E15" s="201"/>
    </row>
    <row r="16" spans="1:6" x14ac:dyDescent="0.35">
      <c r="A16" s="1" t="s">
        <v>49</v>
      </c>
    </row>
    <row r="17" spans="1:15" ht="87" x14ac:dyDescent="0.35">
      <c r="A17" s="176" t="s">
        <v>933</v>
      </c>
      <c r="B17" s="177" t="s">
        <v>934</v>
      </c>
    </row>
    <row r="18" spans="1:15" x14ac:dyDescent="0.35">
      <c r="A18" s="2" t="s">
        <v>935</v>
      </c>
      <c r="B18" s="2" t="s">
        <v>936</v>
      </c>
    </row>
    <row r="19" spans="1:15" x14ac:dyDescent="0.35">
      <c r="A19" s="2" t="s">
        <v>937</v>
      </c>
      <c r="B19" s="2" t="s">
        <v>938</v>
      </c>
    </row>
    <row r="20" spans="1:15" x14ac:dyDescent="0.35">
      <c r="A20" s="2" t="s">
        <v>939</v>
      </c>
      <c r="B20" s="2" t="s">
        <v>1014</v>
      </c>
    </row>
    <row r="21" spans="1:15" x14ac:dyDescent="0.35">
      <c r="A21" s="2"/>
      <c r="B21" s="2"/>
    </row>
    <row r="22" spans="1:15" x14ac:dyDescent="0.35">
      <c r="A22" s="178" t="s">
        <v>274</v>
      </c>
      <c r="B22" s="170"/>
      <c r="C22" s="170"/>
      <c r="D22" s="170"/>
      <c r="E22" s="170"/>
      <c r="F22" s="170"/>
      <c r="G22" s="170"/>
      <c r="H22" s="170"/>
      <c r="I22" s="170"/>
      <c r="J22" s="170"/>
      <c r="K22" s="170"/>
      <c r="L22" s="170"/>
      <c r="M22" s="170"/>
      <c r="N22" s="170"/>
      <c r="O22" s="20"/>
    </row>
    <row r="23" spans="1:15" ht="72.5" x14ac:dyDescent="0.35">
      <c r="A23" s="10" t="s">
        <v>1011</v>
      </c>
      <c r="B23" s="10" t="s">
        <v>940</v>
      </c>
      <c r="C23" s="10" t="s">
        <v>264</v>
      </c>
      <c r="D23" s="13" t="s">
        <v>941</v>
      </c>
      <c r="E23" s="13" t="s">
        <v>942</v>
      </c>
      <c r="F23" s="13" t="s">
        <v>945</v>
      </c>
      <c r="G23" s="13" t="s">
        <v>939</v>
      </c>
      <c r="H23" s="13" t="s">
        <v>943</v>
      </c>
      <c r="I23" s="13" t="s">
        <v>944</v>
      </c>
      <c r="J23" s="13" t="s">
        <v>182</v>
      </c>
      <c r="K23" s="13" t="s">
        <v>946</v>
      </c>
      <c r="L23" s="13" t="s">
        <v>947</v>
      </c>
      <c r="M23" s="13" t="s">
        <v>948</v>
      </c>
      <c r="N23" s="13" t="s">
        <v>949</v>
      </c>
      <c r="O23" s="13" t="s">
        <v>1015</v>
      </c>
    </row>
    <row r="24" spans="1:15" x14ac:dyDescent="0.35">
      <c r="A24" s="3" t="s">
        <v>950</v>
      </c>
      <c r="B24" s="3" t="s">
        <v>273</v>
      </c>
      <c r="C24" s="3" t="s">
        <v>274</v>
      </c>
      <c r="D24" s="3">
        <v>210</v>
      </c>
      <c r="E24" s="3">
        <f>210*5</f>
        <v>1050</v>
      </c>
      <c r="F24" s="3">
        <v>810.86</v>
      </c>
      <c r="G24" s="31">
        <v>1</v>
      </c>
      <c r="H24" s="3">
        <f t="shared" ref="H24:H37" si="0">G24*E24</f>
        <v>1050</v>
      </c>
      <c r="I24" s="14">
        <v>5811.71</v>
      </c>
      <c r="J24" s="3">
        <f t="shared" ref="J24:J30" si="1">F24/H24*10^7/10^3</f>
        <v>7722.4761904761899</v>
      </c>
      <c r="K24" s="3">
        <v>3.02</v>
      </c>
      <c r="L24" s="14">
        <f>K24*I24/10</f>
        <v>1755.13642</v>
      </c>
      <c r="M24" s="3">
        <v>12.68</v>
      </c>
      <c r="N24" s="21">
        <v>1064.29</v>
      </c>
      <c r="O24" s="23">
        <f t="shared" ref="O24:O38" si="2">I24/(H24*8.76)</f>
        <v>0.63184496629702114</v>
      </c>
    </row>
    <row r="25" spans="1:15" x14ac:dyDescent="0.35">
      <c r="A25" s="3" t="s">
        <v>951</v>
      </c>
      <c r="B25" s="3" t="s">
        <v>273</v>
      </c>
      <c r="C25" s="3" t="s">
        <v>274</v>
      </c>
      <c r="D25" s="3">
        <v>210</v>
      </c>
      <c r="E25" s="3">
        <f>210*4</f>
        <v>840</v>
      </c>
      <c r="F25" s="3">
        <v>582.34</v>
      </c>
      <c r="G25" s="31">
        <v>1</v>
      </c>
      <c r="H25" s="3">
        <f t="shared" si="0"/>
        <v>840</v>
      </c>
      <c r="I25" s="21">
        <v>5386.35</v>
      </c>
      <c r="J25" s="3">
        <f t="shared" si="1"/>
        <v>6932.6190476190477</v>
      </c>
      <c r="K25" s="3">
        <v>2.88</v>
      </c>
      <c r="L25" s="21">
        <v>1551.41</v>
      </c>
      <c r="M25" s="3">
        <v>3.96</v>
      </c>
      <c r="N25" s="21">
        <v>2133.75</v>
      </c>
      <c r="O25" s="23">
        <f t="shared" si="2"/>
        <v>0.73200016307893023</v>
      </c>
    </row>
    <row r="26" spans="1:15" x14ac:dyDescent="0.35">
      <c r="A26" s="3" t="s">
        <v>952</v>
      </c>
      <c r="B26" s="3" t="s">
        <v>273</v>
      </c>
      <c r="C26" s="3" t="s">
        <v>274</v>
      </c>
      <c r="D26" s="3">
        <v>210</v>
      </c>
      <c r="E26" s="3">
        <f>210*3</f>
        <v>630</v>
      </c>
      <c r="F26" s="3">
        <v>473.05</v>
      </c>
      <c r="G26" s="31">
        <v>1</v>
      </c>
      <c r="H26" s="3">
        <f t="shared" si="0"/>
        <v>630</v>
      </c>
      <c r="I26" s="21">
        <f>7694.78*E26/(E26+E42)</f>
        <v>3941.2287804878042</v>
      </c>
      <c r="J26" s="3">
        <f t="shared" si="1"/>
        <v>7508.7301587301599</v>
      </c>
      <c r="K26" s="3">
        <v>2.11</v>
      </c>
      <c r="L26" s="21">
        <f>1626.71*I26/(I26+I42)</f>
        <v>833.19292682926823</v>
      </c>
      <c r="M26" s="14">
        <v>2.73</v>
      </c>
      <c r="N26" s="21">
        <v>2099.7600000000002</v>
      </c>
      <c r="O26" s="23">
        <f t="shared" si="2"/>
        <v>0.71414597022682547</v>
      </c>
    </row>
    <row r="27" spans="1:15" x14ac:dyDescent="0.35">
      <c r="A27" s="3" t="s">
        <v>953</v>
      </c>
      <c r="B27" s="3" t="s">
        <v>273</v>
      </c>
      <c r="C27" s="3" t="s">
        <v>274</v>
      </c>
      <c r="D27" s="3" t="s">
        <v>954</v>
      </c>
      <c r="E27" s="3">
        <f>(3*200)+(3*500)</f>
        <v>2100</v>
      </c>
      <c r="F27" s="3">
        <v>195.23</v>
      </c>
      <c r="G27" s="22">
        <v>0.23430000000000001</v>
      </c>
      <c r="H27" s="3">
        <f t="shared" si="0"/>
        <v>492.03000000000003</v>
      </c>
      <c r="I27" s="21">
        <v>3727.4</v>
      </c>
      <c r="J27" s="3">
        <f t="shared" si="1"/>
        <v>3967.8474889742492</v>
      </c>
      <c r="K27" s="3">
        <v>2.2599999999999998</v>
      </c>
      <c r="L27" s="3">
        <v>842.39</v>
      </c>
      <c r="M27" s="3">
        <v>2.78</v>
      </c>
      <c r="N27" s="21">
        <v>1037.6199999999999</v>
      </c>
      <c r="O27" s="23">
        <f t="shared" si="2"/>
        <v>0.86478930777599494</v>
      </c>
    </row>
    <row r="28" spans="1:15" x14ac:dyDescent="0.35">
      <c r="A28" s="3" t="s">
        <v>955</v>
      </c>
      <c r="B28" s="3" t="s">
        <v>273</v>
      </c>
      <c r="C28" s="3" t="s">
        <v>274</v>
      </c>
      <c r="D28" s="3">
        <v>500</v>
      </c>
      <c r="E28" s="3">
        <v>500</v>
      </c>
      <c r="F28" s="3">
        <v>75.55</v>
      </c>
      <c r="G28" s="22">
        <v>0.2467</v>
      </c>
      <c r="H28" s="3">
        <f t="shared" si="0"/>
        <v>123.35</v>
      </c>
      <c r="I28" s="3">
        <v>941.14</v>
      </c>
      <c r="J28" s="3">
        <f t="shared" si="1"/>
        <v>6124.8479935143896</v>
      </c>
      <c r="K28" s="3">
        <v>2.16</v>
      </c>
      <c r="L28" s="3">
        <v>203.29</v>
      </c>
      <c r="M28" s="3">
        <v>2.96</v>
      </c>
      <c r="N28" s="3">
        <v>278.83999999999997</v>
      </c>
      <c r="O28" s="23">
        <f t="shared" si="2"/>
        <v>0.87098559431990874</v>
      </c>
    </row>
    <row r="29" spans="1:15" x14ac:dyDescent="0.35">
      <c r="A29" s="14" t="s">
        <v>956</v>
      </c>
      <c r="B29" s="3" t="s">
        <v>273</v>
      </c>
      <c r="C29" s="3" t="s">
        <v>274</v>
      </c>
      <c r="D29" s="3">
        <v>50</v>
      </c>
      <c r="E29" s="3">
        <f>(6*50)+(3*100)</f>
        <v>600</v>
      </c>
      <c r="F29" s="3">
        <v>251.05</v>
      </c>
      <c r="G29" s="3"/>
      <c r="H29" s="3">
        <f t="shared" si="0"/>
        <v>0</v>
      </c>
      <c r="I29" s="21">
        <v>0</v>
      </c>
      <c r="J29" s="3" t="e">
        <f t="shared" si="1"/>
        <v>#DIV/0!</v>
      </c>
      <c r="K29" s="3">
        <v>3.36</v>
      </c>
      <c r="L29" s="3" t="s">
        <v>129</v>
      </c>
      <c r="M29" s="3" t="s">
        <v>129</v>
      </c>
      <c r="N29" s="3">
        <v>251.05</v>
      </c>
      <c r="O29" s="23" t="e">
        <f t="shared" si="2"/>
        <v>#DIV/0!</v>
      </c>
    </row>
    <row r="30" spans="1:15" x14ac:dyDescent="0.35">
      <c r="A30" s="3" t="s">
        <v>957</v>
      </c>
      <c r="B30" s="3" t="s">
        <v>273</v>
      </c>
      <c r="C30" s="3" t="s">
        <v>274</v>
      </c>
      <c r="D30" s="3">
        <v>210</v>
      </c>
      <c r="E30" s="3">
        <f>3*210</f>
        <v>630</v>
      </c>
      <c r="F30" s="3">
        <v>182.52</v>
      </c>
      <c r="G30" s="22">
        <v>0.29520000000000002</v>
      </c>
      <c r="H30" s="3">
        <f t="shared" si="0"/>
        <v>185.976</v>
      </c>
      <c r="I30" s="21">
        <v>1189.45</v>
      </c>
      <c r="J30" s="3">
        <f t="shared" si="1"/>
        <v>9814.1695702671313</v>
      </c>
      <c r="K30" s="3">
        <v>2.6</v>
      </c>
      <c r="L30" s="3">
        <v>309.26</v>
      </c>
      <c r="M30" s="3">
        <v>4.13</v>
      </c>
      <c r="N30" s="3">
        <v>491.78</v>
      </c>
      <c r="O30" s="23">
        <f t="shared" si="2"/>
        <v>0.73010476335828089</v>
      </c>
    </row>
    <row r="31" spans="1:15" x14ac:dyDescent="0.35">
      <c r="A31" s="14" t="s">
        <v>958</v>
      </c>
      <c r="B31" s="3" t="s">
        <v>273</v>
      </c>
      <c r="C31" s="3" t="s">
        <v>274</v>
      </c>
      <c r="D31" s="3">
        <v>210</v>
      </c>
      <c r="E31" s="3">
        <f>4*210</f>
        <v>840</v>
      </c>
      <c r="F31" s="3"/>
      <c r="G31" s="22">
        <v>0.33110000000000001</v>
      </c>
      <c r="H31" s="3">
        <f t="shared" si="0"/>
        <v>278.12400000000002</v>
      </c>
      <c r="I31" s="21"/>
      <c r="J31" s="3"/>
      <c r="K31" s="3"/>
      <c r="L31" s="3"/>
      <c r="M31" s="3"/>
      <c r="N31" s="3"/>
      <c r="O31" s="23">
        <f t="shared" si="2"/>
        <v>0</v>
      </c>
    </row>
    <row r="32" spans="1:15" x14ac:dyDescent="0.35">
      <c r="A32" s="3" t="s">
        <v>959</v>
      </c>
      <c r="B32" s="3" t="s">
        <v>273</v>
      </c>
      <c r="C32" s="3" t="s">
        <v>274</v>
      </c>
      <c r="D32" s="3">
        <v>500</v>
      </c>
      <c r="E32" s="14">
        <f>4*500</f>
        <v>2000</v>
      </c>
      <c r="F32" s="3">
        <v>258.12</v>
      </c>
      <c r="G32" s="22">
        <v>0.2424</v>
      </c>
      <c r="H32" s="3">
        <f t="shared" si="0"/>
        <v>484.8</v>
      </c>
      <c r="I32" s="21">
        <v>3231.59</v>
      </c>
      <c r="J32" s="3">
        <f t="shared" ref="J32:J38" si="3">F32/H32*10^7/10^3</f>
        <v>5324.2574257425749</v>
      </c>
      <c r="K32" s="3">
        <v>1.65</v>
      </c>
      <c r="L32" s="3">
        <v>533.21</v>
      </c>
      <c r="M32" s="3">
        <v>2.4500000000000002</v>
      </c>
      <c r="N32" s="3">
        <v>791.33</v>
      </c>
      <c r="O32" s="23">
        <f t="shared" si="2"/>
        <v>0.7609384654218847</v>
      </c>
    </row>
    <row r="33" spans="1:15" x14ac:dyDescent="0.35">
      <c r="A33" s="3" t="s">
        <v>960</v>
      </c>
      <c r="B33" s="3" t="s">
        <v>273</v>
      </c>
      <c r="C33" s="3" t="s">
        <v>274</v>
      </c>
      <c r="D33" s="3">
        <v>500</v>
      </c>
      <c r="E33" s="3">
        <f>500*4</f>
        <v>2000</v>
      </c>
      <c r="F33" s="3">
        <v>199</v>
      </c>
      <c r="G33" s="22">
        <f>21.08%/2</f>
        <v>0.10539999999999999</v>
      </c>
      <c r="H33" s="3">
        <f t="shared" si="0"/>
        <v>210.79999999999998</v>
      </c>
      <c r="I33" s="21">
        <v>1541.23</v>
      </c>
      <c r="J33" s="3">
        <f t="shared" si="3"/>
        <v>9440.2277039848213</v>
      </c>
      <c r="K33" s="3">
        <v>2.68</v>
      </c>
      <c r="L33" s="3">
        <v>413.05</v>
      </c>
      <c r="M33" s="3">
        <v>3.97</v>
      </c>
      <c r="N33" s="3">
        <v>612.04999999999995</v>
      </c>
      <c r="O33" s="23">
        <f t="shared" si="2"/>
        <v>0.83462759827749056</v>
      </c>
    </row>
    <row r="34" spans="1:15" x14ac:dyDescent="0.35">
      <c r="A34" s="3" t="s">
        <v>961</v>
      </c>
      <c r="B34" s="3" t="s">
        <v>273</v>
      </c>
      <c r="C34" s="3" t="s">
        <v>274</v>
      </c>
      <c r="D34" s="3">
        <v>77</v>
      </c>
      <c r="E34" s="3">
        <v>77</v>
      </c>
      <c r="F34" s="3">
        <v>33.89</v>
      </c>
      <c r="G34" s="31">
        <v>1</v>
      </c>
      <c r="H34" s="3">
        <f t="shared" si="0"/>
        <v>77</v>
      </c>
      <c r="I34" s="3">
        <v>358.63</v>
      </c>
      <c r="J34" s="3">
        <f t="shared" si="3"/>
        <v>4401.2987012987014</v>
      </c>
      <c r="K34" s="3">
        <v>1.97</v>
      </c>
      <c r="L34" s="3">
        <v>70.650000000000006</v>
      </c>
      <c r="M34" s="3">
        <v>2.91</v>
      </c>
      <c r="N34" s="3">
        <v>104.54</v>
      </c>
      <c r="O34" s="23">
        <f t="shared" si="2"/>
        <v>0.53168178853110359</v>
      </c>
    </row>
    <row r="35" spans="1:15" x14ac:dyDescent="0.35">
      <c r="A35" s="14" t="s">
        <v>962</v>
      </c>
      <c r="B35" s="14" t="s">
        <v>273</v>
      </c>
      <c r="C35" s="14" t="s">
        <v>274</v>
      </c>
      <c r="D35" s="14">
        <v>660</v>
      </c>
      <c r="E35" s="3">
        <f>2*210</f>
        <v>420</v>
      </c>
      <c r="F35" s="3">
        <v>166.33</v>
      </c>
      <c r="G35" s="31">
        <v>0.54010000000000002</v>
      </c>
      <c r="H35" s="3">
        <f t="shared" si="0"/>
        <v>226.84200000000001</v>
      </c>
      <c r="I35" s="21">
        <v>1408.57</v>
      </c>
      <c r="J35" s="3">
        <f t="shared" si="3"/>
        <v>7332.416395552852</v>
      </c>
      <c r="K35" s="3">
        <v>2.4900000000000002</v>
      </c>
      <c r="L35" s="3">
        <v>350.73</v>
      </c>
      <c r="M35" s="3">
        <v>3.67</v>
      </c>
      <c r="N35" s="3">
        <v>517.05999999999995</v>
      </c>
      <c r="O35" s="23">
        <f t="shared" si="2"/>
        <v>0.70884431498777389</v>
      </c>
    </row>
    <row r="36" spans="1:15" x14ac:dyDescent="0.35">
      <c r="A36" s="14" t="s">
        <v>963</v>
      </c>
      <c r="B36" s="14" t="s">
        <v>273</v>
      </c>
      <c r="C36" s="14" t="s">
        <v>274</v>
      </c>
      <c r="D36" s="14">
        <v>660</v>
      </c>
      <c r="E36" s="14">
        <f>2*250</f>
        <v>500</v>
      </c>
      <c r="F36" s="3">
        <v>128.68</v>
      </c>
      <c r="G36" s="31">
        <v>0.54010000000000002</v>
      </c>
      <c r="H36" s="3">
        <f t="shared" si="0"/>
        <v>270.05</v>
      </c>
      <c r="I36" s="3">
        <v>930.88</v>
      </c>
      <c r="J36" s="3">
        <f t="shared" si="3"/>
        <v>4765.043510461026</v>
      </c>
      <c r="K36" s="3">
        <v>2.42</v>
      </c>
      <c r="L36" s="3">
        <v>225.27</v>
      </c>
      <c r="M36" s="3">
        <v>3.8</v>
      </c>
      <c r="N36" s="3">
        <v>353.95</v>
      </c>
      <c r="O36" s="23">
        <f t="shared" si="2"/>
        <v>0.39350061167431366</v>
      </c>
    </row>
    <row r="37" spans="1:15" x14ac:dyDescent="0.35">
      <c r="A37" s="3" t="s">
        <v>964</v>
      </c>
      <c r="B37" s="3" t="s">
        <v>273</v>
      </c>
      <c r="C37" s="3" t="s">
        <v>274</v>
      </c>
      <c r="D37" s="3">
        <v>250</v>
      </c>
      <c r="E37" s="3">
        <v>250</v>
      </c>
      <c r="F37" s="3">
        <v>218.93</v>
      </c>
      <c r="G37" s="31">
        <v>1</v>
      </c>
      <c r="H37" s="3">
        <f t="shared" si="0"/>
        <v>250</v>
      </c>
      <c r="I37" s="3">
        <v>0</v>
      </c>
      <c r="J37" s="3">
        <f t="shared" si="3"/>
        <v>8757.2000000000007</v>
      </c>
      <c r="K37" s="3">
        <v>3.44</v>
      </c>
      <c r="L37" s="3" t="s">
        <v>129</v>
      </c>
      <c r="M37" s="3" t="s">
        <v>129</v>
      </c>
      <c r="N37" s="3">
        <v>218.93</v>
      </c>
      <c r="O37" s="23">
        <f t="shared" si="2"/>
        <v>0</v>
      </c>
    </row>
    <row r="38" spans="1:15" x14ac:dyDescent="0.35">
      <c r="A38" s="10" t="s">
        <v>1010</v>
      </c>
      <c r="B38" s="10" t="s">
        <v>273</v>
      </c>
      <c r="C38" s="10" t="s">
        <v>274</v>
      </c>
      <c r="D38" s="10"/>
      <c r="E38" s="10">
        <f>SUM(E24:E37)</f>
        <v>12437</v>
      </c>
      <c r="F38" s="10">
        <f>SUM(F24:F37)</f>
        <v>3575.5499999999997</v>
      </c>
      <c r="G38" s="25">
        <f>H38/E38</f>
        <v>0.41159218461043667</v>
      </c>
      <c r="H38" s="10">
        <f>SUM(H24:H37)</f>
        <v>5118.9720000000007</v>
      </c>
      <c r="I38" s="10">
        <f>SUM(I24:I37)</f>
        <v>28468.178780487808</v>
      </c>
      <c r="J38" s="10">
        <f t="shared" si="3"/>
        <v>6984.8985304080561</v>
      </c>
      <c r="K38" s="12">
        <f>L38/I38*10</f>
        <v>2.4896532375605034</v>
      </c>
      <c r="L38" s="10">
        <f>SUM(L24:L37)</f>
        <v>7087.5893468292688</v>
      </c>
      <c r="M38" s="12">
        <f>N38/I38*10</f>
        <v>3.4968692857946921</v>
      </c>
      <c r="N38" s="10">
        <f>SUM(N24:N37)</f>
        <v>9954.9500000000007</v>
      </c>
      <c r="O38" s="25">
        <f t="shared" si="2"/>
        <v>0.63485248566102748</v>
      </c>
    </row>
    <row r="40" spans="1:15" x14ac:dyDescent="0.35">
      <c r="A40" s="180" t="s">
        <v>284</v>
      </c>
      <c r="B40" s="151"/>
      <c r="C40" s="151"/>
      <c r="D40" s="151"/>
      <c r="E40" s="151"/>
      <c r="F40" s="151"/>
      <c r="G40" s="151"/>
      <c r="H40" s="151"/>
      <c r="I40" s="151"/>
      <c r="J40" s="151"/>
      <c r="K40" s="151"/>
      <c r="L40" s="151"/>
      <c r="M40" s="151"/>
      <c r="N40" s="151"/>
      <c r="O40" s="20"/>
    </row>
    <row r="41" spans="1:15" ht="72.5" x14ac:dyDescent="0.35">
      <c r="A41" s="10" t="s">
        <v>1011</v>
      </c>
      <c r="B41" s="10" t="s">
        <v>940</v>
      </c>
      <c r="C41" s="10" t="s">
        <v>264</v>
      </c>
      <c r="D41" s="13" t="s">
        <v>941</v>
      </c>
      <c r="E41" s="13" t="s">
        <v>942</v>
      </c>
      <c r="F41" s="13" t="s">
        <v>945</v>
      </c>
      <c r="G41" s="13" t="s">
        <v>939</v>
      </c>
      <c r="H41" s="13" t="s">
        <v>943</v>
      </c>
      <c r="I41" s="13" t="s">
        <v>944</v>
      </c>
      <c r="J41" s="13" t="s">
        <v>182</v>
      </c>
      <c r="K41" s="13" t="s">
        <v>946</v>
      </c>
      <c r="L41" s="13" t="s">
        <v>947</v>
      </c>
      <c r="M41" s="13" t="s">
        <v>948</v>
      </c>
      <c r="N41" s="13" t="s">
        <v>949</v>
      </c>
      <c r="O41" s="13" t="s">
        <v>1015</v>
      </c>
    </row>
    <row r="42" spans="1:15" x14ac:dyDescent="0.35">
      <c r="A42" s="3" t="s">
        <v>952</v>
      </c>
      <c r="B42" s="3" t="s">
        <v>273</v>
      </c>
      <c r="C42" s="3" t="s">
        <v>284</v>
      </c>
      <c r="D42" s="3">
        <v>600</v>
      </c>
      <c r="E42" s="3">
        <v>600</v>
      </c>
      <c r="F42" s="3">
        <f>928.29/2</f>
        <v>464.14499999999998</v>
      </c>
      <c r="G42" s="31">
        <v>1</v>
      </c>
      <c r="H42" s="3">
        <f t="shared" ref="H42:H48" si="4">G42*E42</f>
        <v>600</v>
      </c>
      <c r="I42" s="21">
        <f>7694.78*E42/(E26+E42)</f>
        <v>3753.5512195121951</v>
      </c>
      <c r="J42" s="3">
        <f>F42/H42*10^7/10^3</f>
        <v>7735.75</v>
      </c>
      <c r="K42" s="3">
        <v>2.11</v>
      </c>
      <c r="L42" s="21">
        <f>1626.71*I42/(I26+I42)</f>
        <v>793.51707317073181</v>
      </c>
      <c r="M42" s="14">
        <v>2.73</v>
      </c>
      <c r="N42" s="21">
        <v>2099.7600000000002</v>
      </c>
      <c r="O42" s="23">
        <f>I42/(H42*8.76)</f>
        <v>0.71414597022682558</v>
      </c>
    </row>
    <row r="43" spans="1:15" x14ac:dyDescent="0.35">
      <c r="A43" s="3" t="s">
        <v>965</v>
      </c>
      <c r="B43" s="3" t="s">
        <v>273</v>
      </c>
      <c r="C43" s="3" t="s">
        <v>284</v>
      </c>
      <c r="D43" s="3">
        <v>600</v>
      </c>
      <c r="E43" s="3">
        <v>600</v>
      </c>
      <c r="F43" s="3">
        <f>928.29/2</f>
        <v>464.14499999999998</v>
      </c>
      <c r="G43" s="31">
        <v>1</v>
      </c>
      <c r="H43" s="3">
        <f t="shared" si="4"/>
        <v>600</v>
      </c>
      <c r="I43" s="21">
        <v>3847.39</v>
      </c>
      <c r="J43" s="3">
        <f>F43/H43*10^7/10^3</f>
        <v>7735.75</v>
      </c>
      <c r="K43" s="3">
        <v>2.97</v>
      </c>
      <c r="L43" s="21">
        <v>1144.29</v>
      </c>
      <c r="M43" s="3">
        <v>5.39</v>
      </c>
      <c r="N43" s="21">
        <v>2072.58</v>
      </c>
      <c r="O43" s="23">
        <f>I43/(H43*8.76)</f>
        <v>0.73199961948249614</v>
      </c>
    </row>
    <row r="44" spans="1:15" x14ac:dyDescent="0.35">
      <c r="A44" s="3" t="s">
        <v>966</v>
      </c>
      <c r="B44" s="3" t="s">
        <v>273</v>
      </c>
      <c r="C44" s="3" t="s">
        <v>493</v>
      </c>
      <c r="D44" s="3">
        <v>210</v>
      </c>
      <c r="E44" s="3">
        <f>600</f>
        <v>600</v>
      </c>
      <c r="F44" s="3">
        <v>700.97</v>
      </c>
      <c r="G44" s="31">
        <v>1</v>
      </c>
      <c r="H44" s="3">
        <f t="shared" si="4"/>
        <v>600</v>
      </c>
      <c r="I44" s="21">
        <v>4039.76</v>
      </c>
      <c r="J44" s="3">
        <f>F44/H44*10^7/10^3</f>
        <v>11682.833333333334</v>
      </c>
      <c r="K44" s="3">
        <v>2.29</v>
      </c>
      <c r="L44" s="3">
        <v>926.73</v>
      </c>
      <c r="M44" s="3">
        <v>4.03</v>
      </c>
      <c r="N44" s="21">
        <v>1627.7</v>
      </c>
      <c r="O44" s="23">
        <f>I44/(H44*8.76)</f>
        <v>0.76859969558599694</v>
      </c>
    </row>
    <row r="45" spans="1:15" x14ac:dyDescent="0.35">
      <c r="A45" s="3" t="s">
        <v>967</v>
      </c>
      <c r="B45" s="3" t="s">
        <v>273</v>
      </c>
      <c r="C45" s="3" t="s">
        <v>493</v>
      </c>
      <c r="D45" s="3">
        <v>500</v>
      </c>
      <c r="E45" s="3">
        <f>2*500</f>
        <v>1000</v>
      </c>
      <c r="F45" s="3">
        <v>375.18</v>
      </c>
      <c r="G45" s="252">
        <v>0.41399999999999998</v>
      </c>
      <c r="H45" s="3">
        <f t="shared" si="4"/>
        <v>414</v>
      </c>
      <c r="I45" s="21">
        <v>2597.54</v>
      </c>
      <c r="J45" s="3">
        <f>F45/H45*10^7/10^3</f>
        <v>9062.31884057971</v>
      </c>
      <c r="K45" s="3">
        <v>2.56</v>
      </c>
      <c r="L45" s="3">
        <v>664.97</v>
      </c>
      <c r="M45" s="3">
        <v>4</v>
      </c>
      <c r="N45" s="21">
        <v>1040.1500000000001</v>
      </c>
      <c r="O45" s="23">
        <f>I45/(H45*8.76)</f>
        <v>0.71623872234354669</v>
      </c>
    </row>
    <row r="46" spans="1:15" x14ac:dyDescent="0.35">
      <c r="A46" s="3" t="s">
        <v>968</v>
      </c>
      <c r="B46" s="3" t="s">
        <v>273</v>
      </c>
      <c r="C46" s="3" t="s">
        <v>493</v>
      </c>
      <c r="D46" s="3">
        <v>500</v>
      </c>
      <c r="E46" s="3">
        <f>3*500</f>
        <v>1500</v>
      </c>
      <c r="F46" s="3">
        <v>953.97</v>
      </c>
      <c r="G46" s="31">
        <v>0.7107</v>
      </c>
      <c r="H46" s="3">
        <f t="shared" si="4"/>
        <v>1066.05</v>
      </c>
      <c r="I46" s="21">
        <v>7075.96</v>
      </c>
      <c r="J46" s="3">
        <f>F46/H46*10^7/10^3</f>
        <v>8948.6421837624894</v>
      </c>
      <c r="K46" s="3">
        <v>2.4</v>
      </c>
      <c r="L46" s="21">
        <v>1698.23</v>
      </c>
      <c r="M46" s="3">
        <v>3.75</v>
      </c>
      <c r="N46" s="21">
        <v>2652.2</v>
      </c>
      <c r="O46" s="23">
        <f>I46/(H46*8.76)</f>
        <v>0.75771116820747608</v>
      </c>
    </row>
    <row r="47" spans="1:15" x14ac:dyDescent="0.35">
      <c r="A47" s="14" t="s">
        <v>1013</v>
      </c>
      <c r="B47" s="3" t="s">
        <v>273</v>
      </c>
      <c r="C47" s="3" t="s">
        <v>284</v>
      </c>
      <c r="D47" s="3"/>
      <c r="E47" s="3">
        <v>2400</v>
      </c>
      <c r="F47" s="3">
        <f>H47*J47*10^3/10^7</f>
        <v>247.35772727272729</v>
      </c>
      <c r="G47" s="31">
        <v>0.13450000000000001</v>
      </c>
      <c r="H47" s="3">
        <f t="shared" si="4"/>
        <v>322.8</v>
      </c>
      <c r="I47" s="21">
        <f>H47*O47*8.76</f>
        <v>2142.6010862529902</v>
      </c>
      <c r="J47" s="3">
        <f>AP!K75</f>
        <v>7662.878787878788</v>
      </c>
      <c r="K47" s="3">
        <f>AP!F75</f>
        <v>3.58</v>
      </c>
      <c r="L47" s="21">
        <f>K47*I47/10</f>
        <v>767.05118887857054</v>
      </c>
      <c r="M47" s="11">
        <f>N47/I47*10</f>
        <v>4.7344740122638038</v>
      </c>
      <c r="N47" s="21">
        <f>F47+L47</f>
        <v>1014.4089161512978</v>
      </c>
      <c r="O47" s="23">
        <f>O46</f>
        <v>0.75771116820747608</v>
      </c>
    </row>
    <row r="48" spans="1:15" x14ac:dyDescent="0.35">
      <c r="A48" s="248" t="s">
        <v>969</v>
      </c>
      <c r="B48" s="3" t="s">
        <v>273</v>
      </c>
      <c r="C48" s="3"/>
      <c r="D48" s="3"/>
      <c r="E48" s="3"/>
      <c r="F48" s="3">
        <v>24.03</v>
      </c>
      <c r="G48" s="31">
        <v>1</v>
      </c>
      <c r="H48" s="3">
        <f t="shared" si="4"/>
        <v>0</v>
      </c>
      <c r="I48" s="3">
        <v>325</v>
      </c>
      <c r="J48" s="3" t="e">
        <f>F48/H48*10^7/10^3</f>
        <v>#DIV/0!</v>
      </c>
      <c r="K48" s="3">
        <v>2.2999999999999998</v>
      </c>
      <c r="L48" s="3">
        <v>74.75</v>
      </c>
      <c r="M48" s="3">
        <v>3.04</v>
      </c>
      <c r="N48" s="3">
        <v>98.78</v>
      </c>
      <c r="O48" s="23" t="e">
        <f>I48/(H48*8.76)</f>
        <v>#DIV/0!</v>
      </c>
    </row>
    <row r="49" spans="1:15" x14ac:dyDescent="0.35">
      <c r="A49" s="10" t="s">
        <v>41</v>
      </c>
      <c r="B49" s="10"/>
      <c r="C49" s="10"/>
      <c r="D49" s="10"/>
      <c r="E49" s="244">
        <f>SUM(E42:E48)</f>
        <v>6700</v>
      </c>
      <c r="F49" s="244">
        <f>SUM(F42:F48)</f>
        <v>3229.7977272727271</v>
      </c>
      <c r="G49" s="25">
        <f>H49/E49</f>
        <v>0.53773880597014934</v>
      </c>
      <c r="H49" s="244">
        <f>SUM(H42:H48)</f>
        <v>3602.8500000000004</v>
      </c>
      <c r="I49" s="244">
        <f>SUM(I42:I48)</f>
        <v>23781.802305765184</v>
      </c>
      <c r="J49" s="10">
        <f>F49/H49*10^7/10^3</f>
        <v>8964.5634075044109</v>
      </c>
      <c r="K49" s="12">
        <f>L49/I49*10</f>
        <v>2.5521775784747507</v>
      </c>
      <c r="L49" s="244">
        <f>SUM(L42:L48)</f>
        <v>6069.5382620493028</v>
      </c>
      <c r="M49" s="12">
        <f>N49/I49*10</f>
        <v>4.459535395927622</v>
      </c>
      <c r="N49" s="244">
        <f>SUM(N42:N48)</f>
        <v>10605.578916151298</v>
      </c>
      <c r="O49" s="25">
        <f>I49/(H49*8.76)</f>
        <v>0.75351946786943025</v>
      </c>
    </row>
    <row r="50" spans="1:15" x14ac:dyDescent="0.35">
      <c r="J50" s="250"/>
      <c r="K50" s="251"/>
    </row>
    <row r="51" spans="1:15" x14ac:dyDescent="0.35">
      <c r="A51" s="10" t="s">
        <v>757</v>
      </c>
      <c r="B51" s="10" t="s">
        <v>273</v>
      </c>
      <c r="C51" s="10" t="s">
        <v>690</v>
      </c>
      <c r="D51" s="10"/>
      <c r="E51" s="245">
        <f>E38+E49</f>
        <v>19137</v>
      </c>
      <c r="F51" s="245">
        <f>F38+F49</f>
        <v>6805.3477272727268</v>
      </c>
      <c r="G51" s="25">
        <f>H51/E51</f>
        <v>0.45575701520614514</v>
      </c>
      <c r="H51" s="245">
        <f>H38+H49</f>
        <v>8721.8220000000001</v>
      </c>
      <c r="I51" s="245">
        <f>I38+I49</f>
        <v>52249.981086252992</v>
      </c>
      <c r="J51" s="10">
        <f>F51/H51*10^7/10^3</f>
        <v>7802.6675243690206</v>
      </c>
      <c r="K51" s="12">
        <f>L51/I51*10</f>
        <v>2.5181114586738524</v>
      </c>
      <c r="L51" s="245">
        <f>L38+L49</f>
        <v>13157.127608878571</v>
      </c>
      <c r="M51" s="12">
        <f>N51/I51*10</f>
        <v>3.9350308820610822</v>
      </c>
      <c r="N51" s="245">
        <f>N38+N49</f>
        <v>20560.528916151299</v>
      </c>
      <c r="O51" s="25">
        <f>I51/(H51*8.76)</f>
        <v>0.68387198374864555</v>
      </c>
    </row>
    <row r="52" spans="1:15" x14ac:dyDescent="0.35">
      <c r="A52" s="171"/>
    </row>
    <row r="53" spans="1:15" x14ac:dyDescent="0.35">
      <c r="A53" s="180" t="s">
        <v>970</v>
      </c>
      <c r="B53" s="151"/>
      <c r="C53" s="151"/>
      <c r="D53" s="151"/>
      <c r="E53" s="151"/>
      <c r="F53" s="151"/>
      <c r="G53" s="151"/>
      <c r="H53" s="151"/>
      <c r="I53" s="151"/>
      <c r="J53" s="151"/>
      <c r="K53" s="151"/>
      <c r="L53" s="151"/>
      <c r="M53" s="151"/>
      <c r="N53" s="151"/>
      <c r="O53" s="20"/>
    </row>
    <row r="54" spans="1:15" ht="72.5" x14ac:dyDescent="0.35">
      <c r="A54" s="10" t="s">
        <v>1011</v>
      </c>
      <c r="B54" s="10" t="s">
        <v>940</v>
      </c>
      <c r="C54" s="10" t="s">
        <v>264</v>
      </c>
      <c r="D54" s="13" t="s">
        <v>941</v>
      </c>
      <c r="E54" s="13" t="s">
        <v>942</v>
      </c>
      <c r="F54" s="13" t="s">
        <v>945</v>
      </c>
      <c r="G54" s="13" t="s">
        <v>939</v>
      </c>
      <c r="H54" s="13" t="s">
        <v>943</v>
      </c>
      <c r="I54" s="13" t="s">
        <v>944</v>
      </c>
      <c r="J54" s="13" t="s">
        <v>182</v>
      </c>
      <c r="K54" s="13" t="s">
        <v>946</v>
      </c>
      <c r="L54" s="13" t="s">
        <v>947</v>
      </c>
      <c r="M54" s="13" t="s">
        <v>948</v>
      </c>
      <c r="N54" s="13" t="s">
        <v>949</v>
      </c>
      <c r="O54" s="13" t="s">
        <v>1015</v>
      </c>
    </row>
    <row r="55" spans="1:15" x14ac:dyDescent="0.35">
      <c r="A55" s="3" t="s">
        <v>971</v>
      </c>
      <c r="B55" s="3" t="s">
        <v>301</v>
      </c>
      <c r="C55" s="3" t="s">
        <v>433</v>
      </c>
      <c r="D55" s="3">
        <v>107.88</v>
      </c>
      <c r="E55" s="3">
        <f>D55</f>
        <v>107.88</v>
      </c>
      <c r="F55" s="3">
        <v>129.36000000000001</v>
      </c>
      <c r="G55" s="23">
        <v>1</v>
      </c>
      <c r="H55" s="3">
        <f t="shared" ref="H55:H60" si="5">E55</f>
        <v>107.88</v>
      </c>
      <c r="I55" s="3">
        <v>710.66</v>
      </c>
      <c r="J55" s="3">
        <f t="shared" ref="J55:J61" si="6">F55/H55*10^7/10^3</f>
        <v>11991.10122358176</v>
      </c>
      <c r="K55" s="3">
        <v>2.38</v>
      </c>
      <c r="L55" s="3">
        <v>168.84</v>
      </c>
      <c r="M55" s="3">
        <v>4.2</v>
      </c>
      <c r="N55" s="3">
        <v>298.2</v>
      </c>
      <c r="O55" s="23">
        <f t="shared" ref="O55:O61" si="7">I55/(H55*8.76)</f>
        <v>0.75199824597938181</v>
      </c>
    </row>
    <row r="56" spans="1:15" x14ac:dyDescent="0.35">
      <c r="A56" s="3" t="s">
        <v>972</v>
      </c>
      <c r="B56" s="3" t="s">
        <v>301</v>
      </c>
      <c r="C56" s="3" t="s">
        <v>433</v>
      </c>
      <c r="D56" s="3">
        <v>101</v>
      </c>
      <c r="E56" s="3">
        <f>D56</f>
        <v>101</v>
      </c>
      <c r="F56" s="3">
        <v>105.48</v>
      </c>
      <c r="G56" s="23">
        <v>1</v>
      </c>
      <c r="H56" s="3">
        <f t="shared" si="5"/>
        <v>101</v>
      </c>
      <c r="I56" s="3">
        <v>665.34</v>
      </c>
      <c r="J56" s="3">
        <f t="shared" si="6"/>
        <v>10443.564356435643</v>
      </c>
      <c r="K56" s="3">
        <v>2.41</v>
      </c>
      <c r="L56" s="3">
        <v>160.36000000000001</v>
      </c>
      <c r="M56" s="3">
        <v>4</v>
      </c>
      <c r="N56" s="3">
        <v>265.83999999999997</v>
      </c>
      <c r="O56" s="23">
        <f t="shared" si="7"/>
        <v>0.75200054252000548</v>
      </c>
    </row>
    <row r="57" spans="1:15" x14ac:dyDescent="0.35">
      <c r="A57" s="3" t="s">
        <v>973</v>
      </c>
      <c r="B57" s="3" t="s">
        <v>301</v>
      </c>
      <c r="C57" s="3" t="s">
        <v>433</v>
      </c>
      <c r="D57" s="3">
        <v>30</v>
      </c>
      <c r="E57" s="3">
        <f>4*30</f>
        <v>120</v>
      </c>
      <c r="F57" s="3">
        <v>218.08</v>
      </c>
      <c r="G57" s="23">
        <v>1</v>
      </c>
      <c r="H57" s="3">
        <f t="shared" si="5"/>
        <v>120</v>
      </c>
      <c r="I57" s="3" t="s">
        <v>129</v>
      </c>
      <c r="J57" s="3">
        <f t="shared" si="6"/>
        <v>18173.333333333336</v>
      </c>
      <c r="K57" s="3">
        <v>10.76</v>
      </c>
      <c r="L57" s="3" t="s">
        <v>129</v>
      </c>
      <c r="M57" s="3" t="s">
        <v>129</v>
      </c>
      <c r="N57" s="3">
        <v>218.08</v>
      </c>
      <c r="O57" s="23" t="e">
        <f t="shared" si="7"/>
        <v>#VALUE!</v>
      </c>
    </row>
    <row r="58" spans="1:15" x14ac:dyDescent="0.35">
      <c r="A58" s="3" t="s">
        <v>974</v>
      </c>
      <c r="B58" s="3" t="s">
        <v>301</v>
      </c>
      <c r="C58" s="3" t="s">
        <v>433</v>
      </c>
      <c r="D58" s="3" t="s">
        <v>1012</v>
      </c>
      <c r="E58" s="3">
        <f>95+92.2</f>
        <v>187.2</v>
      </c>
      <c r="F58" s="3">
        <v>208.1</v>
      </c>
      <c r="G58" s="23">
        <v>1</v>
      </c>
      <c r="H58" s="3">
        <f t="shared" si="5"/>
        <v>187.2</v>
      </c>
      <c r="I58" s="21">
        <v>1231.8699999999999</v>
      </c>
      <c r="J58" s="3">
        <f t="shared" si="6"/>
        <v>11116.452991452992</v>
      </c>
      <c r="K58" s="3">
        <v>2.27</v>
      </c>
      <c r="L58" s="3">
        <v>279.93</v>
      </c>
      <c r="M58" s="3">
        <v>3.96</v>
      </c>
      <c r="N58" s="3">
        <v>488.03</v>
      </c>
      <c r="O58" s="23">
        <f t="shared" si="7"/>
        <v>0.75119887405846308</v>
      </c>
    </row>
    <row r="59" spans="1:15" x14ac:dyDescent="0.35">
      <c r="A59" s="3" t="s">
        <v>975</v>
      </c>
      <c r="B59" s="3" t="s">
        <v>301</v>
      </c>
      <c r="C59" s="3" t="s">
        <v>433</v>
      </c>
      <c r="D59" s="3">
        <v>330.5</v>
      </c>
      <c r="E59" s="3">
        <f>D59</f>
        <v>330.5</v>
      </c>
      <c r="F59" s="3">
        <v>104.73</v>
      </c>
      <c r="G59" s="23">
        <v>1</v>
      </c>
      <c r="H59" s="3">
        <f t="shared" si="5"/>
        <v>330.5</v>
      </c>
      <c r="I59" s="3" t="s">
        <v>129</v>
      </c>
      <c r="J59" s="3">
        <f t="shared" si="6"/>
        <v>3168.8350983358546</v>
      </c>
      <c r="K59" s="3">
        <v>7.47</v>
      </c>
      <c r="L59" s="3" t="s">
        <v>129</v>
      </c>
      <c r="M59" s="3" t="s">
        <v>129</v>
      </c>
      <c r="N59" s="3">
        <v>104.73</v>
      </c>
      <c r="O59" s="23" t="e">
        <f t="shared" si="7"/>
        <v>#VALUE!</v>
      </c>
    </row>
    <row r="60" spans="1:15" x14ac:dyDescent="0.35">
      <c r="A60" s="3" t="s">
        <v>976</v>
      </c>
      <c r="B60" s="3" t="s">
        <v>301</v>
      </c>
      <c r="C60" s="3" t="s">
        <v>433</v>
      </c>
      <c r="D60" s="3">
        <v>120</v>
      </c>
      <c r="E60" s="3">
        <f>D60</f>
        <v>120</v>
      </c>
      <c r="F60" s="3">
        <v>44.42</v>
      </c>
      <c r="G60" s="23">
        <v>1</v>
      </c>
      <c r="H60" s="3">
        <f t="shared" si="5"/>
        <v>120</v>
      </c>
      <c r="I60" s="3">
        <v>466.69</v>
      </c>
      <c r="J60" s="3">
        <f t="shared" si="6"/>
        <v>3701.666666666667</v>
      </c>
      <c r="K60" s="3">
        <v>1.96</v>
      </c>
      <c r="L60" s="3">
        <v>91.47</v>
      </c>
      <c r="M60" s="3">
        <v>2.91</v>
      </c>
      <c r="N60" s="3">
        <v>135.88999999999999</v>
      </c>
      <c r="O60" s="23">
        <f t="shared" si="7"/>
        <v>0.44395928462709283</v>
      </c>
    </row>
    <row r="61" spans="1:15" x14ac:dyDescent="0.35">
      <c r="A61" s="10" t="s">
        <v>758</v>
      </c>
      <c r="B61" s="10"/>
      <c r="C61" s="10"/>
      <c r="D61" s="10"/>
      <c r="E61" s="10">
        <f>SUM(E55:E60)</f>
        <v>966.57999999999993</v>
      </c>
      <c r="F61" s="10">
        <f>SUM(F55:F60)</f>
        <v>810.17000000000007</v>
      </c>
      <c r="G61" s="25">
        <v>1</v>
      </c>
      <c r="H61" s="10">
        <f>SUM(H55:H60)</f>
        <v>966.57999999999993</v>
      </c>
      <c r="I61" s="10">
        <f>SUM(I55:I60)</f>
        <v>3074.56</v>
      </c>
      <c r="J61" s="10">
        <f t="shared" si="6"/>
        <v>8381.8204390738501</v>
      </c>
      <c r="K61" s="12">
        <f>L61/I61*10</f>
        <v>2.278700041631974</v>
      </c>
      <c r="L61" s="10">
        <f>SUM(L55:L60)</f>
        <v>700.60000000000014</v>
      </c>
      <c r="M61" s="12">
        <f>N61/I61*10</f>
        <v>4.913776280183181</v>
      </c>
      <c r="N61" s="10">
        <f>SUM(N55:N60)</f>
        <v>1510.77</v>
      </c>
      <c r="O61" s="25">
        <f t="shared" si="7"/>
        <v>0.36311238485150915</v>
      </c>
    </row>
    <row r="62" spans="1:15" x14ac:dyDescent="0.35">
      <c r="I62" s="179"/>
    </row>
    <row r="63" spans="1:15" x14ac:dyDescent="0.35">
      <c r="A63" s="180" t="s">
        <v>977</v>
      </c>
      <c r="B63" s="151"/>
      <c r="C63" s="151"/>
      <c r="D63" s="151"/>
      <c r="E63" s="151"/>
      <c r="F63" s="151"/>
      <c r="G63" s="151"/>
      <c r="H63" s="151"/>
      <c r="I63" s="151"/>
      <c r="J63" s="151"/>
      <c r="K63" s="151"/>
      <c r="L63" s="151"/>
      <c r="M63" s="151"/>
      <c r="N63" s="151"/>
    </row>
    <row r="64" spans="1:15" ht="72.5" x14ac:dyDescent="0.35">
      <c r="A64" s="10" t="s">
        <v>1011</v>
      </c>
      <c r="B64" s="10" t="s">
        <v>940</v>
      </c>
      <c r="C64" s="10" t="s">
        <v>264</v>
      </c>
      <c r="D64" s="13" t="s">
        <v>941</v>
      </c>
      <c r="E64" s="13" t="s">
        <v>942</v>
      </c>
      <c r="F64" s="13" t="s">
        <v>945</v>
      </c>
      <c r="G64" s="13" t="s">
        <v>939</v>
      </c>
      <c r="H64" s="13" t="s">
        <v>943</v>
      </c>
      <c r="I64" s="13" t="s">
        <v>944</v>
      </c>
      <c r="J64" s="13" t="s">
        <v>182</v>
      </c>
      <c r="K64" s="13" t="s">
        <v>946</v>
      </c>
      <c r="L64" s="13" t="s">
        <v>947</v>
      </c>
      <c r="M64" s="13" t="s">
        <v>948</v>
      </c>
      <c r="N64" s="13" t="s">
        <v>949</v>
      </c>
      <c r="O64" s="13" t="s">
        <v>1015</v>
      </c>
    </row>
    <row r="65" spans="1:15" x14ac:dyDescent="0.35">
      <c r="A65" s="248" t="s">
        <v>978</v>
      </c>
      <c r="B65" s="3" t="s">
        <v>308</v>
      </c>
      <c r="C65" s="3" t="s">
        <v>309</v>
      </c>
      <c r="D65" s="3"/>
      <c r="E65" s="143">
        <f>E66*I65/I66</f>
        <v>548.9414225941423</v>
      </c>
      <c r="F65" s="3">
        <v>236.79</v>
      </c>
      <c r="G65" s="31">
        <v>1</v>
      </c>
      <c r="H65" s="3">
        <f>E65*G65</f>
        <v>548.9414225941423</v>
      </c>
      <c r="I65" s="21">
        <v>1311.97</v>
      </c>
      <c r="J65" s="3">
        <f>F65/H65*10^7/10^3</f>
        <v>4313.5750055260405</v>
      </c>
      <c r="K65" s="3"/>
      <c r="L65" s="3" t="s">
        <v>129</v>
      </c>
      <c r="M65" s="3">
        <v>1.8</v>
      </c>
      <c r="N65" s="3">
        <v>236.79</v>
      </c>
      <c r="O65" s="3"/>
    </row>
    <row r="66" spans="1:15" x14ac:dyDescent="0.35">
      <c r="A66" s="3" t="s">
        <v>979</v>
      </c>
      <c r="B66" s="3" t="s">
        <v>308</v>
      </c>
      <c r="C66" s="3" t="s">
        <v>980</v>
      </c>
      <c r="D66" s="3">
        <v>400</v>
      </c>
      <c r="E66" s="3">
        <f>4*100</f>
        <v>400</v>
      </c>
      <c r="F66" s="3">
        <v>113.76</v>
      </c>
      <c r="G66" s="31">
        <v>1</v>
      </c>
      <c r="H66" s="3">
        <f>E66*G66</f>
        <v>400</v>
      </c>
      <c r="I66" s="3">
        <v>956</v>
      </c>
      <c r="J66" s="3">
        <f>F66/H66*10^7/10^3</f>
        <v>2844</v>
      </c>
      <c r="K66" s="3"/>
      <c r="L66" s="3" t="s">
        <v>129</v>
      </c>
      <c r="M66" s="3">
        <v>1.19</v>
      </c>
      <c r="N66" s="3">
        <v>113.76</v>
      </c>
      <c r="O66" s="3"/>
    </row>
    <row r="67" spans="1:15" x14ac:dyDescent="0.35">
      <c r="A67" s="3" t="s">
        <v>981</v>
      </c>
      <c r="B67" s="3" t="s">
        <v>308</v>
      </c>
      <c r="C67" s="3" t="s">
        <v>309</v>
      </c>
      <c r="D67" s="3">
        <v>20</v>
      </c>
      <c r="E67" s="3">
        <f>(3*20)+(1*30)+(3*60)+(2*50)+(2*20)+(1*30)</f>
        <v>440</v>
      </c>
      <c r="F67" s="3">
        <v>301.20999999999998</v>
      </c>
      <c r="G67" s="31">
        <v>1</v>
      </c>
      <c r="H67" s="3">
        <f>E67*G67</f>
        <v>440</v>
      </c>
      <c r="I67" s="21">
        <v>2411</v>
      </c>
      <c r="J67" s="3">
        <f>F67/H67*10^7/10^3</f>
        <v>6845.681818181818</v>
      </c>
      <c r="K67" s="3"/>
      <c r="L67" s="3" t="s">
        <v>129</v>
      </c>
      <c r="M67" s="3">
        <v>1.25</v>
      </c>
      <c r="N67" s="3">
        <v>301.20999999999998</v>
      </c>
      <c r="O67" s="3"/>
    </row>
    <row r="68" spans="1:15" x14ac:dyDescent="0.35">
      <c r="A68" s="10" t="s">
        <v>994</v>
      </c>
      <c r="B68" s="10"/>
      <c r="C68" s="10"/>
      <c r="D68" s="10"/>
      <c r="E68" s="244">
        <f>SUM(E65:E67)</f>
        <v>1388.9414225941423</v>
      </c>
      <c r="F68" s="244">
        <f>SUM(F65:F67)</f>
        <v>651.76</v>
      </c>
      <c r="G68" s="204">
        <v>1</v>
      </c>
      <c r="H68" s="10">
        <f>E68*G68</f>
        <v>1388.9414225941423</v>
      </c>
      <c r="I68" s="244">
        <f>SUM(I65:I67)</f>
        <v>4678.97</v>
      </c>
      <c r="J68" s="10">
        <f>F68/H68*10^7/10^3</f>
        <v>4692.4945098310927</v>
      </c>
      <c r="K68" s="12">
        <f>L68/I68*10</f>
        <v>0</v>
      </c>
      <c r="L68" s="244">
        <f>SUM(L65:L67)</f>
        <v>0</v>
      </c>
      <c r="M68" s="12">
        <f>N68/I68*10</f>
        <v>1.3929561420569057</v>
      </c>
      <c r="N68" s="244">
        <f>SUM(N65:N67)</f>
        <v>651.76</v>
      </c>
      <c r="O68" s="10"/>
    </row>
    <row r="69" spans="1:15" x14ac:dyDescent="0.35">
      <c r="I69" s="179"/>
    </row>
    <row r="70" spans="1:15" x14ac:dyDescent="0.35">
      <c r="A70" s="180" t="s">
        <v>982</v>
      </c>
      <c r="B70" s="151"/>
      <c r="C70" s="151"/>
      <c r="D70" s="151"/>
      <c r="E70" s="151"/>
      <c r="F70" s="151"/>
      <c r="G70" s="151"/>
      <c r="H70" s="151"/>
      <c r="I70" s="151"/>
      <c r="J70" s="151"/>
      <c r="K70" s="151"/>
      <c r="L70" s="151"/>
      <c r="M70" s="151"/>
      <c r="N70" s="151"/>
    </row>
    <row r="71" spans="1:15" ht="72.5" x14ac:dyDescent="0.35">
      <c r="A71" s="10" t="s">
        <v>1011</v>
      </c>
      <c r="B71" s="10" t="s">
        <v>940</v>
      </c>
      <c r="C71" s="10" t="s">
        <v>264</v>
      </c>
      <c r="D71" s="13" t="s">
        <v>941</v>
      </c>
      <c r="E71" s="13" t="s">
        <v>942</v>
      </c>
      <c r="F71" s="13" t="s">
        <v>945</v>
      </c>
      <c r="G71" s="13" t="s">
        <v>939</v>
      </c>
      <c r="H71" s="13" t="s">
        <v>943</v>
      </c>
      <c r="I71" s="13" t="s">
        <v>944</v>
      </c>
      <c r="J71" s="13" t="s">
        <v>182</v>
      </c>
      <c r="K71" s="13" t="s">
        <v>946</v>
      </c>
      <c r="L71" s="13" t="s">
        <v>947</v>
      </c>
      <c r="M71" s="13" t="s">
        <v>948</v>
      </c>
      <c r="N71" s="13" t="s">
        <v>949</v>
      </c>
      <c r="O71" s="13" t="s">
        <v>1015</v>
      </c>
    </row>
    <row r="72" spans="1:15" x14ac:dyDescent="0.35">
      <c r="A72" s="3" t="s">
        <v>983</v>
      </c>
      <c r="B72" s="3" t="s">
        <v>308</v>
      </c>
      <c r="C72" s="3" t="s">
        <v>312</v>
      </c>
      <c r="D72" s="3"/>
      <c r="E72" s="249">
        <f>2314.9-E68</f>
        <v>925.9585774058578</v>
      </c>
      <c r="F72" s="3">
        <v>164.24</v>
      </c>
      <c r="G72" s="31">
        <v>1</v>
      </c>
      <c r="H72" s="143">
        <f>E72*G72</f>
        <v>925.9585774058578</v>
      </c>
      <c r="I72" s="21">
        <v>1026</v>
      </c>
      <c r="J72" s="3">
        <f>F72/H72*10^7/10^3</f>
        <v>1773.7294519170678</v>
      </c>
      <c r="K72" s="3"/>
      <c r="L72" s="3" t="s">
        <v>129</v>
      </c>
      <c r="M72" s="3">
        <v>1.6</v>
      </c>
      <c r="N72" s="3">
        <v>164.24</v>
      </c>
      <c r="O72" s="23">
        <f>I72/(H72*8.76)</f>
        <v>0.1264886902385661</v>
      </c>
    </row>
    <row r="73" spans="1:15" x14ac:dyDescent="0.35">
      <c r="A73" s="10" t="s">
        <v>760</v>
      </c>
      <c r="B73" s="10"/>
      <c r="C73" s="10"/>
      <c r="D73" s="10"/>
      <c r="E73" s="10"/>
      <c r="F73" s="244">
        <f>SUM(F72)</f>
        <v>164.24</v>
      </c>
      <c r="G73" s="204">
        <v>1</v>
      </c>
      <c r="H73" s="244">
        <f>SUM(H72)</f>
        <v>925.9585774058578</v>
      </c>
      <c r="I73" s="244">
        <f>SUM(I72)</f>
        <v>1026</v>
      </c>
      <c r="J73" s="10">
        <f>F73/H73*10^7/10^3</f>
        <v>1773.7294519170678</v>
      </c>
      <c r="K73" s="12">
        <f>L73/I73*10</f>
        <v>0</v>
      </c>
      <c r="L73" s="244">
        <f>SUM(L72)</f>
        <v>0</v>
      </c>
      <c r="M73" s="12">
        <f>N73/I73*10</f>
        <v>1.6007797270955164</v>
      </c>
      <c r="N73" s="244">
        <f>SUM(N72)</f>
        <v>164.24</v>
      </c>
      <c r="O73" s="10"/>
    </row>
    <row r="74" spans="1:15" x14ac:dyDescent="0.35">
      <c r="A74" s="171"/>
    </row>
    <row r="75" spans="1:15" x14ac:dyDescent="0.35">
      <c r="I75" s="179"/>
    </row>
    <row r="76" spans="1:15" x14ac:dyDescent="0.35">
      <c r="A76" s="180" t="s">
        <v>304</v>
      </c>
      <c r="B76" s="151"/>
      <c r="C76" s="151"/>
      <c r="D76" s="151"/>
      <c r="E76" s="151"/>
      <c r="F76" s="151"/>
      <c r="G76" s="151"/>
      <c r="H76" s="151"/>
      <c r="I76" s="151"/>
      <c r="J76" s="151"/>
      <c r="K76" s="151"/>
      <c r="L76" s="151"/>
      <c r="M76" s="151"/>
      <c r="N76" s="151"/>
    </row>
    <row r="77" spans="1:15" ht="72.5" x14ac:dyDescent="0.35">
      <c r="A77" s="10" t="s">
        <v>1011</v>
      </c>
      <c r="B77" s="10" t="s">
        <v>940</v>
      </c>
      <c r="C77" s="10" t="s">
        <v>264</v>
      </c>
      <c r="D77" s="13" t="s">
        <v>941</v>
      </c>
      <c r="E77" s="13" t="s">
        <v>942</v>
      </c>
      <c r="F77" s="13" t="s">
        <v>945</v>
      </c>
      <c r="G77" s="13" t="s">
        <v>939</v>
      </c>
      <c r="H77" s="13" t="s">
        <v>943</v>
      </c>
      <c r="I77" s="13" t="s">
        <v>944</v>
      </c>
      <c r="J77" s="13" t="s">
        <v>182</v>
      </c>
      <c r="K77" s="13" t="s">
        <v>946</v>
      </c>
      <c r="L77" s="13" t="s">
        <v>947</v>
      </c>
      <c r="M77" s="13" t="s">
        <v>948</v>
      </c>
      <c r="N77" s="13" t="s">
        <v>949</v>
      </c>
      <c r="O77" s="13" t="s">
        <v>1015</v>
      </c>
    </row>
    <row r="78" spans="1:15" x14ac:dyDescent="0.35">
      <c r="A78" s="3" t="s">
        <v>984</v>
      </c>
      <c r="B78" s="3" t="s">
        <v>304</v>
      </c>
      <c r="C78" s="3"/>
      <c r="D78" s="3"/>
      <c r="E78" s="3">
        <v>440</v>
      </c>
      <c r="F78" s="3">
        <v>0</v>
      </c>
      <c r="G78" s="22">
        <v>0.75239999999999996</v>
      </c>
      <c r="H78" s="3">
        <f>G78*E78</f>
        <v>331.05599999999998</v>
      </c>
      <c r="I78" s="21">
        <v>1530.78</v>
      </c>
      <c r="J78" s="3">
        <f>F78/H78*10^7/10^3</f>
        <v>0</v>
      </c>
      <c r="K78" s="3">
        <v>2.12</v>
      </c>
      <c r="L78" s="3">
        <v>324.52</v>
      </c>
      <c r="M78" s="3">
        <v>2.12</v>
      </c>
      <c r="N78" s="3">
        <v>324.52</v>
      </c>
      <c r="O78" s="23">
        <f>I78/(H78*8.76)</f>
        <v>0.52784596969233533</v>
      </c>
    </row>
    <row r="79" spans="1:15" x14ac:dyDescent="0.35">
      <c r="A79" s="3" t="s">
        <v>985</v>
      </c>
      <c r="B79" s="3" t="s">
        <v>304</v>
      </c>
      <c r="C79" s="3"/>
      <c r="D79" s="3"/>
      <c r="E79" s="3">
        <f>440+440</f>
        <v>880</v>
      </c>
      <c r="F79" s="3">
        <v>0</v>
      </c>
      <c r="G79" s="27">
        <f>(27.25%+24.07%)/2</f>
        <v>0.25659999999999999</v>
      </c>
      <c r="H79" s="3">
        <f>G79*E79</f>
        <v>225.80799999999999</v>
      </c>
      <c r="I79" s="21">
        <v>1175.28</v>
      </c>
      <c r="J79" s="3">
        <f>F79/H79*10^7/10^3</f>
        <v>0</v>
      </c>
      <c r="K79" s="3">
        <v>3.13</v>
      </c>
      <c r="L79" s="3">
        <v>367.86</v>
      </c>
      <c r="M79" s="3">
        <v>3.13</v>
      </c>
      <c r="N79" s="3">
        <v>367.86</v>
      </c>
      <c r="O79" s="23">
        <f>I79/(H79*8.76)</f>
        <v>0.59415248158454892</v>
      </c>
    </row>
    <row r="80" spans="1:15" x14ac:dyDescent="0.35">
      <c r="A80" s="3" t="s">
        <v>986</v>
      </c>
      <c r="B80" s="3" t="s">
        <v>304</v>
      </c>
      <c r="C80" s="3"/>
      <c r="D80" s="3"/>
      <c r="E80" s="3"/>
      <c r="F80" s="3">
        <v>0</v>
      </c>
      <c r="G80" s="3"/>
      <c r="H80" s="3">
        <f>G80*E80</f>
        <v>0</v>
      </c>
      <c r="I80" s="3">
        <v>767.69</v>
      </c>
      <c r="J80" s="3" t="e">
        <f>F80/H80*10^7/10^3</f>
        <v>#DIV/0!</v>
      </c>
      <c r="K80" s="3">
        <v>3.9</v>
      </c>
      <c r="L80" s="3">
        <v>299.39999999999998</v>
      </c>
      <c r="M80" s="3">
        <v>3.9</v>
      </c>
      <c r="N80" s="3">
        <v>299.39999999999998</v>
      </c>
      <c r="O80" s="23" t="e">
        <f>I80/(H80*8.76)</f>
        <v>#DIV/0!</v>
      </c>
    </row>
    <row r="81" spans="1:15" x14ac:dyDescent="0.35">
      <c r="A81" s="3" t="s">
        <v>987</v>
      </c>
      <c r="B81" s="3" t="s">
        <v>304</v>
      </c>
      <c r="C81" s="3"/>
      <c r="D81" s="3"/>
      <c r="E81" s="3">
        <f>1000+1000</f>
        <v>2000</v>
      </c>
      <c r="F81" s="3">
        <v>0</v>
      </c>
      <c r="G81" s="27">
        <f>(58.91%+56.25%)/2</f>
        <v>0.57579999999999998</v>
      </c>
      <c r="H81" s="3">
        <f>G81*E81</f>
        <v>1151.5999999999999</v>
      </c>
      <c r="I81" s="21">
        <v>5176.1400000000003</v>
      </c>
      <c r="J81" s="3">
        <f>F81/H81*10^7/10^3</f>
        <v>0</v>
      </c>
      <c r="K81" s="3">
        <v>3.5</v>
      </c>
      <c r="L81" s="21">
        <v>1811.65</v>
      </c>
      <c r="M81" s="3">
        <v>3.5</v>
      </c>
      <c r="N81" s="21">
        <v>1811.65</v>
      </c>
      <c r="O81" s="23">
        <f>I81/(H81*8.76)</f>
        <v>0.51309791737047206</v>
      </c>
    </row>
    <row r="82" spans="1:15" x14ac:dyDescent="0.35">
      <c r="A82" s="10" t="s">
        <v>41</v>
      </c>
      <c r="B82" s="10"/>
      <c r="C82" s="10"/>
      <c r="D82" s="10"/>
      <c r="E82" s="244">
        <f>SUM(E78:E81)</f>
        <v>3320</v>
      </c>
      <c r="F82" s="244">
        <f>SUM(F78:F81)</f>
        <v>0</v>
      </c>
      <c r="G82" s="25">
        <f>H82/E82</f>
        <v>0.51459759036144581</v>
      </c>
      <c r="H82" s="244">
        <f>SUM(H78:H81)</f>
        <v>1708.4639999999999</v>
      </c>
      <c r="I82" s="244">
        <f>SUM(I78:I81)</f>
        <v>8649.89</v>
      </c>
      <c r="J82" s="10">
        <f>F82/H82*10^7/10^3</f>
        <v>0</v>
      </c>
      <c r="K82" s="12">
        <f>L82/I82*10</f>
        <v>3.2410007526107276</v>
      </c>
      <c r="L82" s="244">
        <f>SUM(L78:L81)</f>
        <v>2803.4300000000003</v>
      </c>
      <c r="M82" s="12">
        <f>N82/I82*10</f>
        <v>3.2410007526107276</v>
      </c>
      <c r="N82" s="244">
        <f>SUM(N78:N81)</f>
        <v>2803.4300000000003</v>
      </c>
      <c r="O82" s="25">
        <f>I82/(H82*8.76)</f>
        <v>0.57796381152708143</v>
      </c>
    </row>
    <row r="83" spans="1:15" x14ac:dyDescent="0.35">
      <c r="A83" s="171"/>
    </row>
    <row r="84" spans="1:15" x14ac:dyDescent="0.35">
      <c r="A84" s="171"/>
    </row>
    <row r="85" spans="1:15" x14ac:dyDescent="0.35">
      <c r="A85" s="180" t="s">
        <v>348</v>
      </c>
      <c r="B85" s="151"/>
      <c r="C85" s="151"/>
      <c r="D85" s="151"/>
      <c r="E85" s="151"/>
      <c r="F85" s="151"/>
      <c r="G85" s="151"/>
      <c r="H85" s="151"/>
      <c r="I85" s="151"/>
      <c r="J85" s="151"/>
      <c r="K85" s="151"/>
      <c r="L85" s="151"/>
      <c r="M85" s="151"/>
      <c r="N85" s="151"/>
    </row>
    <row r="86" spans="1:15" ht="72.5" x14ac:dyDescent="0.35">
      <c r="A86" s="10" t="s">
        <v>1011</v>
      </c>
      <c r="B86" s="10" t="s">
        <v>940</v>
      </c>
      <c r="C86" s="10" t="s">
        <v>264</v>
      </c>
      <c r="D86" s="13" t="s">
        <v>941</v>
      </c>
      <c r="E86" s="13" t="s">
        <v>942</v>
      </c>
      <c r="F86" s="13" t="s">
        <v>945</v>
      </c>
      <c r="G86" s="13" t="s">
        <v>939</v>
      </c>
      <c r="H86" s="13" t="s">
        <v>943</v>
      </c>
      <c r="I86" s="13" t="s">
        <v>944</v>
      </c>
      <c r="J86" s="13" t="s">
        <v>182</v>
      </c>
      <c r="K86" s="13" t="s">
        <v>946</v>
      </c>
      <c r="L86" s="13" t="s">
        <v>947</v>
      </c>
      <c r="M86" s="13" t="s">
        <v>948</v>
      </c>
      <c r="N86" s="13" t="s">
        <v>949</v>
      </c>
      <c r="O86" s="13" t="s">
        <v>1015</v>
      </c>
    </row>
    <row r="87" spans="1:15" x14ac:dyDescent="0.35">
      <c r="A87" s="3" t="s">
        <v>348</v>
      </c>
      <c r="B87" s="3" t="s">
        <v>988</v>
      </c>
      <c r="C87" s="3" t="s">
        <v>348</v>
      </c>
      <c r="D87" s="3"/>
      <c r="E87" s="3"/>
      <c r="F87" s="3"/>
      <c r="G87" s="3"/>
      <c r="H87" s="3"/>
      <c r="I87" s="3">
        <v>12</v>
      </c>
      <c r="J87" s="3"/>
      <c r="K87" s="3">
        <v>2.75</v>
      </c>
      <c r="L87" s="3">
        <v>3.3</v>
      </c>
      <c r="M87" s="3">
        <v>2.75</v>
      </c>
      <c r="N87" s="3">
        <v>3.3</v>
      </c>
      <c r="O87" s="3"/>
    </row>
    <row r="88" spans="1:15" x14ac:dyDescent="0.35">
      <c r="A88" s="3" t="s">
        <v>348</v>
      </c>
      <c r="B88" s="3" t="s">
        <v>988</v>
      </c>
      <c r="C88" s="3" t="s">
        <v>348</v>
      </c>
      <c r="D88" s="3"/>
      <c r="E88" s="3"/>
      <c r="F88" s="3">
        <v>0</v>
      </c>
      <c r="G88" s="3"/>
      <c r="H88" s="3"/>
      <c r="I88" s="249">
        <v>6313.56</v>
      </c>
      <c r="J88" s="3"/>
      <c r="K88" s="3">
        <v>3.08</v>
      </c>
      <c r="L88" s="21">
        <v>1944.58</v>
      </c>
      <c r="M88" s="3">
        <v>3.08</v>
      </c>
      <c r="N88" s="21">
        <v>1944.58</v>
      </c>
      <c r="O88" s="3"/>
    </row>
    <row r="89" spans="1:15" x14ac:dyDescent="0.35">
      <c r="A89" s="10" t="s">
        <v>41</v>
      </c>
      <c r="B89" s="10"/>
      <c r="C89" s="10"/>
      <c r="D89" s="10"/>
      <c r="E89" s="244"/>
      <c r="F89" s="244">
        <f>F88+F87</f>
        <v>0</v>
      </c>
      <c r="G89" s="204"/>
      <c r="H89" s="244">
        <v>8468.11</v>
      </c>
      <c r="I89" s="244">
        <f>I88+I87</f>
        <v>6325.56</v>
      </c>
      <c r="J89" s="10"/>
      <c r="K89" s="12">
        <f>L89/I89*10</f>
        <v>3.0793795331954792</v>
      </c>
      <c r="L89" s="244">
        <f>L88+L87</f>
        <v>1947.8799999999999</v>
      </c>
      <c r="M89" s="12">
        <f>N89/I89*10</f>
        <v>3.0793795331954792</v>
      </c>
      <c r="N89" s="244">
        <f>N88+N87</f>
        <v>1947.8799999999999</v>
      </c>
      <c r="O89" s="253">
        <f>I89/(H89*8.76)</f>
        <v>8.5272379599575218E-2</v>
      </c>
    </row>
    <row r="90" spans="1:15" x14ac:dyDescent="0.35">
      <c r="I90" s="179">
        <v>12358.01</v>
      </c>
      <c r="L90" s="179"/>
      <c r="N90" s="179"/>
      <c r="O90" s="148">
        <f>I90/(H89*8.76)</f>
        <v>0.16659345888986057</v>
      </c>
    </row>
    <row r="91" spans="1:15" x14ac:dyDescent="0.35">
      <c r="A91" s="180" t="s">
        <v>351</v>
      </c>
      <c r="B91" s="151"/>
      <c r="C91" s="151"/>
      <c r="D91" s="151"/>
      <c r="E91" s="151"/>
      <c r="F91" s="151"/>
      <c r="G91" s="151"/>
      <c r="H91" s="151"/>
      <c r="I91" s="151"/>
      <c r="J91" s="151"/>
      <c r="K91" s="151"/>
      <c r="L91" s="151"/>
      <c r="M91" s="151"/>
      <c r="N91" s="151"/>
    </row>
    <row r="92" spans="1:15" ht="72.5" x14ac:dyDescent="0.35">
      <c r="A92" s="10" t="s">
        <v>1011</v>
      </c>
      <c r="B92" s="10" t="s">
        <v>940</v>
      </c>
      <c r="C92" s="10" t="s">
        <v>264</v>
      </c>
      <c r="D92" s="13" t="s">
        <v>941</v>
      </c>
      <c r="E92" s="13" t="s">
        <v>942</v>
      </c>
      <c r="F92" s="13" t="s">
        <v>945</v>
      </c>
      <c r="G92" s="13" t="s">
        <v>939</v>
      </c>
      <c r="H92" s="13" t="s">
        <v>943</v>
      </c>
      <c r="I92" s="13" t="s">
        <v>944</v>
      </c>
      <c r="J92" s="13" t="s">
        <v>182</v>
      </c>
      <c r="K92" s="13" t="s">
        <v>946</v>
      </c>
      <c r="L92" s="13" t="s">
        <v>947</v>
      </c>
      <c r="M92" s="13" t="s">
        <v>948</v>
      </c>
      <c r="N92" s="13" t="s">
        <v>949</v>
      </c>
      <c r="O92" s="13" t="s">
        <v>1015</v>
      </c>
    </row>
    <row r="93" spans="1:15" x14ac:dyDescent="0.35">
      <c r="A93" s="3" t="s">
        <v>351</v>
      </c>
      <c r="B93" s="3" t="s">
        <v>988</v>
      </c>
      <c r="C93" s="3" t="s">
        <v>351</v>
      </c>
      <c r="D93" s="3"/>
      <c r="E93" s="3"/>
      <c r="F93" s="3" t="s">
        <v>129</v>
      </c>
      <c r="G93" s="3"/>
      <c r="H93" s="234">
        <v>2724.55</v>
      </c>
      <c r="I93" s="21">
        <v>2293.9</v>
      </c>
      <c r="J93" s="3"/>
      <c r="K93" s="3">
        <v>6.85</v>
      </c>
      <c r="L93" s="21">
        <v>1571.82</v>
      </c>
      <c r="M93" s="3">
        <v>6.85</v>
      </c>
      <c r="N93" s="21">
        <v>1571.82</v>
      </c>
      <c r="O93" s="253">
        <f>I93/(H93*8.76)</f>
        <v>9.611155258431936E-2</v>
      </c>
    </row>
    <row r="94" spans="1:15" x14ac:dyDescent="0.35">
      <c r="I94" s="148">
        <v>2906.01</v>
      </c>
      <c r="O94" s="148">
        <f>I94/(H93*8.76)</f>
        <v>0.12175819910438899</v>
      </c>
    </row>
    <row r="95" spans="1:15" x14ac:dyDescent="0.35">
      <c r="A95" s="180" t="s">
        <v>452</v>
      </c>
      <c r="B95" s="151"/>
      <c r="C95" s="151"/>
      <c r="D95" s="151"/>
      <c r="E95" s="151"/>
      <c r="F95" s="151"/>
      <c r="G95" s="151"/>
      <c r="H95" s="151"/>
      <c r="I95" s="151"/>
      <c r="J95" s="151"/>
      <c r="K95" s="151"/>
      <c r="L95" s="151"/>
      <c r="M95" s="151"/>
      <c r="N95" s="151"/>
    </row>
    <row r="96" spans="1:15" ht="72.5" x14ac:dyDescent="0.35">
      <c r="A96" s="10" t="s">
        <v>1011</v>
      </c>
      <c r="B96" s="10" t="s">
        <v>940</v>
      </c>
      <c r="C96" s="10" t="s">
        <v>264</v>
      </c>
      <c r="D96" s="13" t="s">
        <v>941</v>
      </c>
      <c r="E96" s="13" t="s">
        <v>942</v>
      </c>
      <c r="F96" s="13" t="s">
        <v>945</v>
      </c>
      <c r="G96" s="13" t="s">
        <v>939</v>
      </c>
      <c r="H96" s="13" t="s">
        <v>943</v>
      </c>
      <c r="I96" s="13" t="s">
        <v>944</v>
      </c>
      <c r="J96" s="13" t="s">
        <v>182</v>
      </c>
      <c r="K96" s="13" t="s">
        <v>946</v>
      </c>
      <c r="L96" s="13" t="s">
        <v>947</v>
      </c>
      <c r="M96" s="13" t="s">
        <v>948</v>
      </c>
      <c r="N96" s="13" t="s">
        <v>949</v>
      </c>
      <c r="O96" s="13" t="s">
        <v>1015</v>
      </c>
    </row>
    <row r="97" spans="1:15" x14ac:dyDescent="0.35">
      <c r="A97" s="3" t="s">
        <v>452</v>
      </c>
      <c r="B97" s="3" t="s">
        <v>452</v>
      </c>
      <c r="C97" s="3" t="s">
        <v>452</v>
      </c>
      <c r="D97" s="3"/>
      <c r="E97" s="3"/>
      <c r="F97" s="3">
        <v>0</v>
      </c>
      <c r="G97" s="31"/>
      <c r="H97" s="3">
        <f>721.4+265.59</f>
        <v>986.99</v>
      </c>
      <c r="I97" s="3">
        <f>178.33+551.39</f>
        <v>729.72</v>
      </c>
      <c r="J97" s="3">
        <f>F97/H97*10^7/10^3</f>
        <v>0</v>
      </c>
      <c r="K97" s="3">
        <v>3.08</v>
      </c>
      <c r="L97" s="3">
        <v>6.16</v>
      </c>
      <c r="M97" s="3">
        <v>3.08</v>
      </c>
      <c r="N97" s="3">
        <v>6.16</v>
      </c>
      <c r="O97" s="253">
        <f>I97/(H97*8.76)</f>
        <v>8.4399406136854177E-2</v>
      </c>
    </row>
    <row r="98" spans="1:15" x14ac:dyDescent="0.35">
      <c r="F98" s="179"/>
      <c r="L98" s="179"/>
      <c r="N98" s="179"/>
    </row>
    <row r="99" spans="1:15" x14ac:dyDescent="0.35">
      <c r="F99" s="179"/>
    </row>
    <row r="100" spans="1:15" x14ac:dyDescent="0.35">
      <c r="F100" s="179"/>
      <c r="M100" s="179"/>
    </row>
    <row r="101" spans="1:15" x14ac:dyDescent="0.35">
      <c r="F101" s="179"/>
    </row>
    <row r="102" spans="1:15" x14ac:dyDescent="0.35">
      <c r="A102" s="3" t="s">
        <v>989</v>
      </c>
      <c r="B102" s="3" t="s">
        <v>988</v>
      </c>
      <c r="C102" s="3" t="s">
        <v>351</v>
      </c>
      <c r="D102" s="3"/>
      <c r="E102" s="3"/>
      <c r="F102" s="3"/>
      <c r="G102" s="3">
        <v>179.19</v>
      </c>
      <c r="H102" s="3"/>
      <c r="I102" s="3"/>
      <c r="J102" s="3"/>
      <c r="K102" s="3" t="s">
        <v>129</v>
      </c>
      <c r="L102" s="3">
        <v>179.19</v>
      </c>
      <c r="M102" s="3"/>
      <c r="N102" s="3"/>
      <c r="O102" s="3"/>
    </row>
    <row r="105" spans="1:15" x14ac:dyDescent="0.35">
      <c r="F105" s="179"/>
      <c r="M105" s="179"/>
    </row>
    <row r="106" spans="1:15" x14ac:dyDescent="0.35">
      <c r="F106" s="179"/>
    </row>
    <row r="107" spans="1:15" x14ac:dyDescent="0.35">
      <c r="F107" s="179"/>
      <c r="G107" s="179"/>
      <c r="K107" s="179"/>
      <c r="M107" s="179"/>
    </row>
    <row r="108" spans="1:15" x14ac:dyDescent="0.35">
      <c r="F108" s="179"/>
      <c r="K108" s="179"/>
      <c r="M108" s="179"/>
    </row>
    <row r="110" spans="1:15" x14ac:dyDescent="0.35">
      <c r="F110" s="179"/>
    </row>
    <row r="112" spans="1:15" x14ac:dyDescent="0.35">
      <c r="F112" s="179"/>
      <c r="G112" s="179"/>
      <c r="K112" s="179"/>
      <c r="M112" s="179"/>
    </row>
    <row r="113" spans="6:13" x14ac:dyDescent="0.35">
      <c r="M113" s="179"/>
    </row>
    <row r="116" spans="6:13" x14ac:dyDescent="0.35">
      <c r="F116" s="179"/>
      <c r="G116" s="179"/>
      <c r="K116" s="179"/>
      <c r="M116" s="179"/>
    </row>
  </sheetData>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3"/>
  <sheetViews>
    <sheetView workbookViewId="0"/>
  </sheetViews>
  <sheetFormatPr defaultRowHeight="14.5" x14ac:dyDescent="0.35"/>
  <cols>
    <col min="2" max="2" width="32.26953125" customWidth="1"/>
    <col min="12" max="12" width="11.54296875" customWidth="1"/>
  </cols>
  <sheetData>
    <row r="1" spans="1:9" ht="29" x14ac:dyDescent="0.35">
      <c r="C1" t="s">
        <v>180</v>
      </c>
      <c r="D1" s="20" t="s">
        <v>146</v>
      </c>
      <c r="E1" s="20" t="s">
        <v>703</v>
      </c>
      <c r="F1" t="s">
        <v>738</v>
      </c>
      <c r="G1" t="s">
        <v>737</v>
      </c>
      <c r="H1" s="20" t="s">
        <v>182</v>
      </c>
      <c r="I1" s="20" t="s">
        <v>142</v>
      </c>
    </row>
    <row r="2" spans="1:9" x14ac:dyDescent="0.35">
      <c r="B2" t="s">
        <v>143</v>
      </c>
      <c r="C2" t="s">
        <v>739</v>
      </c>
      <c r="D2">
        <f t="shared" ref="D2:G3" si="0">SUMIF($C$27:$C$52,$B2,D$27:D$52)</f>
        <v>444.20273459999999</v>
      </c>
      <c r="E2" s="304">
        <f t="shared" si="0"/>
        <v>2623.0200000000004</v>
      </c>
      <c r="F2" s="304">
        <f t="shared" si="0"/>
        <v>0</v>
      </c>
      <c r="G2" s="304">
        <f t="shared" si="0"/>
        <v>1311.4499999999998</v>
      </c>
      <c r="H2">
        <f>F2/D2*10^7/10^3</f>
        <v>0</v>
      </c>
      <c r="I2" s="150">
        <f>G2/E2*10</f>
        <v>4.99977125603312</v>
      </c>
    </row>
    <row r="3" spans="1:9" x14ac:dyDescent="0.35">
      <c r="B3" t="s">
        <v>144</v>
      </c>
      <c r="C3" s="304" t="s">
        <v>739</v>
      </c>
      <c r="D3" s="304">
        <f t="shared" si="0"/>
        <v>0</v>
      </c>
      <c r="E3" s="304">
        <f t="shared" si="0"/>
        <v>0</v>
      </c>
      <c r="F3" s="304">
        <f t="shared" si="0"/>
        <v>0</v>
      </c>
      <c r="G3" s="304">
        <f t="shared" si="0"/>
        <v>0</v>
      </c>
      <c r="H3" s="304">
        <v>0</v>
      </c>
      <c r="I3" s="150">
        <v>0</v>
      </c>
    </row>
    <row r="4" spans="1:9" s="304" customFormat="1" x14ac:dyDescent="0.35">
      <c r="B4" s="304" t="s">
        <v>1612</v>
      </c>
      <c r="C4" s="304" t="s">
        <v>739</v>
      </c>
      <c r="D4" s="304">
        <f>SUM(D2:D3)</f>
        <v>444.20273459999999</v>
      </c>
      <c r="E4" s="304">
        <f>SUM(E2:E3)</f>
        <v>2623.0200000000004</v>
      </c>
      <c r="H4" s="304">
        <f>F4/D4*10^7/10^3</f>
        <v>0</v>
      </c>
      <c r="I4" s="150">
        <f>G4/E4*10</f>
        <v>0</v>
      </c>
    </row>
    <row r="5" spans="1:9" x14ac:dyDescent="0.35">
      <c r="B5" t="s">
        <v>1613</v>
      </c>
      <c r="C5" s="304" t="s">
        <v>739</v>
      </c>
      <c r="D5" s="304">
        <f t="shared" ref="D5:G7" si="1">SUMIF($C$27:$C$52,$B5,D$27:D$52)</f>
        <v>645.58320000000003</v>
      </c>
      <c r="E5" s="304">
        <f t="shared" si="1"/>
        <v>3174.6099999999997</v>
      </c>
      <c r="F5" s="304">
        <f t="shared" si="1"/>
        <v>153.25</v>
      </c>
      <c r="G5" s="304">
        <f t="shared" si="1"/>
        <v>1009.74</v>
      </c>
      <c r="H5" s="304">
        <f>F5/D5*10^7/10^3</f>
        <v>2373.8226149627189</v>
      </c>
      <c r="I5" s="150">
        <f>G5/E5*10</f>
        <v>3.1806741615505532</v>
      </c>
    </row>
    <row r="6" spans="1:9" x14ac:dyDescent="0.35">
      <c r="B6" t="s">
        <v>1614</v>
      </c>
      <c r="C6" s="304" t="s">
        <v>739</v>
      </c>
      <c r="D6" s="304">
        <f t="shared" si="1"/>
        <v>0</v>
      </c>
      <c r="E6" s="304">
        <f t="shared" si="1"/>
        <v>0</v>
      </c>
      <c r="F6" s="304">
        <f t="shared" si="1"/>
        <v>0</v>
      </c>
      <c r="G6" s="304">
        <f t="shared" si="1"/>
        <v>0</v>
      </c>
      <c r="H6" s="304">
        <v>0</v>
      </c>
      <c r="I6" s="150">
        <v>0</v>
      </c>
    </row>
    <row r="7" spans="1:9" x14ac:dyDescent="0.35">
      <c r="B7" t="s">
        <v>1615</v>
      </c>
      <c r="C7" s="304" t="s">
        <v>739</v>
      </c>
      <c r="D7" s="304">
        <f t="shared" si="1"/>
        <v>0</v>
      </c>
      <c r="E7" s="304">
        <f t="shared" si="1"/>
        <v>0</v>
      </c>
      <c r="F7" s="304">
        <f t="shared" si="1"/>
        <v>0</v>
      </c>
      <c r="G7" s="304">
        <f t="shared" si="1"/>
        <v>0</v>
      </c>
      <c r="H7" s="304">
        <v>0</v>
      </c>
      <c r="I7" s="150">
        <v>0</v>
      </c>
    </row>
    <row r="8" spans="1:9" x14ac:dyDescent="0.35">
      <c r="B8" t="s">
        <v>1604</v>
      </c>
      <c r="C8" s="304" t="s">
        <v>739</v>
      </c>
      <c r="D8" s="304">
        <f t="shared" ref="D8:F13" si="2">SUMIF($C$27:$C$52,$B8,D$27:D$52)</f>
        <v>523.32582000000002</v>
      </c>
      <c r="E8" s="304">
        <f t="shared" si="2"/>
        <v>2306.81</v>
      </c>
      <c r="F8" s="304">
        <f t="shared" si="2"/>
        <v>496.59000000000003</v>
      </c>
      <c r="G8" s="304">
        <v>0</v>
      </c>
      <c r="H8" s="304">
        <f>F8/D8*10^7/10^3</f>
        <v>9489.1171240127242</v>
      </c>
      <c r="I8" s="150">
        <f>G8/E8*10</f>
        <v>0</v>
      </c>
    </row>
    <row r="9" spans="1:9" x14ac:dyDescent="0.35">
      <c r="B9" t="s">
        <v>1603</v>
      </c>
      <c r="C9" s="304" t="s">
        <v>739</v>
      </c>
      <c r="D9" s="304">
        <f t="shared" si="2"/>
        <v>4.5</v>
      </c>
      <c r="E9" s="304">
        <f t="shared" si="2"/>
        <v>7.79</v>
      </c>
      <c r="F9" s="304">
        <f t="shared" si="2"/>
        <v>3.2</v>
      </c>
      <c r="G9" s="304">
        <v>0</v>
      </c>
      <c r="H9" s="304">
        <f>F9/D9*10^7/10^3</f>
        <v>7111.1111111111113</v>
      </c>
      <c r="I9" s="150">
        <f>G9/E9*10</f>
        <v>0</v>
      </c>
    </row>
    <row r="10" spans="1:9" x14ac:dyDescent="0.35">
      <c r="B10" t="s">
        <v>1605</v>
      </c>
      <c r="C10" s="304" t="s">
        <v>739</v>
      </c>
      <c r="D10" s="304">
        <f t="shared" si="2"/>
        <v>0</v>
      </c>
      <c r="E10" s="304">
        <f t="shared" si="2"/>
        <v>0</v>
      </c>
      <c r="F10" s="304">
        <f t="shared" si="2"/>
        <v>0</v>
      </c>
      <c r="G10" s="304">
        <f>SUMIF($C$27:$C$52,$B10,G$27:G$52)</f>
        <v>0</v>
      </c>
      <c r="H10" s="304">
        <v>0</v>
      </c>
      <c r="I10" s="150">
        <v>0</v>
      </c>
    </row>
    <row r="11" spans="1:9" x14ac:dyDescent="0.35">
      <c r="B11" t="s">
        <v>1636</v>
      </c>
      <c r="C11" s="304" t="s">
        <v>739</v>
      </c>
      <c r="D11" s="304">
        <f t="shared" si="2"/>
        <v>5</v>
      </c>
      <c r="E11" s="304">
        <f t="shared" si="2"/>
        <v>49.85</v>
      </c>
      <c r="F11" s="304">
        <f t="shared" si="2"/>
        <v>0</v>
      </c>
      <c r="G11" s="304">
        <f>SUMIF($C$27:$C$52,$B11,G$27:G$52)</f>
        <v>38.270000000000003</v>
      </c>
      <c r="H11" s="304">
        <f>F11/D11*10^7/10^3</f>
        <v>0</v>
      </c>
      <c r="I11" s="150">
        <f>G11/E11*10</f>
        <v>7.6770310932798402</v>
      </c>
    </row>
    <row r="12" spans="1:9" x14ac:dyDescent="0.35">
      <c r="B12" t="s">
        <v>145</v>
      </c>
      <c r="C12" s="304" t="s">
        <v>739</v>
      </c>
      <c r="D12" s="304">
        <f t="shared" si="2"/>
        <v>0</v>
      </c>
      <c r="E12" s="304">
        <f t="shared" si="2"/>
        <v>0</v>
      </c>
      <c r="F12" s="304">
        <f t="shared" si="2"/>
        <v>0</v>
      </c>
      <c r="G12" s="304">
        <f>SUMIF($C$27:$C$52,$B12,G$27:G$52)</f>
        <v>0</v>
      </c>
      <c r="H12" s="304">
        <v>0</v>
      </c>
      <c r="I12" s="150">
        <v>0</v>
      </c>
    </row>
    <row r="13" spans="1:9" x14ac:dyDescent="0.35">
      <c r="B13" t="s">
        <v>1606</v>
      </c>
      <c r="C13" s="304" t="s">
        <v>739</v>
      </c>
      <c r="D13" s="304">
        <f t="shared" si="2"/>
        <v>0</v>
      </c>
      <c r="E13" s="304">
        <f t="shared" si="2"/>
        <v>0</v>
      </c>
      <c r="F13" s="304">
        <f t="shared" si="2"/>
        <v>0</v>
      </c>
      <c r="G13" s="304">
        <f>SUMIF($C$27:$C$52,$B13,G$27:G$52)</f>
        <v>0</v>
      </c>
      <c r="H13" s="304">
        <v>0</v>
      </c>
      <c r="I13" s="150">
        <v>0</v>
      </c>
    </row>
    <row r="15" spans="1:9" x14ac:dyDescent="0.35">
      <c r="A15" s="2" t="s">
        <v>49</v>
      </c>
    </row>
    <row r="16" spans="1:9" x14ac:dyDescent="0.35">
      <c r="B16" s="2" t="s">
        <v>1254</v>
      </c>
      <c r="C16" s="2" t="s">
        <v>1241</v>
      </c>
    </row>
    <row r="17" spans="1:11" x14ac:dyDescent="0.35">
      <c r="B17" s="2" t="s">
        <v>1294</v>
      </c>
      <c r="C17" s="2" t="s">
        <v>1292</v>
      </c>
    </row>
    <row r="18" spans="1:11" s="304" customFormat="1" x14ac:dyDescent="0.35">
      <c r="B18" s="2" t="s">
        <v>1253</v>
      </c>
      <c r="C18" s="2" t="s">
        <v>1293</v>
      </c>
    </row>
    <row r="19" spans="1:11" s="304" customFormat="1" x14ac:dyDescent="0.35">
      <c r="B19" s="2" t="s">
        <v>1295</v>
      </c>
      <c r="C19" s="2" t="s">
        <v>1291</v>
      </c>
    </row>
    <row r="20" spans="1:11" x14ac:dyDescent="0.35">
      <c r="B20" s="2" t="s">
        <v>140</v>
      </c>
      <c r="C20" s="2" t="s">
        <v>48</v>
      </c>
    </row>
    <row r="22" spans="1:11" s="304" customFormat="1" x14ac:dyDescent="0.35">
      <c r="A22" s="2" t="s">
        <v>49</v>
      </c>
      <c r="B22" s="2" t="s">
        <v>1253</v>
      </c>
      <c r="C22" s="2" t="s">
        <v>1256</v>
      </c>
    </row>
    <row r="23" spans="1:11" x14ac:dyDescent="0.35">
      <c r="B23" s="2" t="s">
        <v>1257</v>
      </c>
      <c r="C23" s="2" t="s">
        <v>1242</v>
      </c>
    </row>
    <row r="24" spans="1:11" s="304" customFormat="1" x14ac:dyDescent="0.35">
      <c r="A24" s="2"/>
      <c r="B24" s="2" t="s">
        <v>1258</v>
      </c>
      <c r="C24" s="2" t="s">
        <v>1255</v>
      </c>
    </row>
    <row r="25" spans="1:11" x14ac:dyDescent="0.35">
      <c r="C25" t="s">
        <v>1239</v>
      </c>
      <c r="D25" s="304" t="s">
        <v>1239</v>
      </c>
      <c r="E25" s="304" t="s">
        <v>1239</v>
      </c>
    </row>
    <row r="26" spans="1:11" s="304" customFormat="1" ht="43.5" x14ac:dyDescent="0.35">
      <c r="B26" s="10" t="s">
        <v>249</v>
      </c>
      <c r="C26" s="13" t="s">
        <v>157</v>
      </c>
      <c r="D26" s="18" t="s">
        <v>146</v>
      </c>
      <c r="E26" s="13" t="s">
        <v>159</v>
      </c>
      <c r="F26" s="13" t="s">
        <v>1281</v>
      </c>
      <c r="G26" s="13" t="s">
        <v>1282</v>
      </c>
      <c r="H26" s="18" t="s">
        <v>254</v>
      </c>
      <c r="I26" s="18" t="s">
        <v>1283</v>
      </c>
    </row>
    <row r="27" spans="1:11" s="304" customFormat="1" x14ac:dyDescent="0.35">
      <c r="B27" s="219" t="s">
        <v>1250</v>
      </c>
      <c r="C27" s="357" t="s">
        <v>1613</v>
      </c>
      <c r="D27" s="358">
        <f>AS!D75</f>
        <v>111</v>
      </c>
      <c r="E27" s="357">
        <f>AS!D99</f>
        <v>321.77</v>
      </c>
      <c r="F27" s="357">
        <f>AS!E92</f>
        <v>61.13</v>
      </c>
      <c r="G27" s="357">
        <f>AS!E93</f>
        <v>89.79</v>
      </c>
      <c r="H27" s="362">
        <f>F27/D27*10^7/10^4</f>
        <v>550.72072072072081</v>
      </c>
      <c r="I27" s="11">
        <f>G27/E27*10</f>
        <v>2.7905025328650899</v>
      </c>
      <c r="J27" s="304" t="s">
        <v>1284</v>
      </c>
      <c r="K27" s="173"/>
    </row>
    <row r="28" spans="1:11" s="304" customFormat="1" x14ac:dyDescent="0.35">
      <c r="B28" s="219" t="s">
        <v>1251</v>
      </c>
      <c r="C28" s="357" t="s">
        <v>1613</v>
      </c>
      <c r="D28" s="358">
        <f>AS!D76</f>
        <v>97.2</v>
      </c>
      <c r="E28" s="357">
        <f>AS!D100</f>
        <v>419.29</v>
      </c>
      <c r="F28" s="357">
        <f>AS!H92</f>
        <v>92.12</v>
      </c>
      <c r="G28" s="357">
        <f>AS!H93</f>
        <v>120.69</v>
      </c>
      <c r="H28" s="362">
        <f>F28/D28*10^7/10^4</f>
        <v>947.73662551440339</v>
      </c>
      <c r="I28" s="11">
        <f>G28/E28*10</f>
        <v>2.8784373583915661</v>
      </c>
      <c r="J28" s="304" t="s">
        <v>1284</v>
      </c>
    </row>
    <row r="29" spans="1:11" s="304" customFormat="1" x14ac:dyDescent="0.35">
      <c r="B29" s="219" t="s">
        <v>1252</v>
      </c>
      <c r="C29" s="357" t="s">
        <v>1604</v>
      </c>
      <c r="D29" s="358">
        <f>AS!D77</f>
        <v>100</v>
      </c>
      <c r="E29" s="357">
        <f>AS!D102</f>
        <v>388.57</v>
      </c>
      <c r="F29" s="357">
        <f>AS!K92</f>
        <v>80.19</v>
      </c>
      <c r="G29" s="357">
        <f>AS!K93</f>
        <v>0</v>
      </c>
      <c r="H29" s="362">
        <f>F29/D29*10^7/10^4</f>
        <v>801.89999999999986</v>
      </c>
      <c r="I29" s="11">
        <f>G29/E29*10</f>
        <v>0</v>
      </c>
    </row>
    <row r="30" spans="1:11" ht="43.5" x14ac:dyDescent="0.35">
      <c r="B30" s="359" t="s">
        <v>249</v>
      </c>
      <c r="C30" s="360" t="s">
        <v>157</v>
      </c>
      <c r="D30" s="361" t="s">
        <v>146</v>
      </c>
      <c r="E30" s="360" t="s">
        <v>159</v>
      </c>
      <c r="F30" s="13" t="s">
        <v>1281</v>
      </c>
      <c r="G30" s="13" t="s">
        <v>1282</v>
      </c>
      <c r="H30" s="18" t="s">
        <v>254</v>
      </c>
      <c r="I30" s="18" t="s">
        <v>1283</v>
      </c>
      <c r="J30" s="360" t="s">
        <v>1240</v>
      </c>
    </row>
    <row r="31" spans="1:11" x14ac:dyDescent="0.35">
      <c r="B31" s="3" t="s">
        <v>1229</v>
      </c>
      <c r="C31" s="3" t="s">
        <v>1604</v>
      </c>
      <c r="D31" s="143">
        <v>104.86</v>
      </c>
      <c r="E31" s="3">
        <v>564.66</v>
      </c>
      <c r="F31" s="3">
        <v>58.54</v>
      </c>
      <c r="H31" s="363">
        <f t="shared" ref="H31:H52" si="3">F31/D31*10^7/10^3</f>
        <v>5582.6816707991611</v>
      </c>
      <c r="I31" s="364">
        <f t="shared" ref="I31:I52" si="4">G31/E31*10</f>
        <v>0</v>
      </c>
      <c r="J31" s="3">
        <v>1.04</v>
      </c>
    </row>
    <row r="32" spans="1:11" x14ac:dyDescent="0.35">
      <c r="B32" s="3" t="s">
        <v>1230</v>
      </c>
      <c r="C32" s="3" t="s">
        <v>1604</v>
      </c>
      <c r="D32" s="143">
        <v>12.8325</v>
      </c>
      <c r="E32" s="3">
        <v>65.739999999999995</v>
      </c>
      <c r="F32" s="3">
        <v>8.0500000000000007</v>
      </c>
      <c r="H32" s="363">
        <f t="shared" si="3"/>
        <v>6273.1346191311131</v>
      </c>
      <c r="I32" s="364">
        <f t="shared" si="4"/>
        <v>0</v>
      </c>
      <c r="J32" s="3">
        <v>1.22</v>
      </c>
    </row>
    <row r="33" spans="2:11" x14ac:dyDescent="0.35">
      <c r="B33" s="3" t="s">
        <v>1231</v>
      </c>
      <c r="C33" s="3" t="s">
        <v>1604</v>
      </c>
      <c r="D33" s="143">
        <v>27.63</v>
      </c>
      <c r="E33" s="3">
        <v>136.84</v>
      </c>
      <c r="F33" s="3">
        <v>21.24</v>
      </c>
      <c r="H33" s="363">
        <f t="shared" si="3"/>
        <v>7687.2964169381112</v>
      </c>
      <c r="I33" s="364">
        <f t="shared" si="4"/>
        <v>0</v>
      </c>
      <c r="J33" s="3">
        <v>1.55</v>
      </c>
    </row>
    <row r="34" spans="2:11" x14ac:dyDescent="0.35">
      <c r="B34" s="3" t="s">
        <v>160</v>
      </c>
      <c r="C34" s="3" t="s">
        <v>1604</v>
      </c>
      <c r="D34" s="143">
        <v>171.39600000000002</v>
      </c>
      <c r="E34" s="3">
        <v>617.34</v>
      </c>
      <c r="F34" s="3">
        <v>117.4</v>
      </c>
      <c r="H34" s="363">
        <f t="shared" si="3"/>
        <v>6849.6347639384812</v>
      </c>
      <c r="I34" s="364">
        <f t="shared" si="4"/>
        <v>0</v>
      </c>
      <c r="J34" s="3">
        <v>1.9</v>
      </c>
    </row>
    <row r="35" spans="2:11" x14ac:dyDescent="0.35">
      <c r="B35" s="3" t="s">
        <v>161</v>
      </c>
      <c r="C35" s="3" t="s">
        <v>1604</v>
      </c>
      <c r="D35" s="143">
        <v>32.1</v>
      </c>
      <c r="E35" s="3">
        <v>133.74</v>
      </c>
      <c r="F35" s="3">
        <v>57.72</v>
      </c>
      <c r="H35" s="363">
        <f t="shared" si="3"/>
        <v>17981.308411214952</v>
      </c>
      <c r="I35" s="364">
        <f t="shared" si="4"/>
        <v>0</v>
      </c>
      <c r="J35" s="3">
        <v>4.32</v>
      </c>
    </row>
    <row r="36" spans="2:11" x14ac:dyDescent="0.35">
      <c r="B36" s="3" t="s">
        <v>163</v>
      </c>
      <c r="C36" s="3" t="s">
        <v>1613</v>
      </c>
      <c r="D36" s="143">
        <v>161.3304</v>
      </c>
      <c r="E36" s="3">
        <v>800.98</v>
      </c>
      <c r="G36" s="3">
        <v>280.11</v>
      </c>
      <c r="H36" s="363">
        <f t="shared" si="3"/>
        <v>0</v>
      </c>
      <c r="I36" s="364">
        <f t="shared" si="4"/>
        <v>3.4970910634472774</v>
      </c>
      <c r="J36" s="3">
        <v>3.5</v>
      </c>
    </row>
    <row r="37" spans="2:11" x14ac:dyDescent="0.35">
      <c r="B37" s="3" t="s">
        <v>1232</v>
      </c>
      <c r="C37" s="3" t="s">
        <v>1613</v>
      </c>
      <c r="D37" s="143">
        <v>36.472799999999999</v>
      </c>
      <c r="E37" s="3">
        <v>261.45999999999998</v>
      </c>
      <c r="G37" s="3">
        <v>82.99</v>
      </c>
      <c r="H37" s="363">
        <f t="shared" si="3"/>
        <v>0</v>
      </c>
      <c r="I37" s="364">
        <f t="shared" si="4"/>
        <v>3.1740992886101127</v>
      </c>
      <c r="J37" s="3">
        <v>3.17</v>
      </c>
    </row>
    <row r="38" spans="2:11" x14ac:dyDescent="0.35">
      <c r="B38" s="3" t="s">
        <v>165</v>
      </c>
      <c r="C38" s="3" t="s">
        <v>1604</v>
      </c>
      <c r="D38" s="143">
        <v>29.947319999999998</v>
      </c>
      <c r="E38" s="3">
        <v>221.42</v>
      </c>
      <c r="F38" s="3">
        <v>64.34</v>
      </c>
      <c r="H38" s="363">
        <f t="shared" si="3"/>
        <v>21484.393261233396</v>
      </c>
      <c r="I38" s="364">
        <f t="shared" si="4"/>
        <v>0</v>
      </c>
      <c r="J38" s="3">
        <v>2.91</v>
      </c>
    </row>
    <row r="39" spans="2:11" x14ac:dyDescent="0.35">
      <c r="B39" s="3" t="s">
        <v>164</v>
      </c>
      <c r="C39" s="3" t="s">
        <v>1613</v>
      </c>
      <c r="D39" s="143">
        <v>239.58</v>
      </c>
      <c r="E39" s="21">
        <v>1371.11</v>
      </c>
      <c r="G39" s="3">
        <v>436.16</v>
      </c>
      <c r="H39" s="363">
        <f t="shared" si="3"/>
        <v>0</v>
      </c>
      <c r="I39" s="364">
        <f t="shared" si="4"/>
        <v>3.1810722699126988</v>
      </c>
      <c r="J39" s="3">
        <v>3.18</v>
      </c>
    </row>
    <row r="40" spans="2:11" x14ac:dyDescent="0.35">
      <c r="B40" s="3" t="s">
        <v>1233</v>
      </c>
      <c r="C40" s="3" t="s">
        <v>143</v>
      </c>
      <c r="D40" s="143">
        <v>285.33339999999998</v>
      </c>
      <c r="E40" s="21">
        <v>1558.63</v>
      </c>
      <c r="F40" s="3"/>
      <c r="G40" s="3">
        <v>962</v>
      </c>
      <c r="H40" s="363">
        <f t="shared" si="3"/>
        <v>0</v>
      </c>
      <c r="I40" s="364">
        <f t="shared" si="4"/>
        <v>6.1720870251438766</v>
      </c>
      <c r="J40" s="3">
        <v>6.17</v>
      </c>
    </row>
    <row r="41" spans="2:11" x14ac:dyDescent="0.35">
      <c r="B41" s="3" t="s">
        <v>1234</v>
      </c>
      <c r="C41" s="3" t="s">
        <v>143</v>
      </c>
      <c r="D41" s="143"/>
      <c r="E41" s="3">
        <v>47.16</v>
      </c>
      <c r="G41" s="3">
        <v>30.13</v>
      </c>
      <c r="H41" s="363" t="e">
        <f t="shared" si="3"/>
        <v>#DIV/0!</v>
      </c>
      <c r="I41" s="364">
        <f t="shared" si="4"/>
        <v>6.3888888888888893</v>
      </c>
      <c r="J41" s="3">
        <v>6.39</v>
      </c>
    </row>
    <row r="42" spans="2:11" x14ac:dyDescent="0.35">
      <c r="B42" s="3" t="s">
        <v>162</v>
      </c>
      <c r="C42" s="3" t="s">
        <v>1604</v>
      </c>
      <c r="D42" s="143">
        <v>44.56</v>
      </c>
      <c r="E42" s="3">
        <v>178.12</v>
      </c>
      <c r="F42" s="3">
        <v>89.11</v>
      </c>
      <c r="H42" s="363">
        <f t="shared" si="3"/>
        <v>19997.755834829441</v>
      </c>
      <c r="I42" s="364">
        <f t="shared" si="4"/>
        <v>0</v>
      </c>
      <c r="J42" s="3">
        <v>5</v>
      </c>
    </row>
    <row r="43" spans="2:11" x14ac:dyDescent="0.35">
      <c r="B43" s="3" t="s">
        <v>1235</v>
      </c>
      <c r="C43" s="3" t="s">
        <v>143</v>
      </c>
      <c r="D43" s="143">
        <v>40.762383999999997</v>
      </c>
      <c r="E43" s="3">
        <v>200.34</v>
      </c>
      <c r="F43" s="3"/>
      <c r="G43" s="3">
        <v>66.16</v>
      </c>
      <c r="H43" s="363">
        <f t="shared" si="3"/>
        <v>0</v>
      </c>
      <c r="I43" s="364">
        <f t="shared" si="4"/>
        <v>3.302385943895378</v>
      </c>
      <c r="J43" s="3">
        <v>3.3</v>
      </c>
    </row>
    <row r="44" spans="2:11" x14ac:dyDescent="0.35">
      <c r="B44" s="3" t="s">
        <v>1236</v>
      </c>
      <c r="C44" s="3" t="s">
        <v>143</v>
      </c>
      <c r="D44" s="143">
        <v>18.452775599999995</v>
      </c>
      <c r="E44" s="3">
        <v>191.35</v>
      </c>
      <c r="F44" s="3"/>
      <c r="G44" s="3">
        <v>64.28</v>
      </c>
      <c r="H44" s="363">
        <f t="shared" si="3"/>
        <v>0</v>
      </c>
      <c r="I44" s="364">
        <f t="shared" si="4"/>
        <v>3.359289260517377</v>
      </c>
      <c r="J44" s="3">
        <v>3.36</v>
      </c>
    </row>
    <row r="45" spans="2:11" x14ac:dyDescent="0.35">
      <c r="B45" s="3" t="s">
        <v>1237</v>
      </c>
      <c r="C45" s="3" t="s">
        <v>143</v>
      </c>
      <c r="D45" s="143">
        <v>77.780865000000006</v>
      </c>
      <c r="E45" s="3">
        <v>445.05</v>
      </c>
      <c r="F45" s="3"/>
      <c r="G45" s="3">
        <v>143.97999999999999</v>
      </c>
      <c r="H45" s="363">
        <f t="shared" si="3"/>
        <v>0</v>
      </c>
      <c r="I45" s="364">
        <f t="shared" si="4"/>
        <v>3.2351421188630485</v>
      </c>
      <c r="J45" s="3">
        <v>3.24</v>
      </c>
    </row>
    <row r="46" spans="2:11" x14ac:dyDescent="0.35">
      <c r="B46" s="3" t="s">
        <v>1238</v>
      </c>
      <c r="C46" s="3" t="s">
        <v>143</v>
      </c>
      <c r="D46" s="143">
        <v>21.873310000000004</v>
      </c>
      <c r="E46" s="3">
        <v>145.53</v>
      </c>
      <c r="F46" s="3"/>
      <c r="G46" s="3">
        <v>35.6</v>
      </c>
      <c r="H46" s="363">
        <f t="shared" si="3"/>
        <v>0</v>
      </c>
      <c r="I46" s="364">
        <f t="shared" si="4"/>
        <v>2.4462310176595894</v>
      </c>
      <c r="J46" s="3">
        <v>2.4500000000000002</v>
      </c>
    </row>
    <row r="47" spans="2:11" x14ac:dyDescent="0.35">
      <c r="B47" s="3" t="s">
        <v>166</v>
      </c>
      <c r="C47" s="3" t="s">
        <v>1603</v>
      </c>
      <c r="D47" s="143">
        <v>4.5</v>
      </c>
      <c r="E47" s="3">
        <v>7.79</v>
      </c>
      <c r="F47" s="3">
        <v>3.2</v>
      </c>
      <c r="H47" s="363">
        <f t="shared" si="3"/>
        <v>7111.1111111111113</v>
      </c>
      <c r="I47" s="364">
        <f t="shared" si="4"/>
        <v>0</v>
      </c>
      <c r="J47" s="3">
        <v>4.1100000000000003</v>
      </c>
    </row>
    <row r="48" spans="2:11" x14ac:dyDescent="0.35">
      <c r="B48" s="3" t="s">
        <v>167</v>
      </c>
      <c r="C48" s="3" t="s">
        <v>1604</v>
      </c>
      <c r="D48" s="143"/>
      <c r="E48" s="3">
        <v>0.38</v>
      </c>
      <c r="G48" s="3">
        <v>0.26</v>
      </c>
      <c r="H48" s="363" t="e">
        <f t="shared" si="3"/>
        <v>#DIV/0!</v>
      </c>
      <c r="I48" s="364">
        <f t="shared" si="4"/>
        <v>6.8421052631578947</v>
      </c>
      <c r="J48" s="3">
        <v>6.8</v>
      </c>
      <c r="K48" t="s">
        <v>1296</v>
      </c>
    </row>
    <row r="49" spans="1:19" x14ac:dyDescent="0.35">
      <c r="B49" s="3" t="s">
        <v>168</v>
      </c>
      <c r="C49" s="3" t="s">
        <v>1636</v>
      </c>
      <c r="D49" s="143"/>
      <c r="E49" s="3">
        <v>33.26</v>
      </c>
      <c r="G49" s="3">
        <v>20.51</v>
      </c>
      <c r="H49" s="363" t="e">
        <f t="shared" si="3"/>
        <v>#DIV/0!</v>
      </c>
      <c r="I49" s="364">
        <f t="shared" si="4"/>
        <v>6.1665664461816005</v>
      </c>
      <c r="J49" s="3">
        <v>6.17</v>
      </c>
    </row>
    <row r="50" spans="1:19" x14ac:dyDescent="0.35">
      <c r="B50" s="3" t="s">
        <v>169</v>
      </c>
      <c r="C50" s="3" t="s">
        <v>1636</v>
      </c>
      <c r="D50" s="143"/>
      <c r="E50" s="3">
        <v>10.28</v>
      </c>
      <c r="G50" s="3">
        <v>12.22</v>
      </c>
      <c r="H50" s="363" t="e">
        <f t="shared" si="3"/>
        <v>#DIV/0!</v>
      </c>
      <c r="I50" s="364">
        <f t="shared" si="4"/>
        <v>11.887159533073932</v>
      </c>
      <c r="J50" s="3">
        <v>11.88</v>
      </c>
    </row>
    <row r="51" spans="1:19" x14ac:dyDescent="0.35">
      <c r="B51" s="3" t="s">
        <v>170</v>
      </c>
      <c r="C51" s="3" t="s">
        <v>1636</v>
      </c>
      <c r="D51" s="143">
        <v>5</v>
      </c>
      <c r="E51" s="3">
        <v>6.31</v>
      </c>
      <c r="F51" s="3"/>
      <c r="G51" s="3">
        <v>5.54</v>
      </c>
      <c r="H51" s="363">
        <f t="shared" si="3"/>
        <v>0</v>
      </c>
      <c r="I51" s="364">
        <f t="shared" si="4"/>
        <v>8.779714738510302</v>
      </c>
      <c r="J51" s="3">
        <v>8.7799999999999994</v>
      </c>
    </row>
    <row r="52" spans="1:19" x14ac:dyDescent="0.35">
      <c r="B52" s="3" t="s">
        <v>171</v>
      </c>
      <c r="C52" s="3" t="s">
        <v>143</v>
      </c>
      <c r="D52" s="143"/>
      <c r="E52" s="3">
        <v>34.96</v>
      </c>
      <c r="G52" s="3">
        <v>9.3000000000000007</v>
      </c>
      <c r="H52" s="363" t="e">
        <f t="shared" si="3"/>
        <v>#DIV/0!</v>
      </c>
      <c r="I52" s="364">
        <f t="shared" si="4"/>
        <v>2.6601830663615562</v>
      </c>
      <c r="J52" s="3">
        <v>2.66</v>
      </c>
    </row>
    <row r="55" spans="1:19" x14ac:dyDescent="0.35">
      <c r="A55" s="2" t="s">
        <v>249</v>
      </c>
      <c r="B55" s="2" t="s">
        <v>1228</v>
      </c>
    </row>
    <row r="56" spans="1:19" s="304" customFormat="1" x14ac:dyDescent="0.35">
      <c r="A56" s="2"/>
      <c r="B56" s="2"/>
      <c r="Q56"/>
      <c r="R56"/>
      <c r="S56"/>
    </row>
    <row r="57" spans="1:19" x14ac:dyDescent="0.35">
      <c r="B57" s="10" t="s">
        <v>1026</v>
      </c>
      <c r="C57" s="10" t="s">
        <v>690</v>
      </c>
      <c r="D57" s="10" t="s">
        <v>301</v>
      </c>
      <c r="E57" s="10" t="s">
        <v>301</v>
      </c>
      <c r="F57" s="10" t="s">
        <v>301</v>
      </c>
      <c r="G57" s="10" t="s">
        <v>301</v>
      </c>
      <c r="H57" s="10" t="s">
        <v>308</v>
      </c>
      <c r="I57" s="10" t="s">
        <v>308</v>
      </c>
      <c r="J57" s="10" t="s">
        <v>308</v>
      </c>
      <c r="K57" s="10" t="s">
        <v>308</v>
      </c>
      <c r="L57" s="10" t="s">
        <v>308</v>
      </c>
      <c r="M57" s="10" t="s">
        <v>308</v>
      </c>
      <c r="N57" s="10" t="s">
        <v>308</v>
      </c>
      <c r="O57" s="10" t="s">
        <v>308</v>
      </c>
      <c r="P57" s="10" t="s">
        <v>1027</v>
      </c>
    </row>
    <row r="58" spans="1:19" ht="43.5" x14ac:dyDescent="0.35">
      <c r="B58" s="10" t="s">
        <v>1016</v>
      </c>
      <c r="C58" s="13" t="s">
        <v>1028</v>
      </c>
      <c r="D58" s="13" t="s">
        <v>1029</v>
      </c>
      <c r="E58" s="13" t="s">
        <v>1030</v>
      </c>
      <c r="F58" s="13" t="s">
        <v>1032</v>
      </c>
      <c r="G58" s="13" t="s">
        <v>1031</v>
      </c>
      <c r="H58" s="13" t="s">
        <v>1033</v>
      </c>
      <c r="I58" s="13" t="s">
        <v>1034</v>
      </c>
      <c r="J58" s="13" t="s">
        <v>1035</v>
      </c>
      <c r="K58" s="13" t="s">
        <v>1036</v>
      </c>
      <c r="L58" s="13" t="s">
        <v>1037</v>
      </c>
      <c r="M58" s="13" t="s">
        <v>1038</v>
      </c>
      <c r="N58" s="13" t="s">
        <v>1039</v>
      </c>
      <c r="O58" s="13" t="s">
        <v>1040</v>
      </c>
      <c r="P58" s="13" t="s">
        <v>1041</v>
      </c>
    </row>
    <row r="59" spans="1:19" x14ac:dyDescent="0.35">
      <c r="B59" s="10" t="s">
        <v>1017</v>
      </c>
      <c r="C59" s="3">
        <v>25.66</v>
      </c>
      <c r="D59" s="3">
        <v>16.57</v>
      </c>
      <c r="E59" s="3">
        <v>9.0500000000000007</v>
      </c>
      <c r="F59" s="3">
        <v>0</v>
      </c>
      <c r="G59" s="3">
        <v>22.02</v>
      </c>
      <c r="H59" s="3">
        <v>10.38</v>
      </c>
      <c r="I59" s="3">
        <v>1.5</v>
      </c>
      <c r="J59" s="3">
        <v>2.1</v>
      </c>
      <c r="K59" s="3">
        <v>5.14</v>
      </c>
      <c r="L59" s="3">
        <v>74.77</v>
      </c>
      <c r="M59" s="3">
        <v>0</v>
      </c>
      <c r="N59" s="3">
        <v>20.76</v>
      </c>
      <c r="O59" s="3">
        <v>5.19</v>
      </c>
      <c r="P59" s="3">
        <v>0</v>
      </c>
    </row>
    <row r="60" spans="1:19" x14ac:dyDescent="0.35">
      <c r="B60" s="10" t="s">
        <v>1018</v>
      </c>
      <c r="C60" s="3">
        <v>287.10000000000002</v>
      </c>
      <c r="D60" s="3">
        <v>164.42</v>
      </c>
      <c r="E60" s="3">
        <v>59.02</v>
      </c>
      <c r="F60" s="3">
        <v>0</v>
      </c>
      <c r="G60" s="3">
        <v>240.2</v>
      </c>
      <c r="H60" s="3">
        <v>106.91</v>
      </c>
      <c r="I60" s="3">
        <v>13.09</v>
      </c>
      <c r="J60" s="3">
        <v>28.14</v>
      </c>
      <c r="K60" s="3">
        <v>32.86</v>
      </c>
      <c r="L60" s="3">
        <v>175.48</v>
      </c>
      <c r="M60" s="3">
        <v>0</v>
      </c>
      <c r="N60" s="3">
        <v>44.56</v>
      </c>
      <c r="O60" s="3">
        <v>30.92</v>
      </c>
      <c r="P60" s="3">
        <v>0</v>
      </c>
    </row>
    <row r="61" spans="1:19" x14ac:dyDescent="0.35">
      <c r="B61" s="10" t="s">
        <v>1019</v>
      </c>
      <c r="C61" s="3">
        <v>37.53</v>
      </c>
      <c r="D61" s="3">
        <v>23.59</v>
      </c>
      <c r="E61" s="3">
        <v>11.1</v>
      </c>
      <c r="F61" s="3">
        <v>0</v>
      </c>
      <c r="G61" s="3">
        <v>42.03</v>
      </c>
      <c r="H61" s="3">
        <v>14.79</v>
      </c>
      <c r="I61" s="3">
        <v>1.74</v>
      </c>
      <c r="J61" s="3">
        <v>3.28</v>
      </c>
      <c r="K61" s="3">
        <v>5.9</v>
      </c>
      <c r="L61" s="3">
        <v>33.909999999999997</v>
      </c>
      <c r="M61" s="3">
        <v>0</v>
      </c>
      <c r="N61" s="3">
        <v>9.19</v>
      </c>
      <c r="O61" s="3">
        <v>44.63</v>
      </c>
      <c r="P61" s="3">
        <v>0</v>
      </c>
    </row>
    <row r="62" spans="1:19" x14ac:dyDescent="0.35">
      <c r="B62" s="10" t="s">
        <v>1020</v>
      </c>
      <c r="C62" s="3">
        <v>54.9</v>
      </c>
      <c r="D62" s="3">
        <v>34.380000000000003</v>
      </c>
      <c r="E62" s="3">
        <v>17.05</v>
      </c>
      <c r="F62" s="3">
        <v>0</v>
      </c>
      <c r="G62" s="3">
        <v>79.069999999999993</v>
      </c>
      <c r="H62" s="3">
        <v>34.79</v>
      </c>
      <c r="I62" s="3">
        <v>3.42</v>
      </c>
      <c r="J62" s="3">
        <v>8.4499999999999993</v>
      </c>
      <c r="K62" s="3">
        <v>8.59</v>
      </c>
      <c r="L62" s="3">
        <v>46.6</v>
      </c>
      <c r="M62" s="3">
        <v>0</v>
      </c>
      <c r="N62" s="3">
        <v>14.66</v>
      </c>
      <c r="O62" s="3">
        <v>0</v>
      </c>
      <c r="P62" s="3">
        <v>0</v>
      </c>
    </row>
    <row r="63" spans="1:19" x14ac:dyDescent="0.35">
      <c r="B63" s="10" t="s">
        <v>1021</v>
      </c>
      <c r="C63" s="3">
        <v>27.08</v>
      </c>
      <c r="D63" s="3">
        <v>15.74</v>
      </c>
      <c r="E63" s="3">
        <v>8.1</v>
      </c>
      <c r="F63" s="3">
        <v>0</v>
      </c>
      <c r="G63" s="3">
        <v>22.02</v>
      </c>
      <c r="H63" s="3">
        <v>9.2200000000000006</v>
      </c>
      <c r="I63" s="3">
        <v>1.51</v>
      </c>
      <c r="J63" s="3">
        <v>1.97</v>
      </c>
      <c r="K63" s="3">
        <v>3.94</v>
      </c>
      <c r="L63" s="3">
        <v>23.09</v>
      </c>
      <c r="M63" s="3">
        <v>60</v>
      </c>
      <c r="N63" s="3">
        <v>6.34</v>
      </c>
      <c r="O63" s="3">
        <v>5.27</v>
      </c>
      <c r="P63" s="3">
        <v>0</v>
      </c>
    </row>
    <row r="64" spans="1:19" x14ac:dyDescent="0.35">
      <c r="B64" s="10" t="s">
        <v>1022</v>
      </c>
      <c r="C64" s="3">
        <v>24.65</v>
      </c>
      <c r="D64" s="3">
        <v>16.89</v>
      </c>
      <c r="E64" s="3">
        <v>7.74</v>
      </c>
      <c r="F64" s="3">
        <v>0</v>
      </c>
      <c r="G64" s="3">
        <v>27.02</v>
      </c>
      <c r="H64" s="3">
        <v>12.29</v>
      </c>
      <c r="I64" s="3">
        <v>1.43</v>
      </c>
      <c r="J64" s="3">
        <v>3.33</v>
      </c>
      <c r="K64" s="3">
        <v>13.48</v>
      </c>
      <c r="L64" s="3">
        <v>21.61</v>
      </c>
      <c r="M64" s="3">
        <v>0</v>
      </c>
      <c r="N64" s="3">
        <v>5.94</v>
      </c>
      <c r="O64" s="3">
        <v>6.76</v>
      </c>
      <c r="P64" s="3">
        <v>0</v>
      </c>
    </row>
    <row r="65" spans="1:16" x14ac:dyDescent="0.35">
      <c r="B65" s="10" t="s">
        <v>1023</v>
      </c>
      <c r="C65" s="3">
        <v>38.090000000000003</v>
      </c>
      <c r="D65" s="3">
        <v>19.399999999999999</v>
      </c>
      <c r="E65" s="3">
        <v>22.93</v>
      </c>
      <c r="F65" s="3">
        <v>101</v>
      </c>
      <c r="G65" s="3">
        <v>196.16</v>
      </c>
      <c r="H65" s="3">
        <v>11.61</v>
      </c>
      <c r="I65" s="3">
        <v>2.31</v>
      </c>
      <c r="J65" s="3">
        <v>2.73</v>
      </c>
      <c r="K65" s="3">
        <v>5.0999999999999996</v>
      </c>
      <c r="L65" s="3">
        <v>29.55</v>
      </c>
      <c r="M65" s="3">
        <v>0</v>
      </c>
      <c r="N65" s="3">
        <v>8.5399999999999991</v>
      </c>
      <c r="O65" s="3">
        <v>12.23</v>
      </c>
      <c r="P65" s="3">
        <v>5</v>
      </c>
    </row>
    <row r="66" spans="1:16" x14ac:dyDescent="0.35">
      <c r="B66" s="10" t="s">
        <v>1024</v>
      </c>
      <c r="C66" s="3">
        <v>5</v>
      </c>
      <c r="D66" s="3">
        <v>0</v>
      </c>
      <c r="E66" s="3">
        <v>0</v>
      </c>
      <c r="F66" s="3">
        <v>0</v>
      </c>
      <c r="G66" s="3">
        <v>98.08</v>
      </c>
      <c r="H66" s="3">
        <v>0</v>
      </c>
      <c r="I66" s="3">
        <v>0</v>
      </c>
      <c r="J66" s="3">
        <v>0</v>
      </c>
      <c r="K66" s="3">
        <v>0</v>
      </c>
      <c r="L66" s="3">
        <v>0</v>
      </c>
      <c r="M66" s="3">
        <v>0</v>
      </c>
      <c r="N66" s="3">
        <v>0</v>
      </c>
      <c r="O66" s="3">
        <v>0</v>
      </c>
      <c r="P66" s="3">
        <v>0</v>
      </c>
    </row>
    <row r="67" spans="1:16" x14ac:dyDescent="0.35">
      <c r="B67" s="10" t="s">
        <v>1025</v>
      </c>
      <c r="C67" s="10">
        <v>500</v>
      </c>
      <c r="D67" s="10">
        <v>291</v>
      </c>
      <c r="E67" s="10">
        <v>135</v>
      </c>
      <c r="F67" s="10">
        <v>101</v>
      </c>
      <c r="G67" s="10">
        <v>726.6</v>
      </c>
      <c r="H67" s="10">
        <v>200</v>
      </c>
      <c r="I67" s="10">
        <v>25</v>
      </c>
      <c r="J67" s="10">
        <v>50</v>
      </c>
      <c r="K67" s="10">
        <v>75</v>
      </c>
      <c r="L67" s="10">
        <v>405</v>
      </c>
      <c r="M67" s="10">
        <v>60</v>
      </c>
      <c r="N67" s="10">
        <v>110</v>
      </c>
      <c r="O67" s="10">
        <v>105</v>
      </c>
      <c r="P67" s="10">
        <v>5</v>
      </c>
    </row>
    <row r="69" spans="1:16" s="304" customFormat="1" x14ac:dyDescent="0.35">
      <c r="A69" s="304" t="s">
        <v>249</v>
      </c>
      <c r="B69" s="2" t="s">
        <v>1294</v>
      </c>
      <c r="C69" s="2" t="s">
        <v>1292</v>
      </c>
    </row>
    <row r="70" spans="1:16" s="304" customFormat="1" x14ac:dyDescent="0.35"/>
    <row r="71" spans="1:16" s="304" customFormat="1" x14ac:dyDescent="0.35">
      <c r="B71" s="353" t="s">
        <v>1243</v>
      </c>
    </row>
    <row r="72" spans="1:16" s="304" customFormat="1" ht="43.5" x14ac:dyDescent="0.35">
      <c r="A72" s="354" t="s">
        <v>1244</v>
      </c>
      <c r="B72" s="354" t="s">
        <v>1245</v>
      </c>
      <c r="C72" s="354" t="s">
        <v>264</v>
      </c>
      <c r="D72" s="354" t="s">
        <v>1246</v>
      </c>
    </row>
    <row r="73" spans="1:16" s="304" customFormat="1" ht="29" x14ac:dyDescent="0.35">
      <c r="A73" s="355">
        <v>1</v>
      </c>
      <c r="B73" s="355" t="s">
        <v>1247</v>
      </c>
      <c r="C73" s="355" t="s">
        <v>1248</v>
      </c>
      <c r="D73" s="355">
        <v>70</v>
      </c>
    </row>
    <row r="74" spans="1:16" s="304" customFormat="1" x14ac:dyDescent="0.35">
      <c r="A74" s="355">
        <v>2</v>
      </c>
      <c r="B74" s="355" t="s">
        <v>1249</v>
      </c>
      <c r="C74" s="355" t="s">
        <v>308</v>
      </c>
      <c r="D74" s="355">
        <v>3</v>
      </c>
    </row>
    <row r="75" spans="1:16" s="304" customFormat="1" ht="29" x14ac:dyDescent="0.35">
      <c r="A75" s="355">
        <v>3</v>
      </c>
      <c r="B75" s="355" t="s">
        <v>1250</v>
      </c>
      <c r="C75" s="355" t="s">
        <v>1248</v>
      </c>
      <c r="D75" s="355">
        <v>111</v>
      </c>
    </row>
    <row r="76" spans="1:16" s="304" customFormat="1" ht="29" x14ac:dyDescent="0.35">
      <c r="A76" s="355">
        <v>4</v>
      </c>
      <c r="B76" s="355" t="s">
        <v>1251</v>
      </c>
      <c r="C76" s="355" t="s">
        <v>1248</v>
      </c>
      <c r="D76" s="355">
        <v>97.2</v>
      </c>
    </row>
    <row r="77" spans="1:16" s="304" customFormat="1" x14ac:dyDescent="0.35">
      <c r="A77" s="355">
        <v>5</v>
      </c>
      <c r="B77" s="355" t="s">
        <v>1252</v>
      </c>
      <c r="C77" s="355" t="s">
        <v>308</v>
      </c>
      <c r="D77" s="355">
        <v>100</v>
      </c>
    </row>
    <row r="79" spans="1:16" s="304" customFormat="1" x14ac:dyDescent="0.35">
      <c r="A79" s="2" t="s">
        <v>249</v>
      </c>
      <c r="B79" s="356" t="s">
        <v>1279</v>
      </c>
    </row>
    <row r="80" spans="1:16" s="304" customFormat="1" x14ac:dyDescent="0.35">
      <c r="A80" s="29" t="s">
        <v>1280</v>
      </c>
      <c r="B80" s="29" t="s">
        <v>1273</v>
      </c>
    </row>
    <row r="81" spans="1:11" s="304" customFormat="1" x14ac:dyDescent="0.35">
      <c r="C81" s="304" t="s">
        <v>1250</v>
      </c>
      <c r="D81" s="304" t="s">
        <v>1250</v>
      </c>
      <c r="E81" s="304" t="s">
        <v>1250</v>
      </c>
      <c r="F81" s="304" t="s">
        <v>1251</v>
      </c>
      <c r="G81" s="304" t="s">
        <v>1251</v>
      </c>
      <c r="H81" s="304" t="s">
        <v>1251</v>
      </c>
      <c r="I81" s="304" t="s">
        <v>1252</v>
      </c>
      <c r="J81" s="304" t="s">
        <v>1252</v>
      </c>
      <c r="K81" s="304" t="s">
        <v>1252</v>
      </c>
    </row>
    <row r="82" spans="1:11" s="304" customFormat="1" ht="72.5" x14ac:dyDescent="0.35">
      <c r="A82" s="3" t="s">
        <v>1274</v>
      </c>
      <c r="B82" s="3" t="s">
        <v>1275</v>
      </c>
      <c r="C82" s="4" t="s">
        <v>1276</v>
      </c>
      <c r="D82" s="4" t="s">
        <v>1277</v>
      </c>
      <c r="E82" s="4" t="s">
        <v>1278</v>
      </c>
      <c r="F82" s="4" t="s">
        <v>1276</v>
      </c>
      <c r="G82" s="4" t="s">
        <v>1277</v>
      </c>
      <c r="H82" s="4" t="s">
        <v>1278</v>
      </c>
      <c r="I82" s="4" t="s">
        <v>1276</v>
      </c>
      <c r="J82" s="4" t="s">
        <v>1277</v>
      </c>
      <c r="K82" s="4" t="s">
        <v>1278</v>
      </c>
    </row>
    <row r="83" spans="1:11" s="304" customFormat="1" x14ac:dyDescent="0.35">
      <c r="A83" s="3" t="s">
        <v>1270</v>
      </c>
      <c r="B83" s="3" t="s">
        <v>1259</v>
      </c>
      <c r="C83" s="3"/>
      <c r="D83" s="3"/>
      <c r="E83" s="3"/>
      <c r="F83" s="3"/>
      <c r="G83" s="3"/>
      <c r="H83" s="3"/>
      <c r="I83" s="3"/>
      <c r="J83" s="3"/>
      <c r="K83" s="3"/>
    </row>
    <row r="84" spans="1:11" s="304" customFormat="1" x14ac:dyDescent="0.35">
      <c r="A84" s="3">
        <v>1</v>
      </c>
      <c r="B84" s="3" t="s">
        <v>1260</v>
      </c>
      <c r="C84" s="3">
        <v>42.74</v>
      </c>
      <c r="D84" s="3">
        <v>41.87</v>
      </c>
      <c r="E84" s="3">
        <v>42.57</v>
      </c>
      <c r="F84" s="3">
        <v>46.3</v>
      </c>
      <c r="G84" s="3">
        <v>27.84</v>
      </c>
      <c r="H84" s="3">
        <v>46.11</v>
      </c>
      <c r="I84" s="3">
        <v>23.85</v>
      </c>
      <c r="J84" s="3">
        <v>24.48</v>
      </c>
      <c r="K84" s="3">
        <v>23.75</v>
      </c>
    </row>
    <row r="85" spans="1:11" s="304" customFormat="1" x14ac:dyDescent="0.35">
      <c r="A85" s="3">
        <v>2</v>
      </c>
      <c r="B85" s="3" t="s">
        <v>1261</v>
      </c>
      <c r="C85" s="3">
        <v>1.62</v>
      </c>
      <c r="D85" s="3" t="s">
        <v>129</v>
      </c>
      <c r="E85" s="3">
        <v>8.35</v>
      </c>
      <c r="F85" s="3">
        <v>1.89</v>
      </c>
      <c r="G85" s="3" t="s">
        <v>129</v>
      </c>
      <c r="H85" s="3">
        <v>9.8699999999999992</v>
      </c>
      <c r="I85" s="3">
        <v>2.71</v>
      </c>
      <c r="J85" s="3" t="s">
        <v>129</v>
      </c>
      <c r="K85" s="3">
        <v>4.1500000000000004</v>
      </c>
    </row>
    <row r="86" spans="1:11" s="304" customFormat="1" x14ac:dyDescent="0.35">
      <c r="A86" s="3">
        <v>3</v>
      </c>
      <c r="B86" s="3" t="s">
        <v>1262</v>
      </c>
      <c r="C86" s="3" t="s">
        <v>129</v>
      </c>
      <c r="D86" s="3" t="s">
        <v>129</v>
      </c>
      <c r="E86" s="3" t="s">
        <v>129</v>
      </c>
      <c r="F86" s="3" t="s">
        <v>129</v>
      </c>
      <c r="G86" s="3" t="s">
        <v>129</v>
      </c>
      <c r="H86" s="3" t="s">
        <v>129</v>
      </c>
      <c r="I86" s="3">
        <v>25.9</v>
      </c>
      <c r="J86" s="3" t="s">
        <v>129</v>
      </c>
      <c r="K86" s="3" t="s">
        <v>129</v>
      </c>
    </row>
    <row r="87" spans="1:11" s="304" customFormat="1" x14ac:dyDescent="0.35">
      <c r="A87" s="3">
        <v>4</v>
      </c>
      <c r="B87" s="3" t="s">
        <v>1263</v>
      </c>
      <c r="C87" s="3">
        <v>1.74</v>
      </c>
      <c r="D87" s="3">
        <v>1.47</v>
      </c>
      <c r="E87" s="3">
        <v>1.42</v>
      </c>
      <c r="F87" s="3">
        <v>15.41</v>
      </c>
      <c r="G87" s="3">
        <v>10.25</v>
      </c>
      <c r="H87" s="3">
        <v>15.05</v>
      </c>
      <c r="I87" s="3">
        <v>22.3</v>
      </c>
      <c r="J87" s="3">
        <v>21.37</v>
      </c>
      <c r="K87" s="3">
        <v>21.87</v>
      </c>
    </row>
    <row r="88" spans="1:11" s="304" customFormat="1" x14ac:dyDescent="0.35">
      <c r="A88" s="3">
        <v>5</v>
      </c>
      <c r="B88" s="3" t="s">
        <v>1264</v>
      </c>
      <c r="C88" s="3">
        <v>0.8</v>
      </c>
      <c r="D88" s="3">
        <v>0.04</v>
      </c>
      <c r="E88" s="3">
        <v>0.4</v>
      </c>
      <c r="F88" s="3">
        <v>0.55000000000000004</v>
      </c>
      <c r="G88" s="3">
        <v>0.48</v>
      </c>
      <c r="H88" s="3">
        <v>0.24</v>
      </c>
      <c r="I88" s="3">
        <v>19.36</v>
      </c>
      <c r="J88" s="3">
        <v>23.25</v>
      </c>
      <c r="K88" s="3">
        <v>23.15</v>
      </c>
    </row>
    <row r="89" spans="1:11" s="304" customFormat="1" x14ac:dyDescent="0.35">
      <c r="A89" s="3">
        <v>6</v>
      </c>
      <c r="B89" s="3" t="s">
        <v>1265</v>
      </c>
      <c r="C89" s="3">
        <v>8.5299999999999994</v>
      </c>
      <c r="D89" s="3">
        <v>8.5299999999999994</v>
      </c>
      <c r="E89" s="3">
        <v>8.5299999999999994</v>
      </c>
      <c r="F89" s="3">
        <v>22.18</v>
      </c>
      <c r="G89" s="3">
        <v>22.18</v>
      </c>
      <c r="H89" s="3">
        <v>22.18</v>
      </c>
      <c r="I89" s="3">
        <v>10.64</v>
      </c>
      <c r="J89" s="3">
        <v>10.64</v>
      </c>
      <c r="K89" s="3">
        <v>10.64</v>
      </c>
    </row>
    <row r="90" spans="1:11" s="304" customFormat="1" x14ac:dyDescent="0.35">
      <c r="A90" s="3">
        <v>7</v>
      </c>
      <c r="B90" s="3" t="s">
        <v>1266</v>
      </c>
      <c r="C90" s="3">
        <v>6.49</v>
      </c>
      <c r="D90" s="3">
        <v>6.64</v>
      </c>
      <c r="E90" s="3">
        <v>7</v>
      </c>
      <c r="F90" s="3">
        <v>7.31</v>
      </c>
      <c r="G90" s="3">
        <v>6.51</v>
      </c>
      <c r="H90" s="3">
        <v>7.89</v>
      </c>
      <c r="I90" s="3">
        <v>2.95</v>
      </c>
      <c r="J90" s="3">
        <v>2.88</v>
      </c>
      <c r="K90" s="3">
        <v>2.38</v>
      </c>
    </row>
    <row r="91" spans="1:11" s="304" customFormat="1" x14ac:dyDescent="0.35">
      <c r="A91" s="3">
        <v>8</v>
      </c>
      <c r="B91" s="3" t="s">
        <v>1267</v>
      </c>
      <c r="C91" s="3">
        <v>5.83</v>
      </c>
      <c r="D91" s="3">
        <v>7.13</v>
      </c>
      <c r="E91" s="3">
        <v>7.13</v>
      </c>
      <c r="F91" s="3">
        <v>7.84</v>
      </c>
      <c r="G91" s="3">
        <v>9.2200000000000006</v>
      </c>
      <c r="H91" s="3">
        <v>9.2200000000000006</v>
      </c>
      <c r="I91" s="3">
        <v>4.46</v>
      </c>
      <c r="J91" s="3">
        <v>5.75</v>
      </c>
      <c r="K91" s="3">
        <v>5.75</v>
      </c>
    </row>
    <row r="92" spans="1:11" s="304" customFormat="1" x14ac:dyDescent="0.35">
      <c r="A92" s="3">
        <v>9</v>
      </c>
      <c r="B92" s="3" t="s">
        <v>1259</v>
      </c>
      <c r="C92" s="3">
        <v>56.08</v>
      </c>
      <c r="D92" s="3">
        <v>51.41</v>
      </c>
      <c r="E92" s="3">
        <v>61.13</v>
      </c>
      <c r="F92" s="3">
        <v>85.8</v>
      </c>
      <c r="G92" s="3">
        <v>58.05</v>
      </c>
      <c r="H92" s="3">
        <v>92.12</v>
      </c>
      <c r="I92" s="3">
        <v>103.24</v>
      </c>
      <c r="J92" s="3">
        <v>76.88</v>
      </c>
      <c r="K92" s="3">
        <v>80.19</v>
      </c>
    </row>
    <row r="93" spans="1:11" s="304" customFormat="1" x14ac:dyDescent="0.35">
      <c r="A93" s="3" t="s">
        <v>1271</v>
      </c>
      <c r="B93" s="3" t="s">
        <v>1268</v>
      </c>
      <c r="C93" s="3">
        <v>124.63</v>
      </c>
      <c r="D93" s="3">
        <v>106.61</v>
      </c>
      <c r="E93" s="3">
        <v>89.79</v>
      </c>
      <c r="F93" s="3">
        <v>124.43</v>
      </c>
      <c r="G93" s="3">
        <v>118.47</v>
      </c>
      <c r="H93" s="3">
        <v>120.69</v>
      </c>
      <c r="I93" s="3">
        <v>0</v>
      </c>
      <c r="J93" s="3">
        <v>0</v>
      </c>
      <c r="K93" s="3">
        <v>0</v>
      </c>
    </row>
    <row r="94" spans="1:11" s="304" customFormat="1" x14ac:dyDescent="0.35">
      <c r="A94" s="3" t="s">
        <v>1272</v>
      </c>
      <c r="B94" s="3" t="s">
        <v>1269</v>
      </c>
      <c r="C94" s="3">
        <v>180.7</v>
      </c>
      <c r="D94" s="3">
        <v>158.02000000000001</v>
      </c>
      <c r="E94" s="3">
        <v>150.91999999999999</v>
      </c>
      <c r="F94" s="3">
        <v>210.23</v>
      </c>
      <c r="G94" s="3">
        <v>176.52</v>
      </c>
      <c r="H94" s="3">
        <v>212.82</v>
      </c>
      <c r="I94" s="3">
        <v>103.24</v>
      </c>
      <c r="J94" s="3">
        <v>76.88</v>
      </c>
      <c r="K94" s="3">
        <v>80.19</v>
      </c>
    </row>
    <row r="95" spans="1:11" s="304" customFormat="1" x14ac:dyDescent="0.35"/>
    <row r="96" spans="1:11" s="304" customFormat="1" x14ac:dyDescent="0.35"/>
    <row r="97" spans="1:4" s="304" customFormat="1" x14ac:dyDescent="0.35">
      <c r="A97" s="29" t="s">
        <v>1290</v>
      </c>
      <c r="B97" s="29" t="s">
        <v>1289</v>
      </c>
    </row>
    <row r="98" spans="1:4" s="304" customFormat="1" ht="58" x14ac:dyDescent="0.35">
      <c r="A98" s="3" t="s">
        <v>1244</v>
      </c>
      <c r="B98" s="3" t="s">
        <v>33</v>
      </c>
      <c r="C98" s="4" t="s">
        <v>1287</v>
      </c>
      <c r="D98" s="4" t="s">
        <v>1288</v>
      </c>
    </row>
    <row r="99" spans="1:4" s="304" customFormat="1" x14ac:dyDescent="0.35">
      <c r="A99" s="3">
        <v>1</v>
      </c>
      <c r="B99" s="3" t="s">
        <v>1250</v>
      </c>
      <c r="C99" s="3">
        <v>336.93</v>
      </c>
      <c r="D99" s="3">
        <v>321.77</v>
      </c>
    </row>
    <row r="100" spans="1:4" s="304" customFormat="1" x14ac:dyDescent="0.35">
      <c r="A100" s="3">
        <v>2</v>
      </c>
      <c r="B100" s="3" t="s">
        <v>1251</v>
      </c>
      <c r="C100" s="3">
        <v>443.69</v>
      </c>
      <c r="D100" s="3">
        <v>419.29</v>
      </c>
    </row>
    <row r="101" spans="1:4" s="304" customFormat="1" x14ac:dyDescent="0.35">
      <c r="A101" s="3"/>
      <c r="B101" s="3" t="s">
        <v>1286</v>
      </c>
      <c r="C101" s="3">
        <v>780.62</v>
      </c>
      <c r="D101" s="3">
        <v>741.06</v>
      </c>
    </row>
    <row r="102" spans="1:4" s="304" customFormat="1" x14ac:dyDescent="0.35">
      <c r="A102" s="3">
        <v>3</v>
      </c>
      <c r="B102" s="3" t="s">
        <v>1252</v>
      </c>
      <c r="C102" s="3">
        <v>390.52</v>
      </c>
      <c r="D102" s="3">
        <v>388.57</v>
      </c>
    </row>
    <row r="103" spans="1:4" s="304" customFormat="1" x14ac:dyDescent="0.35">
      <c r="A103" s="3"/>
      <c r="B103" s="3" t="s">
        <v>1285</v>
      </c>
      <c r="C103" s="3">
        <v>1171.1400000000001</v>
      </c>
      <c r="D103" s="21">
        <v>1129.6199999999999</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55"/>
  <sheetViews>
    <sheetView workbookViewId="0"/>
  </sheetViews>
  <sheetFormatPr defaultRowHeight="14.5" x14ac:dyDescent="0.35"/>
  <cols>
    <col min="2" max="2" width="21.453125" bestFit="1" customWidth="1"/>
  </cols>
  <sheetData>
    <row r="1" spans="1:9" ht="29" x14ac:dyDescent="0.35">
      <c r="B1" s="18" t="s">
        <v>157</v>
      </c>
      <c r="C1" s="18" t="s">
        <v>180</v>
      </c>
      <c r="D1" s="18" t="s">
        <v>146</v>
      </c>
      <c r="E1" s="18" t="s">
        <v>703</v>
      </c>
      <c r="F1" s="18" t="s">
        <v>182</v>
      </c>
      <c r="G1" s="18" t="s">
        <v>142</v>
      </c>
      <c r="H1" s="18" t="s">
        <v>738</v>
      </c>
      <c r="I1" s="18" t="s">
        <v>737</v>
      </c>
    </row>
    <row r="2" spans="1:9" x14ac:dyDescent="0.35">
      <c r="B2" s="3" t="s">
        <v>143</v>
      </c>
      <c r="C2" s="3" t="s">
        <v>739</v>
      </c>
      <c r="D2" s="143">
        <f>SUMIF($C$24:$C$122,$B2,D$24:D$122)</f>
        <v>156.58700000000002</v>
      </c>
      <c r="E2" s="143">
        <f>SUMIF($C$24:$C$122,$B2,E$24:E$122)</f>
        <v>1208.01</v>
      </c>
      <c r="F2" s="143">
        <f>H2/D2*10^7/10^3</f>
        <v>8383.1991161462956</v>
      </c>
      <c r="G2" s="11">
        <f>I2/E2*10</f>
        <v>1.9995695399872515</v>
      </c>
      <c r="H2" s="143">
        <f t="shared" ref="H2:H13" si="0">SUMIF($C$24:$C$122,$B2,H$24:H$122)</f>
        <v>131.27000000000001</v>
      </c>
      <c r="I2" s="143">
        <f>SUMIF($C$24:$C$122,$B2,I$24:I$122)</f>
        <v>241.54999999999995</v>
      </c>
    </row>
    <row r="3" spans="1:9" x14ac:dyDescent="0.35">
      <c r="B3" s="3" t="s">
        <v>144</v>
      </c>
      <c r="C3" s="3" t="s">
        <v>739</v>
      </c>
      <c r="D3" s="143">
        <f t="shared" ref="D3:E13" si="1">SUMIF($C$24:$C$122,$B3,D$24:D$122)</f>
        <v>0</v>
      </c>
      <c r="E3" s="143">
        <f t="shared" si="1"/>
        <v>0</v>
      </c>
      <c r="F3" s="143"/>
      <c r="G3" s="11"/>
      <c r="H3" s="143">
        <f t="shared" si="0"/>
        <v>0</v>
      </c>
      <c r="I3" s="143">
        <f>SUMIF($C$24:$C$122,$B3,I$24:I$122)</f>
        <v>0</v>
      </c>
    </row>
    <row r="4" spans="1:9" x14ac:dyDescent="0.35">
      <c r="B4" s="3" t="s">
        <v>1612</v>
      </c>
      <c r="C4" s="3" t="s">
        <v>739</v>
      </c>
      <c r="D4" s="143">
        <f>SUM(D2:D3)</f>
        <v>156.58700000000002</v>
      </c>
      <c r="E4" s="143">
        <f>SUM(E2:E3)</f>
        <v>1208.01</v>
      </c>
      <c r="F4" s="143">
        <f t="shared" ref="F4:F10" si="2">H4/D4*10^7/10^3</f>
        <v>8383.1991161462956</v>
      </c>
      <c r="G4" s="11">
        <f t="shared" ref="G4:G11" si="3">I4/E4*10</f>
        <v>1.9995695399872515</v>
      </c>
      <c r="H4" s="143">
        <f>SUM(H2:H3)</f>
        <v>131.27000000000001</v>
      </c>
      <c r="I4" s="143">
        <f>SUM(I2:I3)</f>
        <v>241.54999999999995</v>
      </c>
    </row>
    <row r="5" spans="1:9" x14ac:dyDescent="0.35">
      <c r="B5" s="3" t="s">
        <v>1613</v>
      </c>
      <c r="C5" s="3" t="s">
        <v>739</v>
      </c>
      <c r="D5" s="143">
        <f t="shared" si="1"/>
        <v>61.994799999999998</v>
      </c>
      <c r="E5" s="143">
        <f t="shared" si="1"/>
        <v>153.70999999999998</v>
      </c>
      <c r="F5" s="143">
        <f t="shared" si="2"/>
        <v>4619.7423009671784</v>
      </c>
      <c r="G5" s="11">
        <f t="shared" si="3"/>
        <v>3.1630993429184833</v>
      </c>
      <c r="H5" s="143">
        <f t="shared" si="0"/>
        <v>28.64</v>
      </c>
      <c r="I5" s="143">
        <f t="shared" ref="I5:I13" si="4">SUMIF($C$24:$C$122,$B5,I$24:I$122)</f>
        <v>48.620000000000005</v>
      </c>
    </row>
    <row r="6" spans="1:9" x14ac:dyDescent="0.35">
      <c r="B6" s="3" t="s">
        <v>1614</v>
      </c>
      <c r="C6" s="3" t="s">
        <v>739</v>
      </c>
      <c r="D6" s="143">
        <f t="shared" si="1"/>
        <v>0</v>
      </c>
      <c r="E6" s="143">
        <f t="shared" si="1"/>
        <v>0</v>
      </c>
      <c r="F6" s="143"/>
      <c r="G6" s="11"/>
      <c r="H6" s="143">
        <f t="shared" si="0"/>
        <v>0</v>
      </c>
      <c r="I6" s="143">
        <f t="shared" si="4"/>
        <v>0</v>
      </c>
    </row>
    <row r="7" spans="1:9" x14ac:dyDescent="0.35">
      <c r="B7" s="3" t="s">
        <v>1615</v>
      </c>
      <c r="C7" s="3" t="s">
        <v>739</v>
      </c>
      <c r="D7" s="143">
        <f t="shared" si="1"/>
        <v>100.93600000000001</v>
      </c>
      <c r="E7" s="143">
        <f t="shared" si="1"/>
        <v>191.48000000000002</v>
      </c>
      <c r="F7" s="143">
        <f t="shared" si="2"/>
        <v>0</v>
      </c>
      <c r="G7" s="11">
        <f t="shared" si="3"/>
        <v>3.1663881345310205</v>
      </c>
      <c r="H7" s="143">
        <f t="shared" si="0"/>
        <v>0</v>
      </c>
      <c r="I7" s="143">
        <f t="shared" si="4"/>
        <v>60.629999999999995</v>
      </c>
    </row>
    <row r="8" spans="1:9" x14ac:dyDescent="0.35">
      <c r="B8" s="3" t="s">
        <v>1604</v>
      </c>
      <c r="C8" s="3" t="s">
        <v>739</v>
      </c>
      <c r="D8" s="143">
        <f t="shared" si="1"/>
        <v>1469.642182</v>
      </c>
      <c r="E8" s="143">
        <f t="shared" si="1"/>
        <v>8084.3500000000022</v>
      </c>
      <c r="F8" s="143">
        <f t="shared" si="2"/>
        <v>6405.2325901462182</v>
      </c>
      <c r="G8" s="11">
        <f t="shared" si="3"/>
        <v>1.0988143759238529</v>
      </c>
      <c r="H8" s="143">
        <f t="shared" si="0"/>
        <v>941.34</v>
      </c>
      <c r="I8" s="143">
        <f t="shared" si="4"/>
        <v>888.32000000000016</v>
      </c>
    </row>
    <row r="9" spans="1:9" x14ac:dyDescent="0.35">
      <c r="B9" s="3" t="s">
        <v>1603</v>
      </c>
      <c r="C9" s="3" t="s">
        <v>739</v>
      </c>
      <c r="D9" s="143">
        <f t="shared" si="1"/>
        <v>0</v>
      </c>
      <c r="E9" s="143">
        <f t="shared" si="1"/>
        <v>1714</v>
      </c>
      <c r="F9" s="143"/>
      <c r="G9" s="11">
        <f t="shared" si="3"/>
        <v>2.6960326721120187</v>
      </c>
      <c r="H9" s="143">
        <f t="shared" si="0"/>
        <v>0</v>
      </c>
      <c r="I9" s="143">
        <f t="shared" si="4"/>
        <v>462.09999999999997</v>
      </c>
    </row>
    <row r="10" spans="1:9" x14ac:dyDescent="0.35">
      <c r="B10" s="3" t="s">
        <v>1605</v>
      </c>
      <c r="C10" s="3" t="s">
        <v>739</v>
      </c>
      <c r="D10" s="143">
        <f t="shared" si="1"/>
        <v>7.2</v>
      </c>
      <c r="E10" s="143">
        <f t="shared" si="1"/>
        <v>24.53</v>
      </c>
      <c r="F10" s="143">
        <f t="shared" si="2"/>
        <v>0</v>
      </c>
      <c r="G10" s="11">
        <f t="shared" si="3"/>
        <v>7.9005299633102313</v>
      </c>
      <c r="H10" s="143">
        <f t="shared" si="0"/>
        <v>0</v>
      </c>
      <c r="I10" s="143">
        <f t="shared" si="4"/>
        <v>19.38</v>
      </c>
    </row>
    <row r="11" spans="1:9" x14ac:dyDescent="0.35">
      <c r="B11" s="3" t="s">
        <v>1636</v>
      </c>
      <c r="C11" s="3" t="s">
        <v>739</v>
      </c>
      <c r="D11" s="143">
        <f t="shared" si="1"/>
        <v>0</v>
      </c>
      <c r="E11" s="143">
        <f t="shared" si="1"/>
        <v>94.88</v>
      </c>
      <c r="F11" s="143"/>
      <c r="G11" s="11">
        <f t="shared" si="3"/>
        <v>6.0760961214165263</v>
      </c>
      <c r="H11" s="143">
        <f t="shared" si="0"/>
        <v>0</v>
      </c>
      <c r="I11" s="143">
        <f t="shared" si="4"/>
        <v>57.65</v>
      </c>
    </row>
    <row r="12" spans="1:9" x14ac:dyDescent="0.35">
      <c r="B12" s="3" t="s">
        <v>145</v>
      </c>
      <c r="C12" s="3" t="s">
        <v>739</v>
      </c>
      <c r="D12" s="143">
        <f t="shared" si="1"/>
        <v>0</v>
      </c>
      <c r="E12" s="143">
        <f t="shared" si="1"/>
        <v>0</v>
      </c>
      <c r="F12" s="143"/>
      <c r="G12" s="11"/>
      <c r="H12" s="143">
        <f t="shared" si="0"/>
        <v>0</v>
      </c>
      <c r="I12" s="143">
        <f t="shared" si="4"/>
        <v>0</v>
      </c>
    </row>
    <row r="13" spans="1:9" x14ac:dyDescent="0.35">
      <c r="B13" s="3" t="s">
        <v>1606</v>
      </c>
      <c r="C13" s="3" t="s">
        <v>739</v>
      </c>
      <c r="D13" s="143">
        <f t="shared" si="1"/>
        <v>0</v>
      </c>
      <c r="E13" s="143">
        <f t="shared" si="1"/>
        <v>0</v>
      </c>
      <c r="F13" s="143"/>
      <c r="G13" s="11"/>
      <c r="H13" s="143">
        <f t="shared" si="0"/>
        <v>0</v>
      </c>
      <c r="I13" s="143">
        <f t="shared" si="4"/>
        <v>0</v>
      </c>
    </row>
    <row r="15" spans="1:9" s="304" customFormat="1" x14ac:dyDescent="0.35">
      <c r="A15" s="2" t="s">
        <v>49</v>
      </c>
      <c r="B15" s="2" t="s">
        <v>1385</v>
      </c>
      <c r="C15" s="2" t="s">
        <v>1386</v>
      </c>
    </row>
    <row r="16" spans="1:9" s="304" customFormat="1" x14ac:dyDescent="0.35">
      <c r="B16" s="365" t="s">
        <v>47</v>
      </c>
      <c r="C16" s="2" t="s">
        <v>1365</v>
      </c>
    </row>
    <row r="17" spans="1:9" s="304" customFormat="1" x14ac:dyDescent="0.35">
      <c r="B17" s="2" t="s">
        <v>1387</v>
      </c>
      <c r="C17" s="2" t="s">
        <v>1388</v>
      </c>
    </row>
    <row r="18" spans="1:9" s="304" customFormat="1" x14ac:dyDescent="0.35">
      <c r="B18" s="365" t="s">
        <v>1389</v>
      </c>
      <c r="C18" s="365" t="s">
        <v>1390</v>
      </c>
    </row>
    <row r="19" spans="1:9" s="304" customFormat="1" x14ac:dyDescent="0.35">
      <c r="B19" s="365" t="s">
        <v>1391</v>
      </c>
      <c r="C19" s="2" t="s">
        <v>1392</v>
      </c>
    </row>
    <row r="20" spans="1:9" x14ac:dyDescent="0.35">
      <c r="B20" s="365" t="s">
        <v>1393</v>
      </c>
      <c r="C20" s="2" t="s">
        <v>48</v>
      </c>
    </row>
    <row r="22" spans="1:9" x14ac:dyDescent="0.35">
      <c r="A22" t="s">
        <v>1334</v>
      </c>
    </row>
    <row r="23" spans="1:9" x14ac:dyDescent="0.35">
      <c r="B23" t="s">
        <v>1275</v>
      </c>
      <c r="C23" s="304" t="s">
        <v>157</v>
      </c>
      <c r="D23" s="304" t="s">
        <v>47</v>
      </c>
      <c r="E23" t="s">
        <v>1303</v>
      </c>
      <c r="F23" s="304" t="s">
        <v>182</v>
      </c>
      <c r="G23" s="304" t="s">
        <v>142</v>
      </c>
      <c r="H23" s="304" t="s">
        <v>1281</v>
      </c>
      <c r="I23" s="304" t="s">
        <v>1360</v>
      </c>
    </row>
    <row r="24" spans="1:9" x14ac:dyDescent="0.35">
      <c r="B24" t="s">
        <v>1297</v>
      </c>
      <c r="C24" s="149" t="s">
        <v>1604</v>
      </c>
      <c r="D24" s="304"/>
      <c r="E24">
        <v>463.77</v>
      </c>
      <c r="F24" s="304"/>
      <c r="G24" s="150">
        <f t="shared" ref="G24:G47" si="5">I24/E24*10</f>
        <v>0.77107186752053813</v>
      </c>
      <c r="I24">
        <v>35.76</v>
      </c>
    </row>
    <row r="25" spans="1:9" x14ac:dyDescent="0.35">
      <c r="B25" t="s">
        <v>1298</v>
      </c>
      <c r="C25" s="149" t="s">
        <v>1604</v>
      </c>
      <c r="D25" s="304"/>
      <c r="E25">
        <v>346.14</v>
      </c>
      <c r="F25" s="304"/>
      <c r="G25" s="150">
        <f t="shared" si="5"/>
        <v>0.78147570347258344</v>
      </c>
      <c r="I25">
        <v>27.05</v>
      </c>
    </row>
    <row r="26" spans="1:9" x14ac:dyDescent="0.35">
      <c r="B26" t="s">
        <v>1299</v>
      </c>
      <c r="C26" s="149" t="s">
        <v>1604</v>
      </c>
      <c r="D26" s="304"/>
      <c r="E26">
        <v>288.97000000000003</v>
      </c>
      <c r="F26" s="304"/>
      <c r="G26" s="150">
        <f t="shared" si="5"/>
        <v>0.90009343530470287</v>
      </c>
      <c r="I26">
        <v>26.01</v>
      </c>
    </row>
    <row r="27" spans="1:9" x14ac:dyDescent="0.35">
      <c r="B27" t="s">
        <v>1300</v>
      </c>
      <c r="C27" s="149" t="s">
        <v>1604</v>
      </c>
      <c r="D27" s="304"/>
      <c r="E27">
        <v>86.43</v>
      </c>
      <c r="F27" s="304"/>
      <c r="G27" s="150">
        <f t="shared" si="5"/>
        <v>1.4161749392572023</v>
      </c>
      <c r="I27">
        <v>12.24</v>
      </c>
    </row>
    <row r="28" spans="1:9" x14ac:dyDescent="0.35">
      <c r="B28" t="s">
        <v>1301</v>
      </c>
      <c r="C28" s="149" t="s">
        <v>1604</v>
      </c>
      <c r="D28" s="304"/>
      <c r="E28">
        <v>81.150000000000006</v>
      </c>
      <c r="F28" s="304"/>
      <c r="G28" s="150">
        <f t="shared" si="5"/>
        <v>2.250154035736291</v>
      </c>
      <c r="I28">
        <v>18.260000000000002</v>
      </c>
    </row>
    <row r="29" spans="1:9" x14ac:dyDescent="0.35">
      <c r="B29" t="s">
        <v>1302</v>
      </c>
      <c r="C29" s="149" t="s">
        <v>1604</v>
      </c>
      <c r="D29" s="304"/>
      <c r="E29">
        <v>52.86</v>
      </c>
      <c r="F29" s="304"/>
      <c r="G29" s="150">
        <f t="shared" si="5"/>
        <v>2.0942111237230421</v>
      </c>
      <c r="I29">
        <v>11.07</v>
      </c>
    </row>
    <row r="30" spans="1:9" x14ac:dyDescent="0.35">
      <c r="B30" t="s">
        <v>1304</v>
      </c>
      <c r="C30" s="149" t="s">
        <v>1604</v>
      </c>
      <c r="D30" s="304"/>
      <c r="E30">
        <v>33.380000000000003</v>
      </c>
      <c r="F30" s="304"/>
      <c r="G30" s="150">
        <f t="shared" si="5"/>
        <v>3.4601557819053324</v>
      </c>
      <c r="I30">
        <v>11.55</v>
      </c>
    </row>
    <row r="31" spans="1:9" x14ac:dyDescent="0.35">
      <c r="B31" t="s">
        <v>1305</v>
      </c>
      <c r="C31" s="149" t="s">
        <v>1604</v>
      </c>
      <c r="D31" s="304"/>
      <c r="E31">
        <v>515.37</v>
      </c>
      <c r="F31" s="304"/>
      <c r="G31" s="150">
        <f t="shared" si="5"/>
        <v>2.216077769369579</v>
      </c>
      <c r="I31">
        <v>114.21</v>
      </c>
    </row>
    <row r="32" spans="1:9" x14ac:dyDescent="0.35">
      <c r="B32" t="s">
        <v>1306</v>
      </c>
      <c r="C32" s="149" t="s">
        <v>1604</v>
      </c>
      <c r="D32" s="304"/>
      <c r="E32">
        <v>43.65</v>
      </c>
      <c r="F32" s="304"/>
      <c r="G32" s="150">
        <f t="shared" si="5"/>
        <v>2.2497136311569301</v>
      </c>
      <c r="I32">
        <v>9.82</v>
      </c>
    </row>
    <row r="33" spans="1:9" x14ac:dyDescent="0.35">
      <c r="B33" t="s">
        <v>1307</v>
      </c>
      <c r="C33" s="149" t="s">
        <v>1604</v>
      </c>
      <c r="D33" s="304"/>
      <c r="E33">
        <v>29.05</v>
      </c>
      <c r="F33" s="304"/>
      <c r="G33" s="150">
        <f t="shared" si="5"/>
        <v>2.2960413080895008</v>
      </c>
      <c r="I33">
        <v>6.67</v>
      </c>
    </row>
    <row r="34" spans="1:9" x14ac:dyDescent="0.35">
      <c r="B34" t="s">
        <v>1308</v>
      </c>
      <c r="C34" s="149" t="s">
        <v>1604</v>
      </c>
      <c r="D34" s="304"/>
      <c r="E34">
        <v>17.579999999999998</v>
      </c>
      <c r="F34" s="304"/>
      <c r="G34" s="150">
        <f t="shared" si="5"/>
        <v>2.2525597269624575</v>
      </c>
      <c r="I34">
        <v>3.96</v>
      </c>
    </row>
    <row r="35" spans="1:9" x14ac:dyDescent="0.35">
      <c r="B35" t="s">
        <v>1309</v>
      </c>
      <c r="C35" s="149" t="s">
        <v>1604</v>
      </c>
      <c r="D35" s="304"/>
      <c r="E35">
        <v>11.71</v>
      </c>
      <c r="F35" s="304"/>
      <c r="G35" s="150">
        <f t="shared" si="5"/>
        <v>2.2544833475661825</v>
      </c>
      <c r="I35">
        <v>2.64</v>
      </c>
    </row>
    <row r="36" spans="1:9" x14ac:dyDescent="0.35">
      <c r="B36" t="s">
        <v>1310</v>
      </c>
      <c r="C36" s="149" t="s">
        <v>1604</v>
      </c>
      <c r="D36" s="304"/>
      <c r="E36">
        <v>11.71</v>
      </c>
      <c r="F36" s="304"/>
      <c r="G36" s="150">
        <f t="shared" si="5"/>
        <v>2.2544833475661825</v>
      </c>
      <c r="I36">
        <v>2.64</v>
      </c>
    </row>
    <row r="37" spans="1:9" x14ac:dyDescent="0.35">
      <c r="B37" t="s">
        <v>1311</v>
      </c>
      <c r="C37" s="149" t="s">
        <v>1604</v>
      </c>
      <c r="D37" s="304"/>
      <c r="E37">
        <v>17.579999999999998</v>
      </c>
      <c r="F37" s="304"/>
      <c r="G37" s="150">
        <f t="shared" si="5"/>
        <v>2.2525597269624575</v>
      </c>
      <c r="I37">
        <v>3.96</v>
      </c>
    </row>
    <row r="38" spans="1:9" x14ac:dyDescent="0.35">
      <c r="B38" t="s">
        <v>1312</v>
      </c>
      <c r="C38" s="149" t="s">
        <v>1604</v>
      </c>
      <c r="D38" s="304"/>
      <c r="E38">
        <v>9.75</v>
      </c>
      <c r="F38" s="304"/>
      <c r="G38" s="150">
        <f t="shared" si="5"/>
        <v>3.712820512820513</v>
      </c>
      <c r="I38">
        <v>3.62</v>
      </c>
    </row>
    <row r="39" spans="1:9" x14ac:dyDescent="0.35">
      <c r="B39" t="s">
        <v>1313</v>
      </c>
      <c r="C39" s="149" t="s">
        <v>1604</v>
      </c>
      <c r="D39" s="304"/>
      <c r="E39">
        <v>7.56</v>
      </c>
      <c r="F39" s="304"/>
      <c r="G39" s="150">
        <f t="shared" si="5"/>
        <v>3.3994708994708995</v>
      </c>
      <c r="I39">
        <v>2.57</v>
      </c>
    </row>
    <row r="40" spans="1:9" x14ac:dyDescent="0.35">
      <c r="B40" t="s">
        <v>1314</v>
      </c>
      <c r="C40" s="149" t="s">
        <v>1604</v>
      </c>
      <c r="D40" s="304"/>
      <c r="E40">
        <v>7.79</v>
      </c>
      <c r="F40" s="304"/>
      <c r="G40" s="150">
        <f t="shared" si="5"/>
        <v>2.246469833119384</v>
      </c>
      <c r="I40">
        <v>1.75</v>
      </c>
    </row>
    <row r="41" spans="1:9" x14ac:dyDescent="0.35">
      <c r="B41" t="s">
        <v>1315</v>
      </c>
      <c r="C41" s="149" t="s">
        <v>1604</v>
      </c>
      <c r="D41" s="304"/>
      <c r="E41">
        <v>6.47</v>
      </c>
      <c r="F41" s="304"/>
      <c r="G41" s="150">
        <f t="shared" si="5"/>
        <v>3.2766615146831537</v>
      </c>
      <c r="I41">
        <v>2.12</v>
      </c>
    </row>
    <row r="42" spans="1:9" x14ac:dyDescent="0.35">
      <c r="B42" t="s">
        <v>1316</v>
      </c>
      <c r="C42" s="149" t="s">
        <v>1604</v>
      </c>
      <c r="D42" s="304"/>
      <c r="E42">
        <v>7.59</v>
      </c>
      <c r="F42" s="304"/>
      <c r="G42" s="150">
        <f t="shared" si="5"/>
        <v>1.3702239789196311</v>
      </c>
      <c r="I42">
        <v>1.04</v>
      </c>
    </row>
    <row r="43" spans="1:9" x14ac:dyDescent="0.35">
      <c r="B43" t="s">
        <v>1317</v>
      </c>
      <c r="C43" s="149" t="s">
        <v>1604</v>
      </c>
      <c r="D43" s="304"/>
      <c r="E43">
        <v>1.75</v>
      </c>
      <c r="F43" s="304"/>
      <c r="G43" s="150">
        <f t="shared" si="5"/>
        <v>2.3428571428571425</v>
      </c>
      <c r="I43">
        <v>0.41</v>
      </c>
    </row>
    <row r="44" spans="1:9" x14ac:dyDescent="0.35">
      <c r="B44" t="s">
        <v>1318</v>
      </c>
      <c r="C44" s="149" t="s">
        <v>1604</v>
      </c>
      <c r="D44" s="304"/>
      <c r="E44">
        <v>1.1499999999999999</v>
      </c>
      <c r="F44" s="304"/>
      <c r="G44" s="150">
        <f t="shared" si="5"/>
        <v>2.2608695652173916</v>
      </c>
      <c r="I44">
        <v>0.26</v>
      </c>
    </row>
    <row r="45" spans="1:9" x14ac:dyDescent="0.35">
      <c r="B45" t="s">
        <v>1319</v>
      </c>
      <c r="C45" s="149" t="s">
        <v>1604</v>
      </c>
      <c r="D45" s="304"/>
      <c r="E45">
        <v>276.18</v>
      </c>
      <c r="F45" s="304"/>
      <c r="G45" s="150">
        <f t="shared" si="5"/>
        <v>4.499963791730031</v>
      </c>
      <c r="I45">
        <v>124.28</v>
      </c>
    </row>
    <row r="46" spans="1:9" x14ac:dyDescent="0.35">
      <c r="B46" t="s">
        <v>1320</v>
      </c>
      <c r="C46" s="149" t="s">
        <v>1604</v>
      </c>
      <c r="D46" s="304"/>
      <c r="E46">
        <v>45.77</v>
      </c>
      <c r="F46" s="304"/>
      <c r="G46" s="150">
        <f t="shared" si="5"/>
        <v>3.1745684946471489</v>
      </c>
      <c r="I46">
        <v>14.53</v>
      </c>
    </row>
    <row r="47" spans="1:9" x14ac:dyDescent="0.35">
      <c r="B47" t="s">
        <v>1321</v>
      </c>
      <c r="C47" s="304"/>
      <c r="D47" s="304"/>
      <c r="E47" s="179">
        <v>2363.36</v>
      </c>
      <c r="F47" s="304"/>
      <c r="G47" s="150">
        <f t="shared" si="5"/>
        <v>1.8465235935278583</v>
      </c>
      <c r="I47">
        <v>436.4</v>
      </c>
    </row>
    <row r="48" spans="1:9" x14ac:dyDescent="0.35">
      <c r="A48" t="s">
        <v>1333</v>
      </c>
      <c r="C48" s="304"/>
      <c r="D48" s="304"/>
      <c r="F48" s="304"/>
      <c r="G48" s="304"/>
    </row>
    <row r="49" spans="2:9" x14ac:dyDescent="0.35">
      <c r="B49" s="304" t="s">
        <v>1275</v>
      </c>
      <c r="C49" s="304" t="s">
        <v>157</v>
      </c>
      <c r="D49" s="304" t="s">
        <v>47</v>
      </c>
      <c r="E49" s="304" t="s">
        <v>1303</v>
      </c>
      <c r="F49" s="304" t="s">
        <v>182</v>
      </c>
      <c r="G49" s="304" t="s">
        <v>142</v>
      </c>
      <c r="H49" s="304" t="s">
        <v>1281</v>
      </c>
      <c r="I49" s="304" t="s">
        <v>1360</v>
      </c>
    </row>
    <row r="50" spans="2:9" x14ac:dyDescent="0.35">
      <c r="B50" t="s">
        <v>1322</v>
      </c>
      <c r="C50" s="149" t="s">
        <v>1604</v>
      </c>
      <c r="D50" s="304"/>
      <c r="E50">
        <v>2.63</v>
      </c>
      <c r="F50" s="304"/>
      <c r="G50" s="150">
        <f t="shared" ref="G50:G64" si="6">I50/E50*10</f>
        <v>2.4714828897338408</v>
      </c>
      <c r="I50">
        <v>0.65</v>
      </c>
    </row>
    <row r="51" spans="2:9" x14ac:dyDescent="0.35">
      <c r="B51" t="s">
        <v>1323</v>
      </c>
      <c r="C51" s="149" t="s">
        <v>1604</v>
      </c>
      <c r="D51" s="304"/>
      <c r="E51">
        <v>77.510000000000005</v>
      </c>
      <c r="F51" s="304"/>
      <c r="G51" s="150">
        <f t="shared" si="6"/>
        <v>2.4796800412849951</v>
      </c>
      <c r="I51">
        <v>19.22</v>
      </c>
    </row>
    <row r="52" spans="2:9" x14ac:dyDescent="0.35">
      <c r="B52" t="s">
        <v>1324</v>
      </c>
      <c r="C52" s="149" t="s">
        <v>1604</v>
      </c>
      <c r="D52" s="304"/>
      <c r="E52">
        <v>51.08</v>
      </c>
      <c r="F52" s="304"/>
      <c r="G52" s="150">
        <f t="shared" si="6"/>
        <v>2.4804228660924039</v>
      </c>
      <c r="I52">
        <v>12.67</v>
      </c>
    </row>
    <row r="53" spans="2:9" x14ac:dyDescent="0.35">
      <c r="B53" t="s">
        <v>1325</v>
      </c>
      <c r="C53" s="149" t="s">
        <v>1604</v>
      </c>
      <c r="D53" s="304"/>
      <c r="E53">
        <v>143.19</v>
      </c>
      <c r="F53" s="304"/>
      <c r="G53" s="150">
        <f t="shared" si="6"/>
        <v>2.4799217822473634</v>
      </c>
      <c r="I53">
        <v>35.51</v>
      </c>
    </row>
    <row r="54" spans="2:9" x14ac:dyDescent="0.35">
      <c r="B54" t="s">
        <v>1326</v>
      </c>
      <c r="C54" s="149" t="s">
        <v>1604</v>
      </c>
      <c r="D54" s="304"/>
      <c r="E54">
        <v>11.07</v>
      </c>
      <c r="F54" s="304"/>
      <c r="G54" s="150">
        <f t="shared" si="6"/>
        <v>2.4841915085817523</v>
      </c>
      <c r="I54">
        <v>2.75</v>
      </c>
    </row>
    <row r="55" spans="2:9" x14ac:dyDescent="0.35">
      <c r="B55" t="s">
        <v>1327</v>
      </c>
      <c r="C55" s="149" t="s">
        <v>1604</v>
      </c>
      <c r="D55" s="304"/>
      <c r="E55">
        <v>7.21</v>
      </c>
      <c r="F55" s="304"/>
      <c r="G55" s="150">
        <f t="shared" si="6"/>
        <v>2.4826629680998611</v>
      </c>
      <c r="I55">
        <v>1.79</v>
      </c>
    </row>
    <row r="56" spans="2:9" x14ac:dyDescent="0.35">
      <c r="B56" t="s">
        <v>1304</v>
      </c>
      <c r="C56" s="149" t="s">
        <v>1604</v>
      </c>
      <c r="D56" s="304"/>
      <c r="E56">
        <v>4.55</v>
      </c>
      <c r="F56" s="304"/>
      <c r="G56" s="150">
        <f t="shared" si="6"/>
        <v>2.4835164835164831</v>
      </c>
      <c r="I56">
        <v>1.1299999999999999</v>
      </c>
    </row>
    <row r="57" spans="2:9" x14ac:dyDescent="0.35">
      <c r="B57" t="s">
        <v>1305</v>
      </c>
      <c r="C57" s="149" t="s">
        <v>1604</v>
      </c>
      <c r="D57" s="304"/>
      <c r="E57">
        <v>70.28</v>
      </c>
      <c r="F57" s="304"/>
      <c r="G57" s="150">
        <f t="shared" si="6"/>
        <v>2.4800796812749004</v>
      </c>
      <c r="I57">
        <v>17.43</v>
      </c>
    </row>
    <row r="58" spans="2:9" x14ac:dyDescent="0.35">
      <c r="B58" t="s">
        <v>1306</v>
      </c>
      <c r="C58" s="149" t="s">
        <v>1604</v>
      </c>
      <c r="D58" s="304"/>
      <c r="E58">
        <v>5.95</v>
      </c>
      <c r="F58" s="304"/>
      <c r="G58" s="150">
        <f t="shared" si="6"/>
        <v>2.4873949579831929</v>
      </c>
      <c r="I58">
        <v>1.48</v>
      </c>
    </row>
    <row r="59" spans="2:9" x14ac:dyDescent="0.35">
      <c r="B59" t="s">
        <v>1328</v>
      </c>
      <c r="C59" s="149" t="s">
        <v>1604</v>
      </c>
      <c r="D59" s="304"/>
      <c r="E59">
        <v>37.85</v>
      </c>
      <c r="F59" s="304"/>
      <c r="G59" s="150">
        <f t="shared" si="6"/>
        <v>2.4808454425363275</v>
      </c>
      <c r="I59">
        <v>9.39</v>
      </c>
    </row>
    <row r="60" spans="2:9" x14ac:dyDescent="0.35">
      <c r="B60" t="s">
        <v>1320</v>
      </c>
      <c r="C60" s="149" t="s">
        <v>1604</v>
      </c>
      <c r="D60" s="304"/>
      <c r="E60">
        <v>6.24</v>
      </c>
      <c r="F60" s="304"/>
      <c r="G60" s="150">
        <f t="shared" si="6"/>
        <v>2.483974358974359</v>
      </c>
      <c r="I60">
        <v>1.55</v>
      </c>
    </row>
    <row r="61" spans="2:9" x14ac:dyDescent="0.35">
      <c r="B61" t="s">
        <v>1329</v>
      </c>
      <c r="C61" s="149" t="s">
        <v>1604</v>
      </c>
      <c r="D61" s="304"/>
      <c r="E61">
        <v>22.1</v>
      </c>
      <c r="F61" s="304"/>
      <c r="G61" s="150">
        <f t="shared" si="6"/>
        <v>2.4796380090497738</v>
      </c>
      <c r="I61">
        <v>5.48</v>
      </c>
    </row>
    <row r="62" spans="2:9" x14ac:dyDescent="0.35">
      <c r="B62" t="s">
        <v>1330</v>
      </c>
      <c r="C62" s="149" t="s">
        <v>1604</v>
      </c>
      <c r="D62" s="304"/>
      <c r="E62">
        <v>24.56</v>
      </c>
      <c r="F62" s="304"/>
      <c r="G62" s="150">
        <f t="shared" si="6"/>
        <v>2.4796416938110748</v>
      </c>
      <c r="I62">
        <v>6.09</v>
      </c>
    </row>
    <row r="63" spans="2:9" x14ac:dyDescent="0.35">
      <c r="B63" t="s">
        <v>1331</v>
      </c>
      <c r="C63" s="149" t="s">
        <v>1603</v>
      </c>
      <c r="D63" s="304"/>
      <c r="E63">
        <v>88.67</v>
      </c>
      <c r="F63" s="304"/>
      <c r="G63" s="150">
        <f t="shared" si="6"/>
        <v>3.2040148866583964</v>
      </c>
      <c r="I63">
        <v>28.41</v>
      </c>
    </row>
    <row r="64" spans="2:9" x14ac:dyDescent="0.35">
      <c r="B64" t="s">
        <v>1332</v>
      </c>
      <c r="C64" s="149"/>
      <c r="D64" s="304"/>
      <c r="E64">
        <v>578.79999999999995</v>
      </c>
      <c r="F64" s="304"/>
      <c r="G64" s="150">
        <f t="shared" si="6"/>
        <v>2.4799585348997928</v>
      </c>
      <c r="I64">
        <v>143.54</v>
      </c>
    </row>
    <row r="65" spans="1:9" x14ac:dyDescent="0.35">
      <c r="A65" t="s">
        <v>1335</v>
      </c>
      <c r="C65" s="304"/>
      <c r="D65" s="304"/>
      <c r="F65" s="304"/>
      <c r="G65" s="304"/>
    </row>
    <row r="66" spans="1:9" x14ac:dyDescent="0.35">
      <c r="B66" s="304" t="s">
        <v>1275</v>
      </c>
      <c r="C66" s="304" t="s">
        <v>157</v>
      </c>
      <c r="D66" s="304" t="s">
        <v>47</v>
      </c>
      <c r="E66" s="304" t="s">
        <v>1303</v>
      </c>
      <c r="F66" s="304" t="s">
        <v>182</v>
      </c>
      <c r="G66" s="304" t="s">
        <v>142</v>
      </c>
      <c r="H66" s="304" t="s">
        <v>1281</v>
      </c>
      <c r="I66" s="304" t="s">
        <v>1360</v>
      </c>
    </row>
    <row r="67" spans="1:9" x14ac:dyDescent="0.35">
      <c r="B67" t="s">
        <v>1370</v>
      </c>
      <c r="C67" s="228" t="s">
        <v>1615</v>
      </c>
      <c r="D67" s="209">
        <f>SUMIF($B$127:$B$154,$B67,F$127:F$154)</f>
        <v>27.984000000000002</v>
      </c>
      <c r="E67">
        <v>92.98</v>
      </c>
      <c r="F67" s="304"/>
      <c r="G67" s="150">
        <f>I67/E67*10</f>
        <v>2.6607872660787262</v>
      </c>
      <c r="I67">
        <v>24.74</v>
      </c>
    </row>
    <row r="68" spans="1:9" x14ac:dyDescent="0.35">
      <c r="B68" t="s">
        <v>1336</v>
      </c>
      <c r="C68" s="228" t="s">
        <v>1615</v>
      </c>
      <c r="D68" s="209">
        <f>F138+F139</f>
        <v>72.951999999999998</v>
      </c>
      <c r="E68">
        <v>98.5</v>
      </c>
      <c r="F68" s="304"/>
      <c r="G68" s="150">
        <f>I68/E68*10</f>
        <v>3.6436548223350256</v>
      </c>
      <c r="I68">
        <v>35.89</v>
      </c>
    </row>
    <row r="69" spans="1:9" x14ac:dyDescent="0.35">
      <c r="B69" t="s">
        <v>1337</v>
      </c>
      <c r="C69" s="304"/>
      <c r="D69" s="209">
        <f>SUM(D67:D68)</f>
        <v>100.93600000000001</v>
      </c>
      <c r="E69">
        <v>191.48</v>
      </c>
      <c r="F69" s="304"/>
      <c r="G69" s="150">
        <f>I69/E69*10</f>
        <v>3.1663881345310219</v>
      </c>
      <c r="I69">
        <v>60.63</v>
      </c>
    </row>
    <row r="70" spans="1:9" x14ac:dyDescent="0.35">
      <c r="A70" t="s">
        <v>1338</v>
      </c>
      <c r="C70" s="304"/>
      <c r="D70" s="304"/>
      <c r="F70" s="304"/>
      <c r="G70" s="304"/>
    </row>
    <row r="71" spans="1:9" x14ac:dyDescent="0.35">
      <c r="B71" s="304" t="s">
        <v>1275</v>
      </c>
      <c r="C71" s="304" t="s">
        <v>157</v>
      </c>
      <c r="D71" s="304" t="s">
        <v>47</v>
      </c>
      <c r="E71" s="304" t="s">
        <v>1303</v>
      </c>
      <c r="F71" s="304" t="s">
        <v>182</v>
      </c>
      <c r="G71" s="304" t="s">
        <v>142</v>
      </c>
      <c r="H71" s="304" t="s">
        <v>1281</v>
      </c>
      <c r="I71" s="304" t="s">
        <v>1360</v>
      </c>
    </row>
    <row r="72" spans="1:9" x14ac:dyDescent="0.35">
      <c r="B72" t="s">
        <v>1339</v>
      </c>
      <c r="C72" s="304" t="s">
        <v>1604</v>
      </c>
      <c r="D72" s="304"/>
      <c r="E72">
        <v>43.8</v>
      </c>
      <c r="F72" s="304"/>
      <c r="G72" s="150">
        <f t="shared" ref="G72:G80" si="7">I72/E72*10</f>
        <v>1.2191780821917808</v>
      </c>
      <c r="I72">
        <v>5.34</v>
      </c>
    </row>
    <row r="73" spans="1:9" x14ac:dyDescent="0.35">
      <c r="B73" t="s">
        <v>1340</v>
      </c>
      <c r="C73" s="304" t="s">
        <v>1604</v>
      </c>
      <c r="D73" s="304"/>
      <c r="E73">
        <v>330.67</v>
      </c>
      <c r="F73" s="304"/>
      <c r="G73" s="150">
        <f t="shared" si="7"/>
        <v>0.7073517404058427</v>
      </c>
      <c r="I73">
        <v>23.39</v>
      </c>
    </row>
    <row r="74" spans="1:9" x14ac:dyDescent="0.35">
      <c r="B74" t="s">
        <v>1003</v>
      </c>
      <c r="C74" s="304" t="s">
        <v>1604</v>
      </c>
      <c r="D74" s="304"/>
      <c r="E74">
        <v>185.5</v>
      </c>
      <c r="F74" s="304"/>
      <c r="G74" s="150">
        <f t="shared" si="7"/>
        <v>0.85283018867924532</v>
      </c>
      <c r="I74">
        <v>15.82</v>
      </c>
    </row>
    <row r="75" spans="1:9" x14ac:dyDescent="0.35">
      <c r="B75" t="s">
        <v>1004</v>
      </c>
      <c r="C75" s="304" t="s">
        <v>1604</v>
      </c>
      <c r="D75" s="304"/>
      <c r="E75">
        <v>35.11</v>
      </c>
      <c r="F75" s="304"/>
      <c r="G75" s="150">
        <f t="shared" si="7"/>
        <v>0.52121902591854175</v>
      </c>
      <c r="I75">
        <v>1.83</v>
      </c>
    </row>
    <row r="76" spans="1:9" x14ac:dyDescent="0.35">
      <c r="B76" t="s">
        <v>1341</v>
      </c>
      <c r="C76" s="304" t="s">
        <v>1604</v>
      </c>
      <c r="D76" s="304"/>
      <c r="E76">
        <v>5.26</v>
      </c>
      <c r="F76" s="304"/>
      <c r="G76" s="150">
        <f t="shared" si="7"/>
        <v>0.39923954372623577</v>
      </c>
      <c r="I76">
        <v>0.21</v>
      </c>
    </row>
    <row r="77" spans="1:9" x14ac:dyDescent="0.35">
      <c r="B77" t="s">
        <v>1342</v>
      </c>
      <c r="C77" s="304" t="s">
        <v>1604</v>
      </c>
      <c r="D77" s="304"/>
      <c r="E77">
        <v>45</v>
      </c>
      <c r="F77" s="304"/>
      <c r="G77" s="150">
        <f t="shared" si="7"/>
        <v>0.20666666666666667</v>
      </c>
      <c r="I77">
        <v>0.93</v>
      </c>
    </row>
    <row r="78" spans="1:9" x14ac:dyDescent="0.35">
      <c r="B78" t="s">
        <v>1343</v>
      </c>
      <c r="C78" s="304" t="s">
        <v>1604</v>
      </c>
      <c r="D78" s="304"/>
      <c r="E78">
        <v>387.83</v>
      </c>
      <c r="F78" s="304"/>
      <c r="G78" s="150">
        <f t="shared" si="7"/>
        <v>1.0393729211252354</v>
      </c>
      <c r="I78">
        <v>40.31</v>
      </c>
    </row>
    <row r="79" spans="1:9" x14ac:dyDescent="0.35">
      <c r="B79" t="s">
        <v>1344</v>
      </c>
      <c r="C79" s="304" t="s">
        <v>1604</v>
      </c>
      <c r="D79" s="304"/>
      <c r="E79">
        <v>62.53</v>
      </c>
      <c r="F79" s="304"/>
      <c r="G79" s="150">
        <f t="shared" si="7"/>
        <v>0.71965456580841192</v>
      </c>
      <c r="I79">
        <v>4.5</v>
      </c>
    </row>
    <row r="80" spans="1:9" x14ac:dyDescent="0.35">
      <c r="B80" t="s">
        <v>1345</v>
      </c>
      <c r="C80" s="304"/>
      <c r="D80" s="304"/>
      <c r="E80" s="179">
        <v>1095.69</v>
      </c>
      <c r="F80" s="304"/>
      <c r="G80" s="150">
        <f t="shared" si="7"/>
        <v>0.8426653524263249</v>
      </c>
      <c r="I80">
        <v>92.33</v>
      </c>
    </row>
    <row r="81" spans="1:9" x14ac:dyDescent="0.35">
      <c r="A81" t="s">
        <v>1346</v>
      </c>
      <c r="C81" s="304"/>
      <c r="D81" s="304"/>
      <c r="F81" s="304"/>
      <c r="G81" s="304"/>
    </row>
    <row r="82" spans="1:9" x14ac:dyDescent="0.35">
      <c r="B82" s="304" t="s">
        <v>1275</v>
      </c>
      <c r="C82" s="304" t="s">
        <v>157</v>
      </c>
      <c r="D82" s="304" t="s">
        <v>47</v>
      </c>
      <c r="E82" s="304" t="s">
        <v>1303</v>
      </c>
      <c r="F82" s="304" t="s">
        <v>182</v>
      </c>
      <c r="G82" s="304" t="s">
        <v>142</v>
      </c>
      <c r="H82" s="304" t="s">
        <v>1281</v>
      </c>
      <c r="I82" s="304" t="s">
        <v>1360</v>
      </c>
    </row>
    <row r="83" spans="1:9" x14ac:dyDescent="0.35">
      <c r="B83" t="s">
        <v>1373</v>
      </c>
      <c r="C83" s="304" t="s">
        <v>1604</v>
      </c>
      <c r="D83" s="209">
        <f>SUMIF($B$127:$B$154,$B83,F$127:F$154)</f>
        <v>547.05000000000007</v>
      </c>
      <c r="E83">
        <f>165.86+1477.26</f>
        <v>1643.12</v>
      </c>
      <c r="F83" s="304">
        <f>H83/D83*10^7/10^3</f>
        <v>7498.400511836212</v>
      </c>
      <c r="G83" s="304"/>
      <c r="H83">
        <f>41.41+368.79</f>
        <v>410.20000000000005</v>
      </c>
    </row>
    <row r="84" spans="1:9" x14ac:dyDescent="0.35">
      <c r="B84" t="s">
        <v>519</v>
      </c>
      <c r="C84" s="304" t="s">
        <v>1604</v>
      </c>
      <c r="D84" s="209">
        <f>SUMIF($B$127:$B$154,$B84,F$127:F$154)</f>
        <v>172.67758199999997</v>
      </c>
      <c r="E84">
        <f>52.95+491.79</f>
        <v>544.74</v>
      </c>
      <c r="F84" s="304">
        <f>H84/D84*10^7/10^3</f>
        <v>11625.712942864815</v>
      </c>
      <c r="G84" s="304"/>
      <c r="H84">
        <f>19.55+181.2</f>
        <v>200.75</v>
      </c>
    </row>
    <row r="85" spans="1:9" x14ac:dyDescent="0.35">
      <c r="B85" t="s">
        <v>1347</v>
      </c>
      <c r="C85" s="304" t="s">
        <v>1603</v>
      </c>
      <c r="D85" s="304"/>
      <c r="E85">
        <v>994.05</v>
      </c>
      <c r="F85" s="304"/>
      <c r="G85" s="150">
        <f>I85/E85*10</f>
        <v>2.8000603591368645</v>
      </c>
      <c r="I85">
        <v>278.33999999999997</v>
      </c>
    </row>
    <row r="86" spans="1:9" x14ac:dyDescent="0.35">
      <c r="B86" t="s">
        <v>1348</v>
      </c>
      <c r="C86" s="304" t="s">
        <v>1603</v>
      </c>
      <c r="D86" s="304"/>
      <c r="E86">
        <v>277.3</v>
      </c>
      <c r="F86" s="304"/>
      <c r="G86" s="150">
        <f>I86/E86*10</f>
        <v>2.500180310133429</v>
      </c>
      <c r="I86">
        <v>69.33</v>
      </c>
    </row>
    <row r="87" spans="1:9" x14ac:dyDescent="0.35">
      <c r="B87" t="s">
        <v>1353</v>
      </c>
      <c r="C87" s="304" t="s">
        <v>1603</v>
      </c>
      <c r="D87" s="304"/>
      <c r="E87">
        <v>353.98</v>
      </c>
      <c r="F87" s="304"/>
      <c r="G87" s="150">
        <f>I87/E87*10</f>
        <v>2.4300807955251709</v>
      </c>
      <c r="I87">
        <v>86.02</v>
      </c>
    </row>
    <row r="88" spans="1:9" x14ac:dyDescent="0.35">
      <c r="B88" t="s">
        <v>1349</v>
      </c>
      <c r="C88" s="304" t="s">
        <v>1604</v>
      </c>
      <c r="D88" s="304">
        <v>300</v>
      </c>
      <c r="E88" s="179">
        <v>1050</v>
      </c>
      <c r="F88" s="304">
        <f>H88/D88*10^7/10^3</f>
        <v>4850.333333333333</v>
      </c>
      <c r="G88" s="179">
        <v>1.39</v>
      </c>
      <c r="H88">
        <v>145.51</v>
      </c>
      <c r="I88">
        <f>G88*E88/10</f>
        <v>145.94999999999999</v>
      </c>
    </row>
    <row r="89" spans="1:9" x14ac:dyDescent="0.35">
      <c r="B89" t="s">
        <v>1350</v>
      </c>
      <c r="C89" s="304" t="s">
        <v>1604</v>
      </c>
      <c r="D89" s="304">
        <v>65</v>
      </c>
      <c r="E89">
        <v>170</v>
      </c>
      <c r="F89" s="304">
        <f>H89/D89*10^7/10^3</f>
        <v>5753.8461538461543</v>
      </c>
      <c r="G89" s="304"/>
      <c r="H89">
        <v>37.4</v>
      </c>
    </row>
    <row r="90" spans="1:9" x14ac:dyDescent="0.35">
      <c r="B90" t="s">
        <v>1351</v>
      </c>
      <c r="C90" s="304" t="s">
        <v>1605</v>
      </c>
      <c r="D90" s="304">
        <v>7.2</v>
      </c>
      <c r="E90">
        <v>24.53</v>
      </c>
      <c r="F90" s="304"/>
      <c r="G90" s="150">
        <f>I90/E90*10</f>
        <v>7.9005299633102313</v>
      </c>
      <c r="I90">
        <v>19.38</v>
      </c>
    </row>
    <row r="91" spans="1:9" x14ac:dyDescent="0.35">
      <c r="B91" t="s">
        <v>1352</v>
      </c>
      <c r="C91" s="304"/>
      <c r="D91" s="304"/>
      <c r="E91" s="179">
        <v>5057.7700000000004</v>
      </c>
      <c r="F91" s="304" t="e">
        <f>H91/D91*10^7/10^3</f>
        <v>#DIV/0!</v>
      </c>
      <c r="G91" s="179"/>
      <c r="H91" s="179">
        <f>SUM(H83:H90)</f>
        <v>793.86</v>
      </c>
      <c r="I91" s="179">
        <f>SUM(I83:I90)</f>
        <v>599.01999999999987</v>
      </c>
    </row>
    <row r="92" spans="1:9" x14ac:dyDescent="0.35">
      <c r="A92" t="s">
        <v>1354</v>
      </c>
      <c r="C92" s="304"/>
      <c r="D92" s="304"/>
      <c r="F92" s="304"/>
      <c r="G92" s="304"/>
    </row>
    <row r="93" spans="1:9" x14ac:dyDescent="0.35">
      <c r="B93" s="304" t="s">
        <v>1275</v>
      </c>
      <c r="C93" s="304" t="s">
        <v>157</v>
      </c>
      <c r="D93" s="304" t="s">
        <v>47</v>
      </c>
      <c r="E93" s="304" t="s">
        <v>1303</v>
      </c>
      <c r="F93" s="304" t="s">
        <v>182</v>
      </c>
      <c r="G93" s="304" t="s">
        <v>142</v>
      </c>
      <c r="H93" s="304" t="s">
        <v>1281</v>
      </c>
      <c r="I93" s="304" t="s">
        <v>1360</v>
      </c>
    </row>
    <row r="94" spans="1:9" x14ac:dyDescent="0.35">
      <c r="B94" t="s">
        <v>1355</v>
      </c>
      <c r="C94" s="304" t="s">
        <v>1636</v>
      </c>
      <c r="D94" s="304"/>
      <c r="E94">
        <v>24.97</v>
      </c>
      <c r="F94" s="304"/>
      <c r="G94" s="150">
        <f>I94/E94*10</f>
        <v>8.0456547857428919</v>
      </c>
      <c r="I94" s="304">
        <v>20.09</v>
      </c>
    </row>
    <row r="95" spans="1:9" x14ac:dyDescent="0.35">
      <c r="B95" t="s">
        <v>1356</v>
      </c>
      <c r="C95" s="304" t="s">
        <v>1636</v>
      </c>
      <c r="D95" s="304"/>
      <c r="E95">
        <v>33.29</v>
      </c>
      <c r="F95" s="304"/>
      <c r="G95" s="150">
        <f>I95/E95*10</f>
        <v>5.5001501952538305</v>
      </c>
      <c r="I95" s="304">
        <v>18.309999999999999</v>
      </c>
    </row>
    <row r="96" spans="1:9" x14ac:dyDescent="0.35">
      <c r="B96" t="s">
        <v>1357</v>
      </c>
      <c r="C96" s="304" t="s">
        <v>1636</v>
      </c>
      <c r="D96" s="304"/>
      <c r="E96">
        <v>36.619999999999997</v>
      </c>
      <c r="F96" s="304"/>
      <c r="G96" s="150">
        <f>I96/E96*10</f>
        <v>5.2566903331512833</v>
      </c>
      <c r="I96" s="304">
        <v>19.25</v>
      </c>
    </row>
    <row r="97" spans="1:11" x14ac:dyDescent="0.35">
      <c r="B97" t="s">
        <v>1358</v>
      </c>
      <c r="C97" s="304"/>
      <c r="D97" s="304"/>
      <c r="E97">
        <v>94.87</v>
      </c>
      <c r="F97" s="304"/>
      <c r="G97" s="150">
        <f>I97/E97*10</f>
        <v>6.0767365869083996</v>
      </c>
      <c r="I97" s="304">
        <v>57.65</v>
      </c>
    </row>
    <row r="98" spans="1:11" x14ac:dyDescent="0.35">
      <c r="A98" t="s">
        <v>1359</v>
      </c>
      <c r="C98" s="304"/>
      <c r="D98" s="304"/>
      <c r="F98" s="304"/>
      <c r="G98" s="304"/>
    </row>
    <row r="99" spans="1:11" x14ac:dyDescent="0.35">
      <c r="B99" s="304" t="s">
        <v>1275</v>
      </c>
      <c r="C99" s="304" t="s">
        <v>157</v>
      </c>
      <c r="D99" s="304" t="s">
        <v>47</v>
      </c>
      <c r="E99" s="304" t="s">
        <v>1303</v>
      </c>
      <c r="F99" s="304" t="s">
        <v>182</v>
      </c>
      <c r="G99" s="304" t="s">
        <v>142</v>
      </c>
      <c r="H99" s="304" t="s">
        <v>1281</v>
      </c>
      <c r="I99" s="304" t="s">
        <v>1360</v>
      </c>
      <c r="J99" s="304" t="s">
        <v>1361</v>
      </c>
      <c r="K99" s="304" t="s">
        <v>1362</v>
      </c>
    </row>
    <row r="100" spans="1:11" x14ac:dyDescent="0.35">
      <c r="B100" t="s">
        <v>1376</v>
      </c>
      <c r="C100" s="304" t="str">
        <f t="shared" ref="C100:C110" si="8">INDEX(D$127:D$154,MATCH($B100,$B$127:$B$154,0))</f>
        <v>EG_CCGT</v>
      </c>
      <c r="D100" s="209">
        <f t="shared" ref="D100:D112" si="9">SUMIF($B$127:$B$154,$B100,F$127:F$154)</f>
        <v>15.0002</v>
      </c>
      <c r="E100">
        <v>38.1</v>
      </c>
      <c r="F100" s="304">
        <f t="shared" ref="F100:F113" si="10">H100/D100*10^7/10^3</f>
        <v>5213.2638231490246</v>
      </c>
      <c r="G100" s="150">
        <f>I100/E100*10</f>
        <v>2.811023622047244</v>
      </c>
      <c r="H100">
        <v>7.82</v>
      </c>
      <c r="I100">
        <v>10.71</v>
      </c>
      <c r="J100">
        <v>0</v>
      </c>
      <c r="K100">
        <v>18.52</v>
      </c>
    </row>
    <row r="101" spans="1:11" x14ac:dyDescent="0.35">
      <c r="B101" t="s">
        <v>1377</v>
      </c>
      <c r="C101" s="304" t="str">
        <f t="shared" si="8"/>
        <v>EG_CCGT</v>
      </c>
      <c r="D101" s="209">
        <f t="shared" si="9"/>
        <v>22.011600000000001</v>
      </c>
      <c r="E101">
        <v>39.840000000000003</v>
      </c>
      <c r="F101" s="304">
        <f t="shared" si="10"/>
        <v>4661.1786512566096</v>
      </c>
      <c r="G101" s="150">
        <f t="shared" ref="G101:G113" si="11">I101/E101*10</f>
        <v>3.396084337349397</v>
      </c>
      <c r="H101">
        <v>10.26</v>
      </c>
      <c r="I101">
        <v>13.53</v>
      </c>
      <c r="J101">
        <v>0.03</v>
      </c>
      <c r="K101">
        <v>23.82</v>
      </c>
    </row>
    <row r="102" spans="1:11" x14ac:dyDescent="0.35">
      <c r="B102" t="s">
        <v>1369</v>
      </c>
      <c r="C102" s="304" t="str">
        <f t="shared" si="8"/>
        <v>EG_CCGT</v>
      </c>
      <c r="D102" s="209">
        <f t="shared" si="9"/>
        <v>24.982999999999997</v>
      </c>
      <c r="E102">
        <v>75.77</v>
      </c>
      <c r="F102" s="304">
        <f t="shared" si="10"/>
        <v>4226.8742745066647</v>
      </c>
      <c r="G102" s="150">
        <f t="shared" si="11"/>
        <v>3.2176323083014386</v>
      </c>
      <c r="H102">
        <v>10.56</v>
      </c>
      <c r="I102">
        <v>24.38</v>
      </c>
      <c r="J102">
        <v>0</v>
      </c>
      <c r="K102">
        <v>34.94</v>
      </c>
    </row>
    <row r="103" spans="1:11" x14ac:dyDescent="0.35">
      <c r="B103" t="s">
        <v>557</v>
      </c>
      <c r="C103" s="304" t="str">
        <f t="shared" si="8"/>
        <v>ET_SUBC</v>
      </c>
      <c r="D103" s="209">
        <f t="shared" si="9"/>
        <v>7.0140000000000002</v>
      </c>
      <c r="E103">
        <v>44.57</v>
      </c>
      <c r="F103" s="304">
        <f t="shared" si="10"/>
        <v>6829.1987453664096</v>
      </c>
      <c r="G103" s="150">
        <f t="shared" si="11"/>
        <v>2.883105227731658</v>
      </c>
      <c r="H103">
        <v>4.79</v>
      </c>
      <c r="I103">
        <v>12.85</v>
      </c>
      <c r="J103">
        <v>0.01</v>
      </c>
      <c r="K103">
        <v>17.649999999999999</v>
      </c>
    </row>
    <row r="104" spans="1:11" x14ac:dyDescent="0.35">
      <c r="B104" t="s">
        <v>558</v>
      </c>
      <c r="C104" s="304" t="str">
        <f t="shared" si="8"/>
        <v>ET_SUBC</v>
      </c>
      <c r="D104" s="209">
        <f t="shared" si="9"/>
        <v>12.012</v>
      </c>
      <c r="E104">
        <v>76.03</v>
      </c>
      <c r="F104" s="304">
        <f t="shared" si="10"/>
        <v>6210.4562104562101</v>
      </c>
      <c r="G104" s="150">
        <f t="shared" si="11"/>
        <v>2.8778113902406943</v>
      </c>
      <c r="H104">
        <v>7.46</v>
      </c>
      <c r="I104">
        <v>21.88</v>
      </c>
      <c r="J104">
        <v>0</v>
      </c>
      <c r="K104">
        <v>29.34</v>
      </c>
    </row>
    <row r="105" spans="1:11" x14ac:dyDescent="0.35">
      <c r="B105" t="s">
        <v>559</v>
      </c>
      <c r="C105" s="304" t="str">
        <f t="shared" si="8"/>
        <v>ET_SUBC</v>
      </c>
      <c r="D105" s="209">
        <f t="shared" si="9"/>
        <v>8.0010000000000012</v>
      </c>
      <c r="E105">
        <v>49.95</v>
      </c>
      <c r="F105" s="304">
        <f t="shared" si="10"/>
        <v>8511.4360704911869</v>
      </c>
      <c r="G105" s="150">
        <f t="shared" si="11"/>
        <v>2.8428428428428427</v>
      </c>
      <c r="H105">
        <v>6.81</v>
      </c>
      <c r="I105">
        <v>14.2</v>
      </c>
      <c r="J105">
        <v>0</v>
      </c>
      <c r="K105">
        <v>21</v>
      </c>
    </row>
    <row r="106" spans="1:11" x14ac:dyDescent="0.35">
      <c r="B106" t="s">
        <v>1379</v>
      </c>
      <c r="C106" s="304" t="str">
        <f t="shared" si="8"/>
        <v>ET_SUBC</v>
      </c>
      <c r="D106" s="209">
        <f t="shared" si="9"/>
        <v>1.1000000000000001</v>
      </c>
      <c r="E106">
        <v>127.94</v>
      </c>
      <c r="F106" s="304">
        <f t="shared" si="10"/>
        <v>212363.63636363635</v>
      </c>
      <c r="G106" s="150">
        <f t="shared" si="11"/>
        <v>2.5934031577301857</v>
      </c>
      <c r="H106">
        <v>23.36</v>
      </c>
      <c r="I106">
        <v>33.18</v>
      </c>
      <c r="J106">
        <v>0</v>
      </c>
      <c r="K106">
        <v>56.54</v>
      </c>
    </row>
    <row r="107" spans="1:11" x14ac:dyDescent="0.35">
      <c r="B107" t="s">
        <v>554</v>
      </c>
      <c r="C107" s="304" t="str">
        <f t="shared" si="8"/>
        <v>ET_SUBC</v>
      </c>
      <c r="D107" s="209">
        <f t="shared" si="9"/>
        <v>35</v>
      </c>
      <c r="E107">
        <v>228.55</v>
      </c>
      <c r="F107" s="304">
        <f t="shared" si="10"/>
        <v>5862.8571428571431</v>
      </c>
      <c r="G107" s="150">
        <f t="shared" si="11"/>
        <v>1.3489389630277837</v>
      </c>
      <c r="H107">
        <v>20.52</v>
      </c>
      <c r="I107">
        <v>30.83</v>
      </c>
      <c r="J107">
        <v>0.82</v>
      </c>
      <c r="K107">
        <v>52.18</v>
      </c>
    </row>
    <row r="108" spans="1:11" x14ac:dyDescent="0.35">
      <c r="B108" t="s">
        <v>555</v>
      </c>
      <c r="C108" s="304" t="str">
        <f t="shared" si="8"/>
        <v>ET_SUBC</v>
      </c>
      <c r="D108" s="209">
        <f t="shared" si="9"/>
        <v>33</v>
      </c>
      <c r="E108">
        <v>220.2</v>
      </c>
      <c r="F108" s="304">
        <f t="shared" si="10"/>
        <v>4966.666666666667</v>
      </c>
      <c r="G108" s="150">
        <f t="shared" si="11"/>
        <v>1.346049046321526</v>
      </c>
      <c r="H108">
        <v>16.39</v>
      </c>
      <c r="I108">
        <v>29.64</v>
      </c>
      <c r="J108">
        <v>0</v>
      </c>
      <c r="K108">
        <v>46.03</v>
      </c>
    </row>
    <row r="109" spans="1:11" x14ac:dyDescent="0.35">
      <c r="B109" t="s">
        <v>1383</v>
      </c>
      <c r="C109" s="304" t="str">
        <f t="shared" si="8"/>
        <v>ET_SUBC</v>
      </c>
      <c r="D109" s="209">
        <f t="shared" si="9"/>
        <v>22.95</v>
      </c>
      <c r="E109">
        <v>139.01</v>
      </c>
      <c r="F109" s="304">
        <f t="shared" si="10"/>
        <v>7664.4880174291948</v>
      </c>
      <c r="G109" s="150">
        <f t="shared" si="11"/>
        <v>2.4084598230343142</v>
      </c>
      <c r="H109">
        <v>17.59</v>
      </c>
      <c r="I109">
        <v>33.479999999999997</v>
      </c>
      <c r="J109">
        <v>0</v>
      </c>
      <c r="K109">
        <v>51.07</v>
      </c>
    </row>
    <row r="110" spans="1:11" x14ac:dyDescent="0.35">
      <c r="B110" t="s">
        <v>1380</v>
      </c>
      <c r="C110" s="304" t="str">
        <f t="shared" si="8"/>
        <v>ET_SUBC</v>
      </c>
      <c r="D110" s="209">
        <f t="shared" si="9"/>
        <v>33.709999999999994</v>
      </c>
      <c r="E110">
        <v>220.12</v>
      </c>
      <c r="F110" s="304">
        <f t="shared" si="10"/>
        <v>10189.854642539309</v>
      </c>
      <c r="G110" s="150">
        <f t="shared" si="11"/>
        <v>1.3592585862256952</v>
      </c>
      <c r="H110">
        <v>34.35</v>
      </c>
      <c r="I110">
        <v>29.92</v>
      </c>
      <c r="J110">
        <v>7.0000000000000007E-2</v>
      </c>
      <c r="K110">
        <v>64.34</v>
      </c>
    </row>
    <row r="111" spans="1:11" x14ac:dyDescent="0.35">
      <c r="B111" t="s">
        <v>1381</v>
      </c>
      <c r="C111" s="304" t="s">
        <v>1604</v>
      </c>
      <c r="D111" s="209">
        <f t="shared" si="9"/>
        <v>224.00000000000003</v>
      </c>
      <c r="E111">
        <v>453.64</v>
      </c>
      <c r="F111" s="304">
        <f t="shared" si="10"/>
        <v>3825</v>
      </c>
      <c r="G111" s="150">
        <f t="shared" si="11"/>
        <v>2.1708844017282427</v>
      </c>
      <c r="H111">
        <v>85.68</v>
      </c>
      <c r="I111">
        <v>98.48</v>
      </c>
      <c r="J111">
        <v>0.1</v>
      </c>
      <c r="K111">
        <v>184.27</v>
      </c>
    </row>
    <row r="112" spans="1:11" x14ac:dyDescent="0.35">
      <c r="B112" t="s">
        <v>1382</v>
      </c>
      <c r="C112" s="304" t="str">
        <f>INDEX(D$127:D$154,MATCH($B112,$B$127:$B$154,0))</f>
        <v>ET_SUBC</v>
      </c>
      <c r="D112" s="209">
        <f t="shared" si="9"/>
        <v>3.8</v>
      </c>
      <c r="E112">
        <v>101.64</v>
      </c>
      <c r="F112" s="304">
        <f t="shared" si="10"/>
        <v>0</v>
      </c>
      <c r="G112" s="150">
        <f t="shared" si="11"/>
        <v>3.499606454151909</v>
      </c>
      <c r="H112">
        <v>0</v>
      </c>
      <c r="I112">
        <v>35.57</v>
      </c>
      <c r="J112">
        <v>0</v>
      </c>
      <c r="K112">
        <v>35.57</v>
      </c>
    </row>
    <row r="113" spans="1:11" x14ac:dyDescent="0.35">
      <c r="B113" t="s">
        <v>1005</v>
      </c>
      <c r="C113" s="304"/>
      <c r="D113" s="209">
        <f>SUM(D100:D112)</f>
        <v>442.58179999999999</v>
      </c>
      <c r="E113">
        <v>1815.36</v>
      </c>
      <c r="F113" s="304">
        <f t="shared" si="10"/>
        <v>5549.0307102551442</v>
      </c>
      <c r="G113" s="150">
        <f t="shared" si="11"/>
        <v>2.140897673188789</v>
      </c>
      <c r="H113">
        <v>245.59</v>
      </c>
      <c r="I113">
        <v>388.65</v>
      </c>
      <c r="J113">
        <v>1.03</v>
      </c>
      <c r="K113">
        <v>635.28</v>
      </c>
    </row>
    <row r="114" spans="1:11" x14ac:dyDescent="0.35">
      <c r="A114" t="s">
        <v>1363</v>
      </c>
      <c r="C114" s="304"/>
      <c r="D114" s="304"/>
      <c r="F114" s="304"/>
      <c r="G114" s="304"/>
    </row>
    <row r="115" spans="1:11" x14ac:dyDescent="0.35">
      <c r="B115" s="304" t="s">
        <v>1275</v>
      </c>
      <c r="C115" s="304" t="s">
        <v>157</v>
      </c>
      <c r="D115" s="304" t="s">
        <v>47</v>
      </c>
      <c r="E115" s="304" t="s">
        <v>1303</v>
      </c>
      <c r="F115" s="304" t="s">
        <v>182</v>
      </c>
      <c r="G115" s="304" t="s">
        <v>142</v>
      </c>
      <c r="H115" s="304" t="s">
        <v>1281</v>
      </c>
      <c r="I115" s="304" t="s">
        <v>1360</v>
      </c>
    </row>
    <row r="116" spans="1:11" x14ac:dyDescent="0.35">
      <c r="B116" t="s">
        <v>910</v>
      </c>
      <c r="C116" s="304" t="str">
        <f t="shared" ref="C116:C121" si="12">INDEX(D$127:D$154,MATCH($B116,$B$127:$B$154,0))</f>
        <v>EG_LH</v>
      </c>
      <c r="D116" s="209">
        <f t="shared" ref="D116:D121" si="13">SUMIF($B$127:$B$154,$B116,F$127:F$154)</f>
        <v>6.8310000000000004</v>
      </c>
      <c r="E116">
        <v>35.020000000000003</v>
      </c>
      <c r="F116" s="304">
        <f t="shared" ref="F116:F122" si="14">H116/D116*10^7/10^3</f>
        <v>10218.12326160152</v>
      </c>
      <c r="G116" s="304"/>
      <c r="H116">
        <v>6.98</v>
      </c>
    </row>
    <row r="117" spans="1:11" x14ac:dyDescent="0.35">
      <c r="B117" t="s">
        <v>911</v>
      </c>
      <c r="C117" s="304" t="str">
        <f t="shared" si="12"/>
        <v>EG_LH</v>
      </c>
      <c r="D117" s="209">
        <f t="shared" si="13"/>
        <v>3.6095999999999995</v>
      </c>
      <c r="E117">
        <v>17.02</v>
      </c>
      <c r="F117" s="304">
        <f t="shared" si="14"/>
        <v>15597.296099290783</v>
      </c>
      <c r="G117" s="304"/>
      <c r="H117">
        <v>5.63</v>
      </c>
    </row>
    <row r="118" spans="1:11" x14ac:dyDescent="0.35">
      <c r="B118" t="s">
        <v>1384</v>
      </c>
      <c r="C118" s="304" t="str">
        <f t="shared" si="12"/>
        <v>EG_LH</v>
      </c>
      <c r="D118" s="209">
        <f t="shared" si="13"/>
        <v>80.459999999999994</v>
      </c>
      <c r="E118">
        <v>71.53</v>
      </c>
      <c r="F118" s="304">
        <f t="shared" si="14"/>
        <v>1692.7665920954512</v>
      </c>
      <c r="G118" s="304"/>
      <c r="H118">
        <v>13.62</v>
      </c>
    </row>
    <row r="119" spans="1:11" x14ac:dyDescent="0.35">
      <c r="B119" t="s">
        <v>594</v>
      </c>
      <c r="C119" s="304" t="str">
        <f t="shared" si="12"/>
        <v>EG_LH</v>
      </c>
      <c r="D119" s="209">
        <f t="shared" si="13"/>
        <v>47.010000000000005</v>
      </c>
      <c r="E119">
        <v>54.64</v>
      </c>
      <c r="F119" s="304">
        <f t="shared" si="14"/>
        <v>2333.5460540310573</v>
      </c>
      <c r="G119" s="304"/>
      <c r="H119">
        <v>10.97</v>
      </c>
    </row>
    <row r="120" spans="1:11" x14ac:dyDescent="0.35">
      <c r="B120" t="s">
        <v>599</v>
      </c>
      <c r="C120" s="304" t="str">
        <f t="shared" si="12"/>
        <v>EG_LH</v>
      </c>
      <c r="D120" s="209">
        <f t="shared" si="13"/>
        <v>13.007999999999999</v>
      </c>
      <c r="E120">
        <v>82.46</v>
      </c>
      <c r="F120" s="304">
        <f t="shared" si="14"/>
        <v>11523.677736777368</v>
      </c>
      <c r="G120" s="304"/>
      <c r="H120">
        <v>14.99</v>
      </c>
    </row>
    <row r="121" spans="1:11" x14ac:dyDescent="0.35">
      <c r="B121" t="s">
        <v>596</v>
      </c>
      <c r="C121" s="304" t="str">
        <f t="shared" si="12"/>
        <v>EG_LH</v>
      </c>
      <c r="D121" s="209">
        <f t="shared" si="13"/>
        <v>9.9960000000000004</v>
      </c>
      <c r="E121">
        <v>38.9</v>
      </c>
      <c r="F121" s="304">
        <f t="shared" si="14"/>
        <v>9613.8455382152861</v>
      </c>
      <c r="G121" s="304"/>
      <c r="H121">
        <v>9.61</v>
      </c>
    </row>
    <row r="122" spans="1:11" x14ac:dyDescent="0.35">
      <c r="B122" t="s">
        <v>1364</v>
      </c>
      <c r="C122" s="304"/>
      <c r="D122" s="209">
        <f>SUM(D116:D121)</f>
        <v>160.91460000000001</v>
      </c>
      <c r="E122">
        <v>299.58</v>
      </c>
      <c r="F122" s="304">
        <f t="shared" si="14"/>
        <v>3840.5464762053903</v>
      </c>
      <c r="G122" s="304"/>
      <c r="H122">
        <v>61.8</v>
      </c>
    </row>
    <row r="125" spans="1:11" x14ac:dyDescent="0.35">
      <c r="A125" s="2" t="s">
        <v>249</v>
      </c>
      <c r="B125" s="2" t="s">
        <v>1365</v>
      </c>
    </row>
    <row r="126" spans="1:11" x14ac:dyDescent="0.35">
      <c r="B126" t="s">
        <v>1366</v>
      </c>
      <c r="C126" t="s">
        <v>47</v>
      </c>
      <c r="D126" t="s">
        <v>157</v>
      </c>
      <c r="E126" t="s">
        <v>1367</v>
      </c>
      <c r="F126" t="s">
        <v>1368</v>
      </c>
    </row>
    <row r="127" spans="1:11" x14ac:dyDescent="0.35">
      <c r="B127" s="304" t="s">
        <v>1383</v>
      </c>
      <c r="C127">
        <f>3*500</f>
        <v>1500</v>
      </c>
      <c r="D127" t="s">
        <v>143</v>
      </c>
      <c r="E127" s="140">
        <v>1.5299999999999999E-2</v>
      </c>
      <c r="F127">
        <f>E127*C127</f>
        <v>22.95</v>
      </c>
    </row>
    <row r="128" spans="1:11" x14ac:dyDescent="0.35">
      <c r="B128" s="304" t="s">
        <v>1382</v>
      </c>
      <c r="C128">
        <v>2000</v>
      </c>
      <c r="D128" s="304" t="s">
        <v>143</v>
      </c>
      <c r="E128" s="214">
        <v>1.9E-3</v>
      </c>
      <c r="F128" s="304">
        <f t="shared" ref="F128:F154" si="15">E128*C128</f>
        <v>3.8</v>
      </c>
    </row>
    <row r="129" spans="2:6" x14ac:dyDescent="0.35">
      <c r="B129" t="s">
        <v>554</v>
      </c>
      <c r="C129">
        <v>1000</v>
      </c>
      <c r="D129" s="304" t="s">
        <v>143</v>
      </c>
      <c r="E129" s="214">
        <v>3.5000000000000003E-2</v>
      </c>
      <c r="F129" s="304">
        <f t="shared" si="15"/>
        <v>35</v>
      </c>
    </row>
    <row r="130" spans="2:6" x14ac:dyDescent="0.35">
      <c r="B130" t="s">
        <v>555</v>
      </c>
      <c r="C130">
        <v>1000</v>
      </c>
      <c r="D130" s="304" t="s">
        <v>143</v>
      </c>
      <c r="E130" s="214">
        <v>3.3000000000000002E-2</v>
      </c>
      <c r="F130" s="304">
        <f t="shared" si="15"/>
        <v>33</v>
      </c>
    </row>
    <row r="131" spans="2:6" x14ac:dyDescent="0.35">
      <c r="B131" t="s">
        <v>557</v>
      </c>
      <c r="C131">
        <v>420</v>
      </c>
      <c r="D131" s="304" t="s">
        <v>143</v>
      </c>
      <c r="E131" s="214">
        <v>1.67E-2</v>
      </c>
      <c r="F131" s="304">
        <f t="shared" si="15"/>
        <v>7.0140000000000002</v>
      </c>
    </row>
    <row r="132" spans="2:6" x14ac:dyDescent="0.35">
      <c r="B132" t="s">
        <v>558</v>
      </c>
      <c r="C132">
        <v>420</v>
      </c>
      <c r="D132" s="304" t="s">
        <v>143</v>
      </c>
      <c r="E132" s="214">
        <v>2.86E-2</v>
      </c>
      <c r="F132" s="304">
        <f t="shared" si="15"/>
        <v>12.012</v>
      </c>
    </row>
    <row r="133" spans="2:6" x14ac:dyDescent="0.35">
      <c r="B133" s="228" t="s">
        <v>559</v>
      </c>
      <c r="C133">
        <v>210</v>
      </c>
      <c r="D133" s="304" t="s">
        <v>143</v>
      </c>
      <c r="E133" s="214">
        <v>3.8100000000000002E-2</v>
      </c>
      <c r="F133" s="304">
        <f t="shared" si="15"/>
        <v>8.0010000000000012</v>
      </c>
    </row>
    <row r="134" spans="2:6" x14ac:dyDescent="0.35">
      <c r="B134" t="s">
        <v>1376</v>
      </c>
      <c r="C134">
        <v>419</v>
      </c>
      <c r="D134" t="s">
        <v>1613</v>
      </c>
      <c r="E134" s="140">
        <v>3.5799999999999998E-2</v>
      </c>
      <c r="F134" s="304">
        <f t="shared" si="15"/>
        <v>15.0002</v>
      </c>
    </row>
    <row r="135" spans="2:6" x14ac:dyDescent="0.35">
      <c r="B135" s="304" t="s">
        <v>1377</v>
      </c>
      <c r="C135">
        <v>663</v>
      </c>
      <c r="D135" s="304" t="s">
        <v>1613</v>
      </c>
      <c r="E135" s="140">
        <v>3.32E-2</v>
      </c>
      <c r="F135" s="304">
        <f t="shared" si="15"/>
        <v>22.011600000000001</v>
      </c>
    </row>
    <row r="136" spans="2:6" x14ac:dyDescent="0.35">
      <c r="B136" t="s">
        <v>1369</v>
      </c>
      <c r="C136">
        <v>830</v>
      </c>
      <c r="D136" s="304" t="s">
        <v>1613</v>
      </c>
      <c r="E136" s="140">
        <v>3.0099999999999998E-2</v>
      </c>
      <c r="F136" s="304">
        <f t="shared" si="15"/>
        <v>24.982999999999997</v>
      </c>
    </row>
    <row r="137" spans="2:6" x14ac:dyDescent="0.35">
      <c r="B137" t="s">
        <v>1370</v>
      </c>
      <c r="C137">
        <v>440</v>
      </c>
      <c r="D137" t="s">
        <v>1615</v>
      </c>
      <c r="E137" s="140">
        <v>6.3600000000000004E-2</v>
      </c>
      <c r="F137" s="304">
        <f t="shared" si="15"/>
        <v>27.984000000000002</v>
      </c>
    </row>
    <row r="138" spans="2:6" x14ac:dyDescent="0.35">
      <c r="B138" t="s">
        <v>1371</v>
      </c>
      <c r="C138" s="304">
        <v>440</v>
      </c>
      <c r="D138" s="304" t="s">
        <v>1615</v>
      </c>
      <c r="E138" s="139">
        <v>0.1091</v>
      </c>
      <c r="F138" s="304">
        <f t="shared" si="15"/>
        <v>48.003999999999998</v>
      </c>
    </row>
    <row r="139" spans="2:6" x14ac:dyDescent="0.35">
      <c r="B139" t="s">
        <v>1372</v>
      </c>
      <c r="C139" s="304">
        <v>440</v>
      </c>
      <c r="D139" s="304" t="s">
        <v>1615</v>
      </c>
      <c r="E139" s="140">
        <v>5.67E-2</v>
      </c>
      <c r="F139" s="304">
        <f t="shared" si="15"/>
        <v>24.948</v>
      </c>
    </row>
    <row r="140" spans="2:6" x14ac:dyDescent="0.35">
      <c r="B140" t="s">
        <v>1374</v>
      </c>
      <c r="C140">
        <v>180</v>
      </c>
      <c r="D140" s="304" t="s">
        <v>1604</v>
      </c>
      <c r="E140" s="139">
        <v>0.12</v>
      </c>
      <c r="F140" s="304">
        <f t="shared" si="15"/>
        <v>21.599999999999998</v>
      </c>
    </row>
    <row r="141" spans="2:6" x14ac:dyDescent="0.35">
      <c r="B141" s="304" t="s">
        <v>910</v>
      </c>
      <c r="C141">
        <v>690</v>
      </c>
      <c r="D141" s="304" t="s">
        <v>1604</v>
      </c>
      <c r="E141" s="140">
        <v>9.9000000000000008E-3</v>
      </c>
      <c r="F141" s="304">
        <f t="shared" si="15"/>
        <v>6.8310000000000004</v>
      </c>
    </row>
    <row r="142" spans="2:6" x14ac:dyDescent="0.35">
      <c r="B142" t="s">
        <v>519</v>
      </c>
      <c r="C142">
        <f>6*68.67</f>
        <v>412.02</v>
      </c>
      <c r="D142" s="304" t="s">
        <v>1604</v>
      </c>
      <c r="E142" s="140">
        <v>0.41909999999999997</v>
      </c>
      <c r="F142" s="304">
        <f t="shared" si="15"/>
        <v>172.67758199999997</v>
      </c>
    </row>
    <row r="143" spans="2:6" x14ac:dyDescent="0.35">
      <c r="B143" t="s">
        <v>1373</v>
      </c>
      <c r="C143">
        <v>1500</v>
      </c>
      <c r="D143" s="304" t="s">
        <v>1604</v>
      </c>
      <c r="E143" s="140">
        <v>0.36470000000000002</v>
      </c>
      <c r="F143" s="304">
        <f t="shared" si="15"/>
        <v>547.05000000000007</v>
      </c>
    </row>
    <row r="144" spans="2:6" x14ac:dyDescent="0.35">
      <c r="B144" s="304" t="s">
        <v>911</v>
      </c>
      <c r="C144">
        <v>94</v>
      </c>
      <c r="D144" s="304" t="s">
        <v>1604</v>
      </c>
      <c r="E144" s="140">
        <v>3.8399999999999997E-2</v>
      </c>
      <c r="F144" s="304">
        <f t="shared" si="15"/>
        <v>3.6095999999999995</v>
      </c>
    </row>
    <row r="145" spans="2:6" x14ac:dyDescent="0.35">
      <c r="B145" t="s">
        <v>1384</v>
      </c>
      <c r="C145">
        <v>540</v>
      </c>
      <c r="D145" s="304" t="s">
        <v>1604</v>
      </c>
      <c r="E145" s="140">
        <v>0.14899999999999999</v>
      </c>
      <c r="F145" s="304">
        <f t="shared" si="15"/>
        <v>80.459999999999994</v>
      </c>
    </row>
    <row r="146" spans="2:6" x14ac:dyDescent="0.35">
      <c r="B146" t="s">
        <v>1375</v>
      </c>
      <c r="C146">
        <v>520</v>
      </c>
      <c r="D146" s="304" t="s">
        <v>1604</v>
      </c>
      <c r="E146" s="139">
        <v>0.13</v>
      </c>
      <c r="F146" s="304">
        <f t="shared" si="15"/>
        <v>67.600000000000009</v>
      </c>
    </row>
    <row r="147" spans="2:6" x14ac:dyDescent="0.35">
      <c r="B147" t="s">
        <v>596</v>
      </c>
      <c r="C147">
        <v>280</v>
      </c>
      <c r="D147" s="304" t="s">
        <v>1604</v>
      </c>
      <c r="E147" s="140">
        <v>3.5700000000000003E-2</v>
      </c>
      <c r="F147" s="304">
        <f t="shared" si="15"/>
        <v>9.9960000000000004</v>
      </c>
    </row>
    <row r="148" spans="2:6" x14ac:dyDescent="0.35">
      <c r="B148" t="s">
        <v>594</v>
      </c>
      <c r="C148">
        <v>300</v>
      </c>
      <c r="D148" s="304" t="s">
        <v>1604</v>
      </c>
      <c r="E148" s="140">
        <v>0.15670000000000001</v>
      </c>
      <c r="F148" s="304">
        <f t="shared" si="15"/>
        <v>47.010000000000005</v>
      </c>
    </row>
    <row r="149" spans="2:6" x14ac:dyDescent="0.35">
      <c r="B149" s="304" t="s">
        <v>599</v>
      </c>
      <c r="C149">
        <v>480</v>
      </c>
      <c r="D149" s="304" t="s">
        <v>1604</v>
      </c>
      <c r="E149" s="140">
        <v>2.7099999999999999E-2</v>
      </c>
      <c r="F149" s="304">
        <f t="shared" si="15"/>
        <v>13.007999999999999</v>
      </c>
    </row>
    <row r="150" spans="2:6" x14ac:dyDescent="0.35">
      <c r="B150" s="304" t="s">
        <v>1380</v>
      </c>
      <c r="C150">
        <v>1000</v>
      </c>
      <c r="D150" t="s">
        <v>143</v>
      </c>
      <c r="E150" s="140">
        <v>3.3709999999999997E-2</v>
      </c>
      <c r="F150">
        <f t="shared" si="15"/>
        <v>33.709999999999994</v>
      </c>
    </row>
    <row r="151" spans="2:6" x14ac:dyDescent="0.35">
      <c r="B151" t="s">
        <v>1381</v>
      </c>
      <c r="C151">
        <v>800</v>
      </c>
      <c r="D151" s="304" t="s">
        <v>143</v>
      </c>
      <c r="E151" s="139">
        <v>0.28000000000000003</v>
      </c>
      <c r="F151">
        <f t="shared" si="15"/>
        <v>224.00000000000003</v>
      </c>
    </row>
    <row r="152" spans="2:6" x14ac:dyDescent="0.35">
      <c r="B152" t="s">
        <v>1378</v>
      </c>
      <c r="C152">
        <v>980</v>
      </c>
      <c r="D152" s="149" t="s">
        <v>143</v>
      </c>
      <c r="E152" s="214">
        <v>2.0999999999999999E-3</v>
      </c>
      <c r="F152">
        <f t="shared" si="15"/>
        <v>2.0579999999999998</v>
      </c>
    </row>
    <row r="153" spans="2:6" x14ac:dyDescent="0.35">
      <c r="B153" t="s">
        <v>595</v>
      </c>
      <c r="C153">
        <v>231</v>
      </c>
      <c r="D153" t="s">
        <v>1604</v>
      </c>
      <c r="E153" s="139">
        <v>0.13</v>
      </c>
      <c r="F153">
        <f t="shared" si="15"/>
        <v>30.03</v>
      </c>
    </row>
    <row r="154" spans="2:6" x14ac:dyDescent="0.35">
      <c r="B154" t="s">
        <v>1379</v>
      </c>
      <c r="C154">
        <v>500</v>
      </c>
      <c r="D154" t="s">
        <v>143</v>
      </c>
      <c r="E154" s="140">
        <v>2.2000000000000001E-3</v>
      </c>
      <c r="F154" s="304">
        <f t="shared" si="15"/>
        <v>1.1000000000000001</v>
      </c>
    </row>
    <row r="155" spans="2:6" x14ac:dyDescent="0.35">
      <c r="B155" s="304"/>
    </row>
  </sheetData>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workbookViewId="0"/>
  </sheetViews>
  <sheetFormatPr defaultRowHeight="14.5" x14ac:dyDescent="0.35"/>
  <cols>
    <col min="1" max="1" width="11.54296875" bestFit="1" customWidth="1"/>
    <col min="2" max="2" width="10.26953125" customWidth="1"/>
    <col min="3" max="3" width="11.54296875" bestFit="1" customWidth="1"/>
  </cols>
  <sheetData>
    <row r="1" spans="1:8" ht="29" x14ac:dyDescent="0.35">
      <c r="A1" s="18" t="s">
        <v>157</v>
      </c>
      <c r="B1" s="18" t="s">
        <v>180</v>
      </c>
      <c r="C1" s="18" t="s">
        <v>146</v>
      </c>
      <c r="D1" s="18" t="s">
        <v>182</v>
      </c>
      <c r="E1" s="18" t="s">
        <v>142</v>
      </c>
    </row>
    <row r="2" spans="1:8" x14ac:dyDescent="0.35">
      <c r="A2" s="3" t="s">
        <v>1612</v>
      </c>
      <c r="B2" s="3" t="s">
        <v>739</v>
      </c>
      <c r="C2" s="143">
        <f>SUMIF($B$15:$B$54,$A2,C$15:C$54)</f>
        <v>658.88611590032895</v>
      </c>
      <c r="D2" s="143">
        <f>SUMIF($B$15:$B$54,$A2,G$15:G$54)/$C2</f>
        <v>8521.9696694432332</v>
      </c>
      <c r="E2" s="11">
        <f>SUMIF($B$15:$B$54,$A2,H$15:H$54)/$C2</f>
        <v>2.0337811388570839</v>
      </c>
    </row>
    <row r="3" spans="1:8" x14ac:dyDescent="0.35">
      <c r="A3" s="3" t="s">
        <v>1613</v>
      </c>
      <c r="B3" s="3" t="s">
        <v>739</v>
      </c>
      <c r="C3" s="143">
        <f t="shared" ref="C3:C11" si="0">SUMIF($B$15:$B$54,$A3,C$15:C$54)</f>
        <v>157.21</v>
      </c>
      <c r="D3" s="143">
        <f t="shared" ref="D3:E9" si="1">SUMIF($B$15:$B$54,$A3,G$15:G$54)/$C3</f>
        <v>6536.4662110029767</v>
      </c>
      <c r="E3" s="11">
        <f t="shared" si="1"/>
        <v>3.3272491224963794</v>
      </c>
    </row>
    <row r="4" spans="1:8" x14ac:dyDescent="0.35">
      <c r="A4" s="3" t="s">
        <v>1614</v>
      </c>
      <c r="B4" s="3" t="s">
        <v>739</v>
      </c>
      <c r="C4" s="143">
        <f t="shared" si="0"/>
        <v>0</v>
      </c>
      <c r="D4" s="143">
        <v>0</v>
      </c>
      <c r="E4" s="11">
        <v>0</v>
      </c>
    </row>
    <row r="5" spans="1:8" x14ac:dyDescent="0.35">
      <c r="A5" s="3" t="s">
        <v>1615</v>
      </c>
      <c r="B5" s="3" t="s">
        <v>739</v>
      </c>
      <c r="C5" s="143">
        <f t="shared" si="0"/>
        <v>127.13012996097777</v>
      </c>
      <c r="D5" s="143">
        <f t="shared" si="1"/>
        <v>252.02832937082493</v>
      </c>
      <c r="E5" s="11">
        <f t="shared" si="1"/>
        <v>3.0756305645214943</v>
      </c>
    </row>
    <row r="6" spans="1:8" x14ac:dyDescent="0.35">
      <c r="A6" s="3" t="s">
        <v>1604</v>
      </c>
      <c r="B6" s="3" t="s">
        <v>739</v>
      </c>
      <c r="C6" s="143">
        <f t="shared" si="0"/>
        <v>105.74195540693312</v>
      </c>
      <c r="D6" s="143">
        <f t="shared" si="1"/>
        <v>8148.7775070741181</v>
      </c>
      <c r="E6" s="11">
        <f t="shared" si="1"/>
        <v>1.8562635063200803</v>
      </c>
    </row>
    <row r="7" spans="1:8" x14ac:dyDescent="0.35">
      <c r="A7" s="3" t="s">
        <v>1603</v>
      </c>
      <c r="B7" s="3" t="s">
        <v>739</v>
      </c>
      <c r="C7" s="143">
        <f t="shared" si="0"/>
        <v>0</v>
      </c>
      <c r="D7" s="143">
        <v>0</v>
      </c>
      <c r="E7" s="11">
        <v>0</v>
      </c>
    </row>
    <row r="8" spans="1:8" x14ac:dyDescent="0.35">
      <c r="A8" s="3" t="s">
        <v>1605</v>
      </c>
      <c r="B8" s="3" t="s">
        <v>739</v>
      </c>
      <c r="C8" s="143">
        <f t="shared" si="0"/>
        <v>0</v>
      </c>
      <c r="D8" s="143">
        <v>0</v>
      </c>
      <c r="E8" s="11">
        <v>0</v>
      </c>
    </row>
    <row r="9" spans="1:8" x14ac:dyDescent="0.35">
      <c r="A9" s="3" t="s">
        <v>1636</v>
      </c>
      <c r="B9" s="3" t="s">
        <v>739</v>
      </c>
      <c r="C9" s="143">
        <f t="shared" si="0"/>
        <v>57.78</v>
      </c>
      <c r="D9" s="143">
        <f t="shared" si="1"/>
        <v>0</v>
      </c>
      <c r="E9" s="11">
        <f t="shared" si="1"/>
        <v>6.9820255186758526</v>
      </c>
    </row>
    <row r="10" spans="1:8" x14ac:dyDescent="0.35">
      <c r="A10" s="3" t="s">
        <v>145</v>
      </c>
      <c r="B10" s="3" t="s">
        <v>739</v>
      </c>
      <c r="C10" s="143">
        <f t="shared" si="0"/>
        <v>0</v>
      </c>
      <c r="D10" s="143">
        <v>0</v>
      </c>
      <c r="E10" s="11">
        <v>0</v>
      </c>
    </row>
    <row r="11" spans="1:8" x14ac:dyDescent="0.35">
      <c r="A11" s="3" t="s">
        <v>1606</v>
      </c>
      <c r="B11" s="3" t="s">
        <v>739</v>
      </c>
      <c r="C11" s="143">
        <f t="shared" si="0"/>
        <v>0</v>
      </c>
      <c r="D11" s="143">
        <v>0</v>
      </c>
      <c r="E11" s="11">
        <v>0</v>
      </c>
    </row>
    <row r="14" spans="1:8" ht="29" x14ac:dyDescent="0.35">
      <c r="A14" s="4" t="s">
        <v>1399</v>
      </c>
      <c r="B14" s="4" t="s">
        <v>157</v>
      </c>
      <c r="C14" s="4" t="s">
        <v>146</v>
      </c>
      <c r="D14" s="4" t="s">
        <v>182</v>
      </c>
      <c r="E14" s="4" t="s">
        <v>142</v>
      </c>
      <c r="F14" s="4" t="s">
        <v>1394</v>
      </c>
      <c r="G14" s="41" t="s">
        <v>1402</v>
      </c>
      <c r="H14" s="41" t="s">
        <v>1403</v>
      </c>
    </row>
    <row r="15" spans="1:8" x14ac:dyDescent="0.35">
      <c r="A15" s="3" t="s">
        <v>1397</v>
      </c>
      <c r="B15" s="3" t="s">
        <v>1612</v>
      </c>
      <c r="C15" s="3">
        <f>SUMIFS(Capacity!$C$3:$C$263,Capacity!$A$3:$A$263,$A15,Capacity!$B$3:$B$263,$B15)</f>
        <v>271.59924938889685</v>
      </c>
      <c r="D15" s="143">
        <f>SUMIFS(Legacy_FC_VC!G$66:G$182,Legacy_FC_VC!$C$66:$C$182,$F15,Legacy_FC_VC!$D$66:$D$182,$B15)</f>
        <v>7802.6675243690206</v>
      </c>
      <c r="E15" s="11">
        <f>SUMIFS(Legacy_FC_VC!H$66:H$182,Legacy_FC_VC!$C$66:$C$182,$F15,Legacy_FC_VC!$D$66:$D$182,$B15)</f>
        <v>2.5181114586738524</v>
      </c>
      <c r="F15" s="3" t="s">
        <v>788</v>
      </c>
      <c r="G15">
        <f>D15*C15</f>
        <v>2119198.642849748</v>
      </c>
      <c r="H15">
        <f>E15*C15</f>
        <v>683.91718205339851</v>
      </c>
    </row>
    <row r="16" spans="1:8" s="304" customFormat="1" x14ac:dyDescent="0.35">
      <c r="A16" s="3" t="s">
        <v>1397</v>
      </c>
      <c r="B16" s="3" t="s">
        <v>1613</v>
      </c>
      <c r="C16" s="3">
        <f>SUMIFS(Capacity!$C$3:$C$263,Capacity!$A$3:$A$263,$A16,Capacity!$B$3:$B$263,$B16)</f>
        <v>32.5</v>
      </c>
      <c r="D16" s="143">
        <f>SUMIFS(Legacy_FC_VC!G$66:G$182,Legacy_FC_VC!$C$66:$C$182,$F16,Legacy_FC_VC!$D$66:$D$182,$B16)</f>
        <v>8381.8204390738501</v>
      </c>
      <c r="E16" s="11">
        <f>SUMIFS(Legacy_FC_VC!H$66:H$182,Legacy_FC_VC!$C$66:$C$182,$F16,Legacy_FC_VC!$D$66:$D$182,$B16)</f>
        <v>2.278700041631974</v>
      </c>
      <c r="F16" s="3" t="s">
        <v>788</v>
      </c>
      <c r="G16" s="304">
        <f t="shared" ref="G16:G54" si="2">D16*C16</f>
        <v>272409.16426990012</v>
      </c>
      <c r="H16" s="304">
        <f t="shared" ref="H16:H54" si="3">E16*C16</f>
        <v>74.057751353039151</v>
      </c>
    </row>
    <row r="17" spans="1:8" s="304" customFormat="1" x14ac:dyDescent="0.35">
      <c r="A17" s="3" t="s">
        <v>1397</v>
      </c>
      <c r="B17" s="3" t="s">
        <v>1614</v>
      </c>
      <c r="C17" s="3">
        <f>SUMIFS(Capacity!$C$3:$C$263,Capacity!$A$3:$A$263,$A17,Capacity!$B$3:$B$263,$B17)</f>
        <v>0</v>
      </c>
      <c r="D17" s="143">
        <f>SUMIFS(Legacy_FC_VC!G$66:G$182,Legacy_FC_VC!$C$66:$C$182,$F17,Legacy_FC_VC!$D$66:$D$182,$B17)</f>
        <v>0</v>
      </c>
      <c r="E17" s="11">
        <f>SUMIFS(Legacy_FC_VC!H$66:H$182,Legacy_FC_VC!$C$66:$C$182,$F17,Legacy_FC_VC!$D$66:$D$182,$B17)</f>
        <v>0</v>
      </c>
      <c r="F17" s="3" t="s">
        <v>788</v>
      </c>
      <c r="G17" s="304">
        <f t="shared" si="2"/>
        <v>0</v>
      </c>
      <c r="H17" s="304">
        <f t="shared" si="3"/>
        <v>0</v>
      </c>
    </row>
    <row r="18" spans="1:8" s="304" customFormat="1" x14ac:dyDescent="0.35">
      <c r="A18" s="3" t="s">
        <v>1397</v>
      </c>
      <c r="B18" s="3" t="s">
        <v>1615</v>
      </c>
      <c r="C18" s="3">
        <f>SUMIFS(Capacity!$C$3:$C$263,Capacity!$A$3:$A$263,$A18,Capacity!$B$3:$B$263,$B18)</f>
        <v>99.484320557491287</v>
      </c>
      <c r="D18" s="143">
        <f>SUMIFS(Legacy_FC_VC!G$66:G$182,Legacy_FC_VC!$C$66:$C$182,$F18,Legacy_FC_VC!$D$66:$D$182,$B18)</f>
        <v>0</v>
      </c>
      <c r="E18" s="11">
        <f>SUMIFS(Legacy_FC_VC!H$66:H$182,Legacy_FC_VC!$C$66:$C$182,$F18,Legacy_FC_VC!$D$66:$D$182,$B18)</f>
        <v>3.2410007526107276</v>
      </c>
      <c r="F18" s="3" t="s">
        <v>788</v>
      </c>
      <c r="G18" s="304">
        <f t="shared" si="2"/>
        <v>0</v>
      </c>
      <c r="H18" s="304">
        <f t="shared" si="3"/>
        <v>322.42875779979613</v>
      </c>
    </row>
    <row r="19" spans="1:8" s="304" customFormat="1" x14ac:dyDescent="0.35">
      <c r="A19" s="3" t="s">
        <v>1397</v>
      </c>
      <c r="B19" s="3" t="s">
        <v>1604</v>
      </c>
      <c r="C19" s="3">
        <f>SUMIFS(Capacity!$C$3:$C$263,Capacity!$A$3:$A$263,$A19,Capacity!$B$3:$B$263,$B19)</f>
        <v>0</v>
      </c>
      <c r="D19" s="143">
        <f>SUMIFS(Legacy_FC_VC!G$66:G$182,Legacy_FC_VC!$C$66:$C$182,$F19,Legacy_FC_VC!$D$66:$D$182,$B19)</f>
        <v>4692.4945098310927</v>
      </c>
      <c r="E19" s="11">
        <f>SUMIFS(Legacy_FC_VC!H$66:H$182,Legacy_FC_VC!$C$66:$C$182,$F19,Legacy_FC_VC!$D$66:$D$182,$B19)</f>
        <v>0</v>
      </c>
      <c r="F19" s="3" t="s">
        <v>788</v>
      </c>
      <c r="G19" s="304">
        <f t="shared" si="2"/>
        <v>0</v>
      </c>
      <c r="H19" s="304">
        <f t="shared" si="3"/>
        <v>0</v>
      </c>
    </row>
    <row r="20" spans="1:8" s="304" customFormat="1" x14ac:dyDescent="0.35">
      <c r="A20" s="3" t="s">
        <v>1397</v>
      </c>
      <c r="B20" s="3" t="s">
        <v>1603</v>
      </c>
      <c r="C20" s="3">
        <f>SUMIFS(Capacity!$C$3:$C$263,Capacity!$A$3:$A$263,$A20,Capacity!$B$3:$B$263,$B20)</f>
        <v>0</v>
      </c>
      <c r="D20" s="143">
        <f>SUMIFS(Legacy_FC_VC!G$66:G$182,Legacy_FC_VC!$C$66:$C$182,$F20,Legacy_FC_VC!$D$66:$D$182,$B20)</f>
        <v>1773.7294519170678</v>
      </c>
      <c r="E20" s="11">
        <f>SUMIFS(Legacy_FC_VC!H$66:H$182,Legacy_FC_VC!$C$66:$C$182,$F20,Legacy_FC_VC!$D$66:$D$182,$B20)</f>
        <v>0</v>
      </c>
      <c r="F20" s="3" t="s">
        <v>788</v>
      </c>
      <c r="G20" s="304">
        <f t="shared" si="2"/>
        <v>0</v>
      </c>
      <c r="H20" s="304">
        <f t="shared" si="3"/>
        <v>0</v>
      </c>
    </row>
    <row r="21" spans="1:8" s="304" customFormat="1" x14ac:dyDescent="0.35">
      <c r="A21" s="3" t="s">
        <v>1397</v>
      </c>
      <c r="B21" s="3" t="s">
        <v>1605</v>
      </c>
      <c r="C21" s="3">
        <f>SUMIFS(Capacity!$C$3:$C$263,Capacity!$A$3:$A$263,$A21,Capacity!$B$3:$B$263,$B21)</f>
        <v>0</v>
      </c>
      <c r="D21" s="143">
        <f>SUMIFS(Legacy_FC_VC!G$66:G$182,Legacy_FC_VC!$C$66:$C$182,$F21,Legacy_FC_VC!$D$66:$D$182,$B21)</f>
        <v>0</v>
      </c>
      <c r="E21" s="11">
        <f>SUMIFS(Legacy_FC_VC!H$66:H$182,Legacy_FC_VC!$C$66:$C$182,$F21,Legacy_FC_VC!$D$66:$D$182,$B21)</f>
        <v>3.08</v>
      </c>
      <c r="F21" s="3" t="s">
        <v>788</v>
      </c>
      <c r="G21" s="304">
        <f t="shared" si="2"/>
        <v>0</v>
      </c>
      <c r="H21" s="304">
        <f t="shared" si="3"/>
        <v>0</v>
      </c>
    </row>
    <row r="22" spans="1:8" s="304" customFormat="1" x14ac:dyDescent="0.35">
      <c r="A22" s="3" t="s">
        <v>1397</v>
      </c>
      <c r="B22" s="3" t="s">
        <v>1636</v>
      </c>
      <c r="C22" s="3">
        <f>SUMIFS(Capacity!$C$3:$C$263,Capacity!$A$3:$A$263,$A22,Capacity!$B$3:$B$263,$B22)</f>
        <v>3.1399999999999997</v>
      </c>
      <c r="D22" s="143">
        <f>SUMIFS(Legacy_FC_VC!G$66:G$182,Legacy_FC_VC!$C$66:$C$182,$F22,Legacy_FC_VC!$D$66:$D$182,$B22)</f>
        <v>0</v>
      </c>
      <c r="E22" s="11">
        <f>SUMIFS(Legacy_FC_VC!H$66:H$182,Legacy_FC_VC!$C$66:$C$182,$F22,Legacy_FC_VC!$D$66:$D$182,$B22)</f>
        <v>6.85</v>
      </c>
      <c r="F22" s="3" t="s">
        <v>788</v>
      </c>
      <c r="G22" s="304">
        <f t="shared" si="2"/>
        <v>0</v>
      </c>
      <c r="H22" s="304">
        <f t="shared" si="3"/>
        <v>21.508999999999997</v>
      </c>
    </row>
    <row r="23" spans="1:8" s="304" customFormat="1" x14ac:dyDescent="0.35">
      <c r="A23" s="3" t="s">
        <v>1397</v>
      </c>
      <c r="B23" s="3" t="s">
        <v>145</v>
      </c>
      <c r="C23" s="3">
        <f>SUMIFS(Capacity!$C$3:$C$263,Capacity!$A$3:$A$263,$A23,Capacity!$B$3:$B$263,$B23)</f>
        <v>0</v>
      </c>
      <c r="D23" s="143">
        <f>SUMIFS(Legacy_FC_VC!G$66:G$182,Legacy_FC_VC!$C$66:$C$182,$F23,Legacy_FC_VC!$D$66:$D$182,$B23)</f>
        <v>0</v>
      </c>
      <c r="E23" s="11">
        <f>SUMIFS(Legacy_FC_VC!H$66:H$182,Legacy_FC_VC!$C$66:$C$182,$F23,Legacy_FC_VC!$D$66:$D$182,$B23)</f>
        <v>0</v>
      </c>
      <c r="F23" s="3" t="s">
        <v>788</v>
      </c>
      <c r="G23" s="304">
        <f t="shared" si="2"/>
        <v>0</v>
      </c>
      <c r="H23" s="304">
        <f t="shared" si="3"/>
        <v>0</v>
      </c>
    </row>
    <row r="24" spans="1:8" s="304" customFormat="1" x14ac:dyDescent="0.35">
      <c r="A24" s="3" t="s">
        <v>1397</v>
      </c>
      <c r="B24" s="3" t="s">
        <v>1606</v>
      </c>
      <c r="C24" s="3">
        <f>SUMIFS(Capacity!$C$3:$C$263,Capacity!$A$3:$A$263,$A24,Capacity!$B$3:$B$263,$B24)</f>
        <v>0</v>
      </c>
      <c r="D24" s="143">
        <f>SUMIFS(Legacy_FC_VC!G$66:G$182,Legacy_FC_VC!$C$66:$C$182,$F24,Legacy_FC_VC!$D$66:$D$182,$B24)</f>
        <v>0</v>
      </c>
      <c r="E24" s="11">
        <f>SUMIFS(Legacy_FC_VC!H$66:H$182,Legacy_FC_VC!$C$66:$C$182,$F24,Legacy_FC_VC!$D$66:$D$182,$B24)</f>
        <v>3.0793795331954792</v>
      </c>
      <c r="F24" s="3" t="s">
        <v>788</v>
      </c>
      <c r="G24" s="304">
        <f t="shared" si="2"/>
        <v>0</v>
      </c>
      <c r="H24" s="304">
        <f t="shared" si="3"/>
        <v>0</v>
      </c>
    </row>
    <row r="25" spans="1:8" x14ac:dyDescent="0.35">
      <c r="A25" s="3" t="s">
        <v>1400</v>
      </c>
      <c r="B25" s="3" t="s">
        <v>1612</v>
      </c>
      <c r="C25" s="3">
        <f>SUMIFS(Capacity!$C$3:$C$263,Capacity!$A$3:$A$263,$A25,Capacity!$B$3:$B$263,$B25)</f>
        <v>39.120656061096291</v>
      </c>
      <c r="D25" s="143">
        <f>SUMIFS(Legacy_FC_VC!G$66:G$182,Legacy_FC_VC!$C$66:$C$182,$F25,Legacy_FC_VC!$D$66:$D$182,$B25)</f>
        <v>10207.195004801035</v>
      </c>
      <c r="E25" s="11">
        <f>SUMIFS(Legacy_FC_VC!H$66:H$182,Legacy_FC_VC!$C$66:$C$182,$F25,Legacy_FC_VC!$D$66:$D$182,$B25)</f>
        <v>2.0419708046774936</v>
      </c>
      <c r="F25" s="3" t="s">
        <v>799</v>
      </c>
      <c r="G25" s="304">
        <f t="shared" si="2"/>
        <v>399312.1651313614</v>
      </c>
      <c r="H25" s="304">
        <f t="shared" si="3"/>
        <v>79.883237536588254</v>
      </c>
    </row>
    <row r="26" spans="1:8" s="304" customFormat="1" x14ac:dyDescent="0.35">
      <c r="A26" s="3" t="s">
        <v>1400</v>
      </c>
      <c r="B26" s="3" t="s">
        <v>1613</v>
      </c>
      <c r="C26" s="3">
        <f>SUMIFS(Capacity!$C$3:$C$263,Capacity!$A$3:$A$263,$A26,Capacity!$B$3:$B$263,$B26)</f>
        <v>15.03</v>
      </c>
      <c r="D26" s="143">
        <f>SUMIFS(Legacy_FC_VC!G$66:G$182,Legacy_FC_VC!$C$66:$C$182,$F26,Legacy_FC_VC!$D$66:$D$182,$B26)</f>
        <v>5589.0144862358839</v>
      </c>
      <c r="E26" s="11">
        <f>SUMIFS(Legacy_FC_VC!H$66:H$182,Legacy_FC_VC!$C$66:$C$182,$F26,Legacy_FC_VC!$D$66:$D$182,$B26)</f>
        <v>2.7257417405517854</v>
      </c>
      <c r="F26" s="3" t="s">
        <v>799</v>
      </c>
      <c r="G26" s="304">
        <f t="shared" si="2"/>
        <v>84002.887728125337</v>
      </c>
      <c r="H26" s="304">
        <f t="shared" si="3"/>
        <v>40.967898360493336</v>
      </c>
    </row>
    <row r="27" spans="1:8" s="304" customFormat="1" x14ac:dyDescent="0.35">
      <c r="A27" s="3" t="s">
        <v>1400</v>
      </c>
      <c r="B27" s="3" t="s">
        <v>1614</v>
      </c>
      <c r="C27" s="3">
        <f>SUMIFS(Capacity!$C$3:$C$263,Capacity!$A$3:$A$263,$A27,Capacity!$B$3:$B$263,$B27)</f>
        <v>0</v>
      </c>
      <c r="D27" s="143">
        <f>SUMIFS(Legacy_FC_VC!G$66:G$182,Legacy_FC_VC!$C$66:$C$182,$F27,Legacy_FC_VC!$D$66:$D$182,$B27)</f>
        <v>0</v>
      </c>
      <c r="E27" s="11">
        <f>SUMIFS(Legacy_FC_VC!H$66:H$182,Legacy_FC_VC!$C$66:$C$182,$F27,Legacy_FC_VC!$D$66:$D$182,$B27)</f>
        <v>0</v>
      </c>
      <c r="F27" s="3" t="s">
        <v>799</v>
      </c>
      <c r="G27" s="304">
        <f t="shared" si="2"/>
        <v>0</v>
      </c>
      <c r="H27" s="304">
        <f t="shared" si="3"/>
        <v>0</v>
      </c>
    </row>
    <row r="28" spans="1:8" s="304" customFormat="1" x14ac:dyDescent="0.35">
      <c r="A28" s="3" t="s">
        <v>1400</v>
      </c>
      <c r="B28" s="3" t="s">
        <v>1615</v>
      </c>
      <c r="C28" s="3">
        <f>SUMIFS(Capacity!$C$3:$C$263,Capacity!$A$3:$A$263,$A28,Capacity!$B$3:$B$263,$B28)</f>
        <v>9.3827821082011305</v>
      </c>
      <c r="D28" s="143">
        <f>SUMIFS(Legacy_FC_VC!G$66:G$182,Legacy_FC_VC!$C$66:$C$182,$F28,Legacy_FC_VC!$D$66:$D$182,$B28)</f>
        <v>0</v>
      </c>
      <c r="E28" s="11">
        <f>SUMIFS(Legacy_FC_VC!H$66:H$182,Legacy_FC_VC!$C$66:$C$182,$F28,Legacy_FC_VC!$D$66:$D$182,$B28)</f>
        <v>2.915447792696384</v>
      </c>
      <c r="F28" s="3" t="s">
        <v>799</v>
      </c>
      <c r="G28" s="304">
        <f t="shared" si="2"/>
        <v>0</v>
      </c>
      <c r="H28" s="304">
        <f t="shared" si="3"/>
        <v>27.35501138670611</v>
      </c>
    </row>
    <row r="29" spans="1:8" s="304" customFormat="1" x14ac:dyDescent="0.35">
      <c r="A29" s="3" t="s">
        <v>1400</v>
      </c>
      <c r="B29" s="3" t="s">
        <v>1604</v>
      </c>
      <c r="C29" s="3">
        <f>SUMIFS(Capacity!$C$3:$C$263,Capacity!$A$3:$A$263,$A29,Capacity!$B$3:$B$263,$B29)</f>
        <v>105.74195540693312</v>
      </c>
      <c r="D29" s="143">
        <f>SUMIFS(Legacy_FC_VC!G$66:G$182,Legacy_FC_VC!$C$66:$C$182,$F29,Legacy_FC_VC!$D$66:$D$182,$B29)</f>
        <v>8148.7775070741172</v>
      </c>
      <c r="E29" s="11">
        <f>SUMIFS(Legacy_FC_VC!H$66:H$182,Legacy_FC_VC!$C$66:$C$182,$F29,Legacy_FC_VC!$D$66:$D$182,$B29)</f>
        <v>1.8562635063200805</v>
      </c>
      <c r="F29" s="3" t="s">
        <v>799</v>
      </c>
      <c r="G29" s="304">
        <f t="shared" si="2"/>
        <v>861667.66777405096</v>
      </c>
      <c r="H29" s="304">
        <f t="shared" si="3"/>
        <v>196.28493290881525</v>
      </c>
    </row>
    <row r="30" spans="1:8" s="304" customFormat="1" x14ac:dyDescent="0.35">
      <c r="A30" s="3" t="s">
        <v>1400</v>
      </c>
      <c r="B30" s="3" t="s">
        <v>1603</v>
      </c>
      <c r="C30" s="3">
        <f>SUMIFS(Capacity!$C$3:$C$263,Capacity!$A$3:$A$263,$A30,Capacity!$B$3:$B$263,$B30)</f>
        <v>0</v>
      </c>
      <c r="D30" s="143">
        <f>SUMIFS(Legacy_FC_VC!G$66:G$182,Legacy_FC_VC!$C$66:$C$182,$F30,Legacy_FC_VC!$D$66:$D$182,$B30)</f>
        <v>0</v>
      </c>
      <c r="E30" s="11">
        <f>SUMIFS(Legacy_FC_VC!H$66:H$182,Legacy_FC_VC!$C$66:$C$182,$F30,Legacy_FC_VC!$D$66:$D$182,$B30)</f>
        <v>2.42</v>
      </c>
      <c r="F30" s="3" t="s">
        <v>799</v>
      </c>
      <c r="G30" s="304">
        <f t="shared" si="2"/>
        <v>0</v>
      </c>
      <c r="H30" s="304">
        <f t="shared" si="3"/>
        <v>0</v>
      </c>
    </row>
    <row r="31" spans="1:8" s="304" customFormat="1" x14ac:dyDescent="0.35">
      <c r="A31" s="3" t="s">
        <v>1400</v>
      </c>
      <c r="B31" s="3" t="s">
        <v>1605</v>
      </c>
      <c r="C31" s="3">
        <f>SUMIFS(Capacity!$C$3:$C$263,Capacity!$A$3:$A$263,$A31,Capacity!$B$3:$B$263,$B31)</f>
        <v>0</v>
      </c>
      <c r="D31" s="143">
        <f>SUMIFS(Legacy_FC_VC!G$66:G$182,Legacy_FC_VC!$C$66:$C$182,$F31,Legacy_FC_VC!$D$66:$D$182,$B31)</f>
        <v>0</v>
      </c>
      <c r="E31" s="11">
        <f>SUMIFS(Legacy_FC_VC!H$66:H$182,Legacy_FC_VC!$C$66:$C$182,$F31,Legacy_FC_VC!$D$66:$D$182,$B31)</f>
        <v>7.1047233362808022</v>
      </c>
      <c r="F31" s="3" t="s">
        <v>799</v>
      </c>
      <c r="G31" s="304">
        <f t="shared" si="2"/>
        <v>0</v>
      </c>
      <c r="H31" s="304">
        <f t="shared" si="3"/>
        <v>0</v>
      </c>
    </row>
    <row r="32" spans="1:8" s="304" customFormat="1" x14ac:dyDescent="0.35">
      <c r="A32" s="3" t="s">
        <v>1400</v>
      </c>
      <c r="B32" s="3" t="s">
        <v>1636</v>
      </c>
      <c r="C32" s="3">
        <f>SUMIFS(Capacity!$C$3:$C$263,Capacity!$A$3:$A$263,$A32,Capacity!$B$3:$B$263,$B32)</f>
        <v>34.71</v>
      </c>
      <c r="D32" s="143">
        <f>SUMIFS(Legacy_FC_VC!G$66:G$182,Legacy_FC_VC!$C$66:$C$182,$F32,Legacy_FC_VC!$D$66:$D$182,$B32)</f>
        <v>0</v>
      </c>
      <c r="E32" s="11">
        <f>SUMIFS(Legacy_FC_VC!H$66:H$182,Legacy_FC_VC!$C$66:$C$182,$F32,Legacy_FC_VC!$D$66:$D$182,$B32)</f>
        <v>5.7130472906992971</v>
      </c>
      <c r="F32" s="3" t="s">
        <v>799</v>
      </c>
      <c r="G32" s="304">
        <f t="shared" si="2"/>
        <v>0</v>
      </c>
      <c r="H32" s="304">
        <f t="shared" si="3"/>
        <v>198.2998714601726</v>
      </c>
    </row>
    <row r="33" spans="1:8" s="304" customFormat="1" x14ac:dyDescent="0.35">
      <c r="A33" s="3" t="s">
        <v>1400</v>
      </c>
      <c r="B33" s="3" t="s">
        <v>145</v>
      </c>
      <c r="C33" s="3">
        <f>SUMIFS(Capacity!$C$3:$C$263,Capacity!$A$3:$A$263,$A33,Capacity!$B$3:$B$263,$B33)</f>
        <v>0</v>
      </c>
      <c r="D33" s="143">
        <f>SUMIFS(Legacy_FC_VC!G$66:G$182,Legacy_FC_VC!$C$66:$C$182,$F33,Legacy_FC_VC!$D$66:$D$182,$B33)</f>
        <v>0</v>
      </c>
      <c r="E33" s="11">
        <f>SUMIFS(Legacy_FC_VC!H$66:H$182,Legacy_FC_VC!$C$66:$C$182,$F33,Legacy_FC_VC!$D$66:$D$182,$B33)</f>
        <v>0</v>
      </c>
      <c r="F33" s="3" t="s">
        <v>799</v>
      </c>
      <c r="G33" s="304">
        <f t="shared" si="2"/>
        <v>0</v>
      </c>
      <c r="H33" s="304">
        <f t="shared" si="3"/>
        <v>0</v>
      </c>
    </row>
    <row r="34" spans="1:8" s="304" customFormat="1" x14ac:dyDescent="0.35">
      <c r="A34" s="3" t="s">
        <v>1400</v>
      </c>
      <c r="B34" s="3" t="s">
        <v>1606</v>
      </c>
      <c r="C34" s="3">
        <f>SUMIFS(Capacity!$C$3:$C$263,Capacity!$A$3:$A$263,$A34,Capacity!$B$3:$B$263,$B34)</f>
        <v>0</v>
      </c>
      <c r="D34" s="143">
        <f>SUMIFS(Legacy_FC_VC!G$66:G$182,Legacy_FC_VC!$C$66:$C$182,$F34,Legacy_FC_VC!$D$66:$D$182,$B34)</f>
        <v>0</v>
      </c>
      <c r="E34" s="11">
        <f>SUMIFS(Legacy_FC_VC!H$66:H$182,Legacy_FC_VC!$C$66:$C$182,$F34,Legacy_FC_VC!$D$66:$D$182,$B34)</f>
        <v>0</v>
      </c>
      <c r="F34" s="3" t="s">
        <v>799</v>
      </c>
      <c r="G34" s="304">
        <f t="shared" si="2"/>
        <v>0</v>
      </c>
      <c r="H34" s="304">
        <f t="shared" si="3"/>
        <v>0</v>
      </c>
    </row>
    <row r="35" spans="1:8" x14ac:dyDescent="0.35">
      <c r="A35" s="3" t="s">
        <v>1401</v>
      </c>
      <c r="B35" s="3" t="s">
        <v>1612</v>
      </c>
      <c r="C35" s="3">
        <f>SUMIFS(Capacity!$C$3:$C$263,Capacity!$A$3:$A$263,$A35,Capacity!$B$3:$B$263,$B35)</f>
        <v>202.07504455086104</v>
      </c>
      <c r="D35" s="143">
        <f>SUMIFS(Legacy_FC_VC!G$66:G$182,Legacy_FC_VC!$C$66:$C$182,$F35,Legacy_FC_VC!$D$66:$D$182,$B35)</f>
        <v>8893.7311961823852</v>
      </c>
      <c r="E35" s="11">
        <f>SUMIFS(Legacy_FC_VC!H$66:H$182,Legacy_FC_VC!$C$66:$C$182,$F35,Legacy_FC_VC!$D$66:$D$182,$B35)</f>
        <v>1.6550420985355823</v>
      </c>
      <c r="F35" s="3" t="s">
        <v>751</v>
      </c>
      <c r="G35" s="304">
        <f t="shared" si="2"/>
        <v>1797201.1276919381</v>
      </c>
      <c r="H35" s="304">
        <f t="shared" si="3"/>
        <v>334.44270579512835</v>
      </c>
    </row>
    <row r="36" spans="1:8" s="304" customFormat="1" x14ac:dyDescent="0.35">
      <c r="A36" s="3" t="s">
        <v>1401</v>
      </c>
      <c r="B36" s="3" t="s">
        <v>1613</v>
      </c>
      <c r="C36" s="3">
        <f>SUMIFS(Capacity!$C$3:$C$263,Capacity!$A$3:$A$263,$A36,Capacity!$B$3:$B$263,$B36)</f>
        <v>66.34</v>
      </c>
      <c r="D36" s="143">
        <f>SUMIFS(Legacy_FC_VC!G$66:G$182,Legacy_FC_VC!$C$66:$C$182,$F36,Legacy_FC_VC!$D$66:$D$182,$B36)</f>
        <v>6119.4912566899402</v>
      </c>
      <c r="E36" s="11">
        <f>SUMIFS(Legacy_FC_VC!H$66:H$182,Legacy_FC_VC!$C$66:$C$182,$F36,Legacy_FC_VC!$D$66:$D$182,$B36)</f>
        <v>3.7203791469194316</v>
      </c>
      <c r="F36" s="3" t="s">
        <v>751</v>
      </c>
      <c r="G36" s="304">
        <f t="shared" si="2"/>
        <v>405967.04996881064</v>
      </c>
      <c r="H36" s="304">
        <f t="shared" si="3"/>
        <v>246.80995260663511</v>
      </c>
    </row>
    <row r="37" spans="1:8" s="304" customFormat="1" x14ac:dyDescent="0.35">
      <c r="A37" s="3" t="s">
        <v>1401</v>
      </c>
      <c r="B37" s="3" t="s">
        <v>1614</v>
      </c>
      <c r="C37" s="3">
        <f>SUMIFS(Capacity!$C$3:$C$263,Capacity!$A$3:$A$263,$A37,Capacity!$B$3:$B$263,$B37)</f>
        <v>0</v>
      </c>
      <c r="D37" s="143">
        <f>SUMIFS(Legacy_FC_VC!G$66:G$182,Legacy_FC_VC!$C$66:$C$182,$F37,Legacy_FC_VC!$D$66:$D$182,$B37)</f>
        <v>0</v>
      </c>
      <c r="E37" s="11">
        <f>SUMIFS(Legacy_FC_VC!H$66:H$182,Legacy_FC_VC!$C$66:$C$182,$F37,Legacy_FC_VC!$D$66:$D$182,$B37)</f>
        <v>0</v>
      </c>
      <c r="F37" s="3" t="s">
        <v>751</v>
      </c>
      <c r="G37" s="304">
        <f t="shared" si="2"/>
        <v>0</v>
      </c>
      <c r="H37" s="304">
        <f t="shared" si="3"/>
        <v>0</v>
      </c>
    </row>
    <row r="38" spans="1:8" s="304" customFormat="1" x14ac:dyDescent="0.35">
      <c r="A38" s="3" t="s">
        <v>1401</v>
      </c>
      <c r="B38" s="3" t="s">
        <v>1615</v>
      </c>
      <c r="C38" s="3">
        <f>SUMIFS(Capacity!$C$3:$C$263,Capacity!$A$3:$A$263,$A38,Capacity!$B$3:$B$263,$B38)</f>
        <v>10.272952853598015</v>
      </c>
      <c r="D38" s="143">
        <f>SUMIFS(Legacy_FC_VC!G$66:G$182,Legacy_FC_VC!$C$66:$C$182,$F38,Legacy_FC_VC!$D$66:$D$182,$B38)</f>
        <v>1754.3857186827061</v>
      </c>
      <c r="E38" s="11">
        <f>SUMIFS(Legacy_FC_VC!H$66:H$182,Legacy_FC_VC!$C$66:$C$182,$F38,Legacy_FC_VC!$D$66:$D$182,$B38)</f>
        <v>2.257103574702108</v>
      </c>
      <c r="F38" s="3" t="s">
        <v>751</v>
      </c>
      <c r="G38" s="304">
        <f t="shared" si="2"/>
        <v>18022.721775053109</v>
      </c>
      <c r="H38" s="304">
        <f t="shared" si="3"/>
        <v>23.187118608602301</v>
      </c>
    </row>
    <row r="39" spans="1:8" s="304" customFormat="1" x14ac:dyDescent="0.35">
      <c r="A39" s="3" t="s">
        <v>1401</v>
      </c>
      <c r="B39" s="3" t="s">
        <v>1604</v>
      </c>
      <c r="C39" s="3">
        <f>SUMIFS(Capacity!$C$3:$C$263,Capacity!$A$3:$A$263,$A39,Capacity!$B$3:$B$263,$B39)</f>
        <v>0</v>
      </c>
      <c r="D39" s="143">
        <f>SUMIFS(Legacy_FC_VC!G$66:G$182,Legacy_FC_VC!$C$66:$C$182,$F39,Legacy_FC_VC!$D$66:$D$182,$B39)</f>
        <v>1269.4300518134717</v>
      </c>
      <c r="E39" s="11">
        <f>SUMIFS(Legacy_FC_VC!H$66:H$182,Legacy_FC_VC!$C$66:$C$182,$F39,Legacy_FC_VC!$D$66:$D$182,$B39)</f>
        <v>0.61818181818181817</v>
      </c>
      <c r="F39" s="3" t="s">
        <v>751</v>
      </c>
      <c r="G39" s="304">
        <f t="shared" si="2"/>
        <v>0</v>
      </c>
      <c r="H39" s="304">
        <f t="shared" si="3"/>
        <v>0</v>
      </c>
    </row>
    <row r="40" spans="1:8" s="304" customFormat="1" x14ac:dyDescent="0.35">
      <c r="A40" s="3" t="s">
        <v>1401</v>
      </c>
      <c r="B40" s="3" t="s">
        <v>1603</v>
      </c>
      <c r="C40" s="3">
        <f>SUMIFS(Capacity!$C$3:$C$263,Capacity!$A$3:$A$263,$A40,Capacity!$B$3:$B$263,$B40)</f>
        <v>0</v>
      </c>
      <c r="D40" s="143">
        <f>SUMIFS(Legacy_FC_VC!G$66:G$182,Legacy_FC_VC!$C$66:$C$182,$F40,Legacy_FC_VC!$D$66:$D$182,$B40)</f>
        <v>0</v>
      </c>
      <c r="E40" s="11">
        <f>SUMIFS(Legacy_FC_VC!H$66:H$182,Legacy_FC_VC!$C$66:$C$182,$F40,Legacy_FC_VC!$D$66:$D$182,$B40)</f>
        <v>3.333333333333333</v>
      </c>
      <c r="F40" s="3" t="s">
        <v>751</v>
      </c>
      <c r="G40" s="304">
        <f t="shared" si="2"/>
        <v>0</v>
      </c>
      <c r="H40" s="304">
        <f t="shared" si="3"/>
        <v>0</v>
      </c>
    </row>
    <row r="41" spans="1:8" s="304" customFormat="1" x14ac:dyDescent="0.35">
      <c r="A41" s="3" t="s">
        <v>1401</v>
      </c>
      <c r="B41" s="3" t="s">
        <v>1605</v>
      </c>
      <c r="C41" s="3">
        <f>SUMIFS(Capacity!$C$3:$C$263,Capacity!$A$3:$A$263,$A41,Capacity!$B$3:$B$263,$B41)</f>
        <v>0</v>
      </c>
      <c r="D41" s="143">
        <f>SUMIFS(Legacy_FC_VC!G$66:G$182,Legacy_FC_VC!$C$66:$C$182,$F41,Legacy_FC_VC!$D$66:$D$182,$B41)</f>
        <v>0</v>
      </c>
      <c r="E41" s="11">
        <f>SUMIFS(Legacy_FC_VC!H$66:H$182,Legacy_FC_VC!$C$66:$C$182,$F41,Legacy_FC_VC!$D$66:$D$182,$B41)</f>
        <v>4.1500000000000004</v>
      </c>
      <c r="F41" s="3" t="s">
        <v>751</v>
      </c>
      <c r="G41" s="304">
        <f t="shared" si="2"/>
        <v>0</v>
      </c>
      <c r="H41" s="304">
        <f t="shared" si="3"/>
        <v>0</v>
      </c>
    </row>
    <row r="42" spans="1:8" s="304" customFormat="1" x14ac:dyDescent="0.35">
      <c r="A42" s="3" t="s">
        <v>1401</v>
      </c>
      <c r="B42" s="3" t="s">
        <v>1636</v>
      </c>
      <c r="C42" s="3">
        <f>SUMIFS(Capacity!$C$3:$C$263,Capacity!$A$3:$A$263,$A42,Capacity!$B$3:$B$263,$B42)</f>
        <v>5.4600000000000009</v>
      </c>
      <c r="D42" s="143">
        <f>SUMIFS(Legacy_FC_VC!G$66:G$182,Legacy_FC_VC!$C$66:$C$182,$F42,Legacy_FC_VC!$D$66:$D$182,$B42)</f>
        <v>0</v>
      </c>
      <c r="E42" s="11">
        <f>SUMIFS(Legacy_FC_VC!H$66:H$182,Legacy_FC_VC!$C$66:$C$182,$F42,Legacy_FC_VC!$D$66:$D$182,$B42)</f>
        <v>9.2128732066692525</v>
      </c>
      <c r="F42" s="3" t="s">
        <v>751</v>
      </c>
      <c r="G42" s="304">
        <f t="shared" si="2"/>
        <v>0</v>
      </c>
      <c r="H42" s="304">
        <f t="shared" si="3"/>
        <v>50.302287708414127</v>
      </c>
    </row>
    <row r="43" spans="1:8" s="304" customFormat="1" x14ac:dyDescent="0.35">
      <c r="A43" s="3" t="s">
        <v>1401</v>
      </c>
      <c r="B43" s="3" t="s">
        <v>145</v>
      </c>
      <c r="C43" s="3">
        <f>SUMIFS(Capacity!$C$3:$C$263,Capacity!$A$3:$A$263,$A43,Capacity!$B$3:$B$263,$B43)</f>
        <v>0</v>
      </c>
      <c r="D43" s="143">
        <f>SUMIFS(Legacy_FC_VC!G$66:G$182,Legacy_FC_VC!$C$66:$C$182,$F43,Legacy_FC_VC!$D$66:$D$182,$B43)</f>
        <v>0</v>
      </c>
      <c r="E43" s="11">
        <f>SUMIFS(Legacy_FC_VC!H$66:H$182,Legacy_FC_VC!$C$66:$C$182,$F43,Legacy_FC_VC!$D$66:$D$182,$B43)</f>
        <v>0</v>
      </c>
      <c r="F43" s="3" t="s">
        <v>751</v>
      </c>
      <c r="G43" s="304">
        <f t="shared" si="2"/>
        <v>0</v>
      </c>
      <c r="H43" s="304">
        <f t="shared" si="3"/>
        <v>0</v>
      </c>
    </row>
    <row r="44" spans="1:8" s="304" customFormat="1" x14ac:dyDescent="0.35">
      <c r="A44" s="3" t="s">
        <v>1401</v>
      </c>
      <c r="B44" s="3" t="s">
        <v>1606</v>
      </c>
      <c r="C44" s="3">
        <f>SUMIFS(Capacity!$C$3:$C$263,Capacity!$A$3:$A$263,$A44,Capacity!$B$3:$B$263,$B44)</f>
        <v>0</v>
      </c>
      <c r="D44" s="143">
        <f>SUMIFS(Legacy_FC_VC!G$66:G$182,Legacy_FC_VC!$C$66:$C$182,$F44,Legacy_FC_VC!$D$66:$D$182,$B44)</f>
        <v>0</v>
      </c>
      <c r="E44" s="11">
        <f>SUMIFS(Legacy_FC_VC!H$66:H$182,Legacy_FC_VC!$C$66:$C$182,$F44,Legacy_FC_VC!$D$66:$D$182,$B44)</f>
        <v>3.7863070539419086</v>
      </c>
      <c r="F44" s="3" t="s">
        <v>751</v>
      </c>
      <c r="G44" s="304">
        <f t="shared" si="2"/>
        <v>0</v>
      </c>
      <c r="H44" s="304">
        <f t="shared" si="3"/>
        <v>0</v>
      </c>
    </row>
    <row r="45" spans="1:8" x14ac:dyDescent="0.35">
      <c r="A45" s="3" t="s">
        <v>1398</v>
      </c>
      <c r="B45" s="3" t="s">
        <v>1612</v>
      </c>
      <c r="C45" s="3">
        <f>SUMIFS(Capacity!$C$3:$C$263,Capacity!$A$3:$A$263,$A45,Capacity!$B$3:$B$263,$B45)</f>
        <v>146.09116589947473</v>
      </c>
      <c r="D45" s="143">
        <f>SUMIFS(Legacy_FC_VC!G$66:G$182,Legacy_FC_VC!$C$66:$C$182,$F45,Legacy_FC_VC!$D$66:$D$182,$B45)</f>
        <v>8893.7311961823852</v>
      </c>
      <c r="E45" s="11">
        <f>SUMIFS(Legacy_FC_VC!H$66:H$182,Legacy_FC_VC!$C$66:$C$182,$F45,Legacy_FC_VC!$D$66:$D$182,$B45)</f>
        <v>1.6550420985355823</v>
      </c>
      <c r="F45" s="3" t="s">
        <v>751</v>
      </c>
      <c r="G45" s="304">
        <f t="shared" si="2"/>
        <v>1299295.5596468146</v>
      </c>
      <c r="H45" s="304">
        <f t="shared" si="3"/>
        <v>241.78702978777656</v>
      </c>
    </row>
    <row r="46" spans="1:8" s="304" customFormat="1" x14ac:dyDescent="0.35">
      <c r="A46" s="3" t="s">
        <v>1398</v>
      </c>
      <c r="B46" s="3" t="s">
        <v>1613</v>
      </c>
      <c r="C46" s="3">
        <f>SUMIFS(Capacity!$C$3:$C$263,Capacity!$A$3:$A$263,$A46,Capacity!$B$3:$B$263,$B46)</f>
        <v>43.34</v>
      </c>
      <c r="D46" s="143">
        <f>SUMIFS(Legacy_FC_VC!G$66:G$182,Legacy_FC_VC!$C$66:$C$182,$F46,Legacy_FC_VC!$D$66:$D$182,$B46)</f>
        <v>6119.4912566899402</v>
      </c>
      <c r="E46" s="11">
        <f>SUMIFS(Legacy_FC_VC!H$66:H$182,Legacy_FC_VC!$C$66:$C$182,$F46,Legacy_FC_VC!$D$66:$D$182,$B46)</f>
        <v>3.7203791469194316</v>
      </c>
      <c r="F46" s="3" t="s">
        <v>751</v>
      </c>
      <c r="G46" s="304">
        <f t="shared" si="2"/>
        <v>265218.75106494204</v>
      </c>
      <c r="H46" s="304">
        <f t="shared" si="3"/>
        <v>161.24123222748818</v>
      </c>
    </row>
    <row r="47" spans="1:8" s="304" customFormat="1" x14ac:dyDescent="0.35">
      <c r="A47" s="3" t="s">
        <v>1398</v>
      </c>
      <c r="B47" s="3" t="s">
        <v>1614</v>
      </c>
      <c r="C47" s="3">
        <f>SUMIFS(Capacity!$C$3:$C$263,Capacity!$A$3:$A$263,$A47,Capacity!$B$3:$B$263,$B47)</f>
        <v>0</v>
      </c>
      <c r="D47" s="143">
        <f>SUMIFS(Legacy_FC_VC!G$66:G$182,Legacy_FC_VC!$C$66:$C$182,$F47,Legacy_FC_VC!$D$66:$D$182,$B47)</f>
        <v>0</v>
      </c>
      <c r="E47" s="11">
        <f>SUMIFS(Legacy_FC_VC!H$66:H$182,Legacy_FC_VC!$C$66:$C$182,$F47,Legacy_FC_VC!$D$66:$D$182,$B47)</f>
        <v>0</v>
      </c>
      <c r="F47" s="3" t="s">
        <v>751</v>
      </c>
      <c r="G47" s="304">
        <f t="shared" si="2"/>
        <v>0</v>
      </c>
      <c r="H47" s="304">
        <f t="shared" si="3"/>
        <v>0</v>
      </c>
    </row>
    <row r="48" spans="1:8" s="304" customFormat="1" x14ac:dyDescent="0.35">
      <c r="A48" s="3" t="s">
        <v>1398</v>
      </c>
      <c r="B48" s="3" t="s">
        <v>1615</v>
      </c>
      <c r="C48" s="3">
        <f>SUMIFS(Capacity!$C$3:$C$263,Capacity!$A$3:$A$263,$A48,Capacity!$B$3:$B$263,$B48)</f>
        <v>7.9900744416873453</v>
      </c>
      <c r="D48" s="143">
        <f>SUMIFS(Legacy_FC_VC!G$66:G$182,Legacy_FC_VC!$C$66:$C$182,$F48,Legacy_FC_VC!$D$66:$D$182,$B48)</f>
        <v>1754.3857186827061</v>
      </c>
      <c r="E48" s="11">
        <f>SUMIFS(Legacy_FC_VC!H$66:H$182,Legacy_FC_VC!$C$66:$C$182,$F48,Legacy_FC_VC!$D$66:$D$182,$B48)</f>
        <v>2.257103574702108</v>
      </c>
      <c r="F48" s="3" t="s">
        <v>751</v>
      </c>
      <c r="G48" s="304">
        <f t="shared" si="2"/>
        <v>14017.672491707974</v>
      </c>
      <c r="H48" s="304">
        <f t="shared" si="3"/>
        <v>18.034425584468458</v>
      </c>
    </row>
    <row r="49" spans="1:8" s="304" customFormat="1" x14ac:dyDescent="0.35">
      <c r="A49" s="3" t="s">
        <v>1398</v>
      </c>
      <c r="B49" s="3" t="s">
        <v>1604</v>
      </c>
      <c r="C49" s="3">
        <f>SUMIFS(Capacity!$C$3:$C$263,Capacity!$A$3:$A$263,$A49,Capacity!$B$3:$B$263,$B49)</f>
        <v>0</v>
      </c>
      <c r="D49" s="143">
        <f>SUMIFS(Legacy_FC_VC!G$66:G$182,Legacy_FC_VC!$C$66:$C$182,$F49,Legacy_FC_VC!$D$66:$D$182,$B49)</f>
        <v>1269.4300518134717</v>
      </c>
      <c r="E49" s="11">
        <f>SUMIFS(Legacy_FC_VC!H$66:H$182,Legacy_FC_VC!$C$66:$C$182,$F49,Legacy_FC_VC!$D$66:$D$182,$B49)</f>
        <v>0.61818181818181817</v>
      </c>
      <c r="F49" s="3" t="s">
        <v>751</v>
      </c>
      <c r="G49" s="304">
        <f t="shared" si="2"/>
        <v>0</v>
      </c>
      <c r="H49" s="304">
        <f t="shared" si="3"/>
        <v>0</v>
      </c>
    </row>
    <row r="50" spans="1:8" s="304" customFormat="1" x14ac:dyDescent="0.35">
      <c r="A50" s="3" t="s">
        <v>1398</v>
      </c>
      <c r="B50" s="3" t="s">
        <v>1603</v>
      </c>
      <c r="C50" s="3">
        <f>SUMIFS(Capacity!$C$3:$C$263,Capacity!$A$3:$A$263,$A50,Capacity!$B$3:$B$263,$B50)</f>
        <v>0</v>
      </c>
      <c r="D50" s="143">
        <f>SUMIFS(Legacy_FC_VC!G$66:G$182,Legacy_FC_VC!$C$66:$C$182,$F50,Legacy_FC_VC!$D$66:$D$182,$B50)</f>
        <v>0</v>
      </c>
      <c r="E50" s="11">
        <f>SUMIFS(Legacy_FC_VC!H$66:H$182,Legacy_FC_VC!$C$66:$C$182,$F50,Legacy_FC_VC!$D$66:$D$182,$B50)</f>
        <v>3.333333333333333</v>
      </c>
      <c r="F50" s="3" t="s">
        <v>751</v>
      </c>
      <c r="G50" s="304">
        <f t="shared" si="2"/>
        <v>0</v>
      </c>
      <c r="H50" s="304">
        <f t="shared" si="3"/>
        <v>0</v>
      </c>
    </row>
    <row r="51" spans="1:8" s="304" customFormat="1" x14ac:dyDescent="0.35">
      <c r="A51" s="3" t="s">
        <v>1398</v>
      </c>
      <c r="B51" s="3" t="s">
        <v>1605</v>
      </c>
      <c r="C51" s="3">
        <f>SUMIFS(Capacity!$C$3:$C$263,Capacity!$A$3:$A$263,$A51,Capacity!$B$3:$B$263,$B51)</f>
        <v>0</v>
      </c>
      <c r="D51" s="143">
        <f>SUMIFS(Legacy_FC_VC!G$66:G$182,Legacy_FC_VC!$C$66:$C$182,$F51,Legacy_FC_VC!$D$66:$D$182,$B51)</f>
        <v>0</v>
      </c>
      <c r="E51" s="11">
        <f>SUMIFS(Legacy_FC_VC!H$66:H$182,Legacy_FC_VC!$C$66:$C$182,$F51,Legacy_FC_VC!$D$66:$D$182,$B51)</f>
        <v>4.1500000000000004</v>
      </c>
      <c r="F51" s="3" t="s">
        <v>751</v>
      </c>
      <c r="G51" s="304">
        <f t="shared" si="2"/>
        <v>0</v>
      </c>
      <c r="H51" s="304">
        <f t="shared" si="3"/>
        <v>0</v>
      </c>
    </row>
    <row r="52" spans="1:8" s="304" customFormat="1" x14ac:dyDescent="0.35">
      <c r="A52" s="3" t="s">
        <v>1398</v>
      </c>
      <c r="B52" s="3" t="s">
        <v>1636</v>
      </c>
      <c r="C52" s="3">
        <f>SUMIFS(Capacity!$C$3:$C$263,Capacity!$A$3:$A$263,$A52,Capacity!$B$3:$B$263,$B52)</f>
        <v>14.47</v>
      </c>
      <c r="D52" s="143">
        <f>SUMIFS(Legacy_FC_VC!G$66:G$182,Legacy_FC_VC!$C$66:$C$182,$F52,Legacy_FC_VC!$D$66:$D$182,$B52)</f>
        <v>0</v>
      </c>
      <c r="E52" s="11">
        <f>SUMIFS(Legacy_FC_VC!H$66:H$182,Legacy_FC_VC!$C$66:$C$182,$F52,Legacy_FC_VC!$D$66:$D$182,$B52)</f>
        <v>9.2128732066692525</v>
      </c>
      <c r="F52" s="3" t="s">
        <v>751</v>
      </c>
      <c r="G52" s="304">
        <f t="shared" si="2"/>
        <v>0</v>
      </c>
      <c r="H52" s="304">
        <f t="shared" si="3"/>
        <v>133.31027530050409</v>
      </c>
    </row>
    <row r="53" spans="1:8" s="304" customFormat="1" x14ac:dyDescent="0.35">
      <c r="A53" s="3" t="s">
        <v>1398</v>
      </c>
      <c r="B53" s="3" t="s">
        <v>145</v>
      </c>
      <c r="C53" s="3">
        <f>SUMIFS(Capacity!$C$3:$C$263,Capacity!$A$3:$A$263,$A53,Capacity!$B$3:$B$263,$B53)</f>
        <v>0</v>
      </c>
      <c r="D53" s="143">
        <f>SUMIFS(Legacy_FC_VC!G$66:G$182,Legacy_FC_VC!$C$66:$C$182,$F53,Legacy_FC_VC!$D$66:$D$182,$B53)</f>
        <v>0</v>
      </c>
      <c r="E53" s="11">
        <f>SUMIFS(Legacy_FC_VC!H$66:H$182,Legacy_FC_VC!$C$66:$C$182,$F53,Legacy_FC_VC!$D$66:$D$182,$B53)</f>
        <v>0</v>
      </c>
      <c r="F53" s="3" t="s">
        <v>751</v>
      </c>
      <c r="G53" s="304">
        <f t="shared" si="2"/>
        <v>0</v>
      </c>
      <c r="H53" s="304">
        <f t="shared" si="3"/>
        <v>0</v>
      </c>
    </row>
    <row r="54" spans="1:8" s="304" customFormat="1" x14ac:dyDescent="0.35">
      <c r="A54" s="3" t="s">
        <v>1398</v>
      </c>
      <c r="B54" s="3" t="s">
        <v>1606</v>
      </c>
      <c r="C54" s="3">
        <f>SUMIFS(Capacity!$C$3:$C$263,Capacity!$A$3:$A$263,$A54,Capacity!$B$3:$B$263,$B54)</f>
        <v>0</v>
      </c>
      <c r="D54" s="143">
        <f>SUMIFS(Legacy_FC_VC!G$66:G$182,Legacy_FC_VC!$C$66:$C$182,$F54,Legacy_FC_VC!$D$66:$D$182,$B54)</f>
        <v>0</v>
      </c>
      <c r="E54" s="11">
        <f>SUMIFS(Legacy_FC_VC!H$66:H$182,Legacy_FC_VC!$C$66:$C$182,$F54,Legacy_FC_VC!$D$66:$D$182,$B54)</f>
        <v>3.7863070539419086</v>
      </c>
      <c r="F54" s="3" t="s">
        <v>751</v>
      </c>
      <c r="G54" s="304">
        <f t="shared" si="2"/>
        <v>0</v>
      </c>
      <c r="H54" s="304">
        <f t="shared" si="3"/>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ColWidth="8.7265625" defaultRowHeight="14.5" x14ac:dyDescent="0.35"/>
  <cols>
    <col min="1" max="1" width="20.7265625" style="304" bestFit="1" customWidth="1"/>
    <col min="2" max="2" width="15.7265625" style="304" customWidth="1"/>
    <col min="3" max="3" width="16.26953125" style="304" customWidth="1"/>
    <col min="4" max="4" width="16.453125" style="304" customWidth="1"/>
    <col min="5" max="16384" width="8.7265625" style="304"/>
  </cols>
  <sheetData>
    <row r="1" spans="1:4" x14ac:dyDescent="0.35">
      <c r="B1" s="304" t="s">
        <v>1423</v>
      </c>
      <c r="C1" s="304" t="s">
        <v>1424</v>
      </c>
      <c r="D1" s="304" t="s">
        <v>1425</v>
      </c>
    </row>
    <row r="2" spans="1:4" x14ac:dyDescent="0.35">
      <c r="A2" s="304" t="s">
        <v>146</v>
      </c>
      <c r="B2" s="379">
        <v>412</v>
      </c>
      <c r="C2" s="304">
        <f>6*250</f>
        <v>1500</v>
      </c>
      <c r="D2" s="304">
        <v>520</v>
      </c>
    </row>
    <row r="3" spans="1:4" ht="29" x14ac:dyDescent="0.35">
      <c r="A3" s="304" t="s">
        <v>1426</v>
      </c>
      <c r="B3" s="383" t="s">
        <v>1427</v>
      </c>
      <c r="C3" s="20" t="s">
        <v>1428</v>
      </c>
      <c r="D3" s="384" t="s">
        <v>1429</v>
      </c>
    </row>
    <row r="4" spans="1:4" x14ac:dyDescent="0.35">
      <c r="A4" s="304" t="s">
        <v>180</v>
      </c>
      <c r="B4" s="379" t="s">
        <v>739</v>
      </c>
      <c r="C4" s="304" t="s">
        <v>1430</v>
      </c>
      <c r="D4" s="304" t="s">
        <v>739</v>
      </c>
    </row>
    <row r="5" spans="1:4" ht="72.5" x14ac:dyDescent="0.35">
      <c r="A5" s="20" t="s">
        <v>1431</v>
      </c>
      <c r="B5" s="383">
        <v>3938.7138</v>
      </c>
      <c r="C5" s="385">
        <v>8773.0750000000007</v>
      </c>
      <c r="D5" s="385">
        <v>2690.0832</v>
      </c>
    </row>
    <row r="6" spans="1:4" ht="29" x14ac:dyDescent="0.35">
      <c r="A6" s="20" t="s">
        <v>1432</v>
      </c>
      <c r="B6" s="386">
        <f>B5/B2</f>
        <v>9.5599849514563111</v>
      </c>
      <c r="C6" s="386">
        <f>C5/C2</f>
        <v>5.8487166666666672</v>
      </c>
      <c r="D6" s="386">
        <f>D5/D2</f>
        <v>5.1732369230769235</v>
      </c>
    </row>
    <row r="7" spans="1:4" x14ac:dyDescent="0.35">
      <c r="A7" s="304" t="s">
        <v>1433</v>
      </c>
      <c r="B7" s="209">
        <v>696.50080000000003</v>
      </c>
      <c r="C7" s="209">
        <v>1666.2004999999999</v>
      </c>
      <c r="D7" s="209">
        <v>519.52260000000001</v>
      </c>
    </row>
    <row r="8" spans="1:4" x14ac:dyDescent="0.35">
      <c r="A8" s="304" t="s">
        <v>1434</v>
      </c>
      <c r="B8" s="209">
        <f>B7/B2*10^7/10^3</f>
        <v>16905.359223300969</v>
      </c>
      <c r="C8" s="209">
        <f>C7/C2*10^7/10^3</f>
        <v>11108.003333333334</v>
      </c>
      <c r="D8" s="209">
        <f>D7/D2*10^7/10^3</f>
        <v>9990.8192307692316</v>
      </c>
    </row>
    <row r="9" spans="1:4" ht="58" x14ac:dyDescent="0.35">
      <c r="A9" s="304" t="s">
        <v>1435</v>
      </c>
      <c r="B9" s="20" t="s">
        <v>1436</v>
      </c>
      <c r="C9" s="20" t="s">
        <v>1437</v>
      </c>
      <c r="D9" s="20" t="s">
        <v>1438</v>
      </c>
    </row>
    <row r="11" spans="1:4" x14ac:dyDescent="0.35">
      <c r="A11" s="304" t="s">
        <v>1439</v>
      </c>
      <c r="C11" s="209">
        <v>1629.7605000000001</v>
      </c>
      <c r="D11" s="209"/>
    </row>
    <row r="12" spans="1:4" x14ac:dyDescent="0.35">
      <c r="A12" s="304" t="s">
        <v>1440</v>
      </c>
      <c r="B12" s="209">
        <v>606.53269999999998</v>
      </c>
      <c r="C12" s="209">
        <v>1658.5646999999999</v>
      </c>
      <c r="D12" s="209">
        <v>532.56870000000004</v>
      </c>
    </row>
    <row r="13" spans="1:4" x14ac:dyDescent="0.35">
      <c r="A13" s="304" t="s">
        <v>1441</v>
      </c>
      <c r="B13" s="209">
        <v>653.27059999999994</v>
      </c>
      <c r="C13" s="209">
        <v>1650.4179999999999</v>
      </c>
      <c r="D13" s="209">
        <v>532.89390000000003</v>
      </c>
    </row>
    <row r="14" spans="1:4" x14ac:dyDescent="0.35">
      <c r="A14" s="304" t="s">
        <v>1442</v>
      </c>
      <c r="B14" s="209">
        <v>654.64729999999997</v>
      </c>
      <c r="C14" s="209">
        <v>1636.2068999999999</v>
      </c>
      <c r="D14" s="209">
        <v>530.33280000000002</v>
      </c>
    </row>
    <row r="15" spans="1:4" x14ac:dyDescent="0.35">
      <c r="B15" s="262">
        <f>(B12/B14)^(1/2)-1</f>
        <v>-3.7449731567551714E-2</v>
      </c>
      <c r="C15" s="262">
        <f>(C11/C14)^(1/3)-1</f>
        <v>-1.3150098389028697E-3</v>
      </c>
      <c r="D15" s="262">
        <f>(D12/D14)^(1/2)-1</f>
        <v>2.1057987535266776E-3</v>
      </c>
    </row>
    <row r="16" spans="1:4" x14ac:dyDescent="0.35">
      <c r="A16" s="20"/>
      <c r="B16" s="140"/>
    </row>
    <row r="18" spans="2:2" x14ac:dyDescent="0.35">
      <c r="B18" s="209"/>
    </row>
    <row r="19" spans="2:2" x14ac:dyDescent="0.35">
      <c r="B19" s="209"/>
    </row>
    <row r="20" spans="2:2" x14ac:dyDescent="0.35">
      <c r="B20" s="209"/>
    </row>
    <row r="21" spans="2:2" x14ac:dyDescent="0.35">
      <c r="B21" s="209"/>
    </row>
    <row r="22" spans="2:2" x14ac:dyDescent="0.35">
      <c r="B22" s="209"/>
    </row>
    <row r="23" spans="2:2" x14ac:dyDescent="0.35">
      <c r="B23" s="209"/>
    </row>
    <row r="24" spans="2:2" x14ac:dyDescent="0.35">
      <c r="B24" s="209"/>
    </row>
    <row r="25" spans="2:2" x14ac:dyDescent="0.35">
      <c r="B25" s="209"/>
    </row>
    <row r="26" spans="2:2" x14ac:dyDescent="0.35">
      <c r="B26" s="209"/>
    </row>
    <row r="27" spans="2:2" x14ac:dyDescent="0.35">
      <c r="B27" s="209"/>
    </row>
    <row r="28" spans="2:2" x14ac:dyDescent="0.35">
      <c r="B28" s="209"/>
    </row>
    <row r="29" spans="2:2" x14ac:dyDescent="0.35">
      <c r="B29" s="209"/>
    </row>
  </sheetData>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workbookViewId="0"/>
  </sheetViews>
  <sheetFormatPr defaultColWidth="8.7265625" defaultRowHeight="14.5" x14ac:dyDescent="0.35"/>
  <cols>
    <col min="1" max="1" width="14.453125" style="304" customWidth="1"/>
    <col min="2" max="2" width="36.7265625" style="304" customWidth="1"/>
    <col min="3" max="3" width="12.54296875" style="304" customWidth="1"/>
    <col min="4" max="4" width="9.7265625" style="304" bestFit="1" customWidth="1"/>
    <col min="5" max="7" width="8.7265625" style="304"/>
    <col min="8" max="8" width="15.54296875" style="304" customWidth="1"/>
    <col min="9" max="16384" width="8.7265625" style="304"/>
  </cols>
  <sheetData>
    <row r="1" spans="1:16" x14ac:dyDescent="0.35">
      <c r="C1" s="304" t="s">
        <v>1443</v>
      </c>
      <c r="D1" s="304" t="s">
        <v>1444</v>
      </c>
      <c r="E1" s="304" t="s">
        <v>1497</v>
      </c>
      <c r="I1" s="304" t="s">
        <v>1495</v>
      </c>
      <c r="J1" s="304" t="s">
        <v>1496</v>
      </c>
      <c r="K1" s="304" t="s">
        <v>1493</v>
      </c>
      <c r="L1" s="304" t="s">
        <v>1494</v>
      </c>
      <c r="M1" s="304" t="s">
        <v>1550</v>
      </c>
    </row>
    <row r="2" spans="1:16" x14ac:dyDescent="0.35">
      <c r="A2" s="304" t="s">
        <v>1445</v>
      </c>
      <c r="B2" s="20" t="s">
        <v>1446</v>
      </c>
      <c r="C2" s="304">
        <v>4.5</v>
      </c>
      <c r="D2" s="378">
        <f>I6*$O$5*10^3/10^7</f>
        <v>4.5765000000000002</v>
      </c>
      <c r="H2" s="20" t="s">
        <v>1491</v>
      </c>
      <c r="I2" s="262">
        <v>5.1910448048370306E-2</v>
      </c>
      <c r="J2" s="262">
        <v>3.8927929760234958E-2</v>
      </c>
      <c r="K2" s="387">
        <v>3.8629096658196138E-2</v>
      </c>
      <c r="L2" s="262">
        <v>3.3799314324139074E-2</v>
      </c>
      <c r="M2" s="262">
        <v>4.0781434021363694E-2</v>
      </c>
    </row>
    <row r="3" spans="1:16" x14ac:dyDescent="0.35">
      <c r="A3" s="304" t="s">
        <v>1445</v>
      </c>
      <c r="B3" s="20" t="s">
        <v>2023</v>
      </c>
      <c r="C3" s="378">
        <f>C2*(1+$J$2)*(1+$K$2)*(1+$L$2)*(1+$M$2)</f>
        <v>5.2246138414934453</v>
      </c>
      <c r="D3" s="378">
        <f>D2*(1+$L$2)*(1+$M$2)</f>
        <v>4.9241269714998328</v>
      </c>
      <c r="E3" s="746">
        <v>5</v>
      </c>
      <c r="H3" s="304" t="s">
        <v>1492</v>
      </c>
    </row>
    <row r="4" spans="1:16" ht="15" thickBot="1" x14ac:dyDescent="0.4">
      <c r="A4" s="304" t="s">
        <v>689</v>
      </c>
      <c r="B4" s="20" t="s">
        <v>1446</v>
      </c>
      <c r="D4" s="378">
        <v>6.6014999999999997</v>
      </c>
    </row>
    <row r="5" spans="1:16" ht="48.5" x14ac:dyDescent="0.35">
      <c r="A5" s="304" t="s">
        <v>689</v>
      </c>
      <c r="B5" s="20" t="s">
        <v>2023</v>
      </c>
      <c r="C5" s="378"/>
      <c r="D5" s="378">
        <f>D4*(1+$L$2)*(1+$M$2)</f>
        <v>7.1029442155263061</v>
      </c>
      <c r="E5" s="746">
        <v>7</v>
      </c>
      <c r="H5" s="458" t="s">
        <v>2024</v>
      </c>
      <c r="I5" s="731" t="s">
        <v>1449</v>
      </c>
      <c r="J5" s="731" t="s">
        <v>1448</v>
      </c>
      <c r="K5" s="731" t="s">
        <v>2025</v>
      </c>
      <c r="L5" s="728" t="s">
        <v>1451</v>
      </c>
      <c r="N5" s="736" t="s">
        <v>1452</v>
      </c>
      <c r="O5" s="737">
        <v>67.5</v>
      </c>
      <c r="P5" s="738" t="s">
        <v>1453</v>
      </c>
    </row>
    <row r="6" spans="1:16" ht="36.5" x14ac:dyDescent="0.35">
      <c r="A6" s="304" t="s">
        <v>690</v>
      </c>
      <c r="B6" s="20" t="s">
        <v>1446</v>
      </c>
      <c r="C6" s="304">
        <v>7</v>
      </c>
      <c r="D6" s="378"/>
      <c r="H6" s="729" t="s">
        <v>1457</v>
      </c>
      <c r="I6" s="389">
        <v>678</v>
      </c>
      <c r="J6" s="388">
        <v>9800</v>
      </c>
      <c r="K6" s="388">
        <f>J6*NewCoalGas!$O$6</f>
        <v>2471.2111199999999</v>
      </c>
      <c r="L6" s="732">
        <f>1/(J6*$O$7)</f>
        <v>0.34817770203033976</v>
      </c>
      <c r="N6" s="739" t="s">
        <v>1454</v>
      </c>
      <c r="O6" s="740">
        <v>0.25216440000000001</v>
      </c>
      <c r="P6" s="741" t="s">
        <v>1455</v>
      </c>
    </row>
    <row r="7" spans="1:16" ht="37" thickBot="1" x14ac:dyDescent="0.4">
      <c r="A7" s="304" t="s">
        <v>690</v>
      </c>
      <c r="B7" s="20" t="s">
        <v>2023</v>
      </c>
      <c r="C7" s="378">
        <f>C6*(1+$J$2)*(1+$K$2)*(1+$L$2)*(1+$M$2)</f>
        <v>8.1271770867675812</v>
      </c>
      <c r="D7" s="378"/>
      <c r="E7" s="746">
        <v>8</v>
      </c>
      <c r="H7" s="730" t="s">
        <v>2026</v>
      </c>
      <c r="I7" s="733">
        <v>978</v>
      </c>
      <c r="J7" s="734">
        <v>6600</v>
      </c>
      <c r="K7" s="734">
        <f>J7*NewCoalGas!$O$6</f>
        <v>1664.28504</v>
      </c>
      <c r="L7" s="735">
        <f>1/(J7*$O$7)</f>
        <v>0.51699113331777724</v>
      </c>
      <c r="N7" s="742" t="s">
        <v>1454</v>
      </c>
      <c r="O7" s="743">
        <v>2.930710833333E-4</v>
      </c>
      <c r="P7" s="744" t="s">
        <v>1456</v>
      </c>
    </row>
    <row r="11" spans="1:16" ht="58" x14ac:dyDescent="0.35">
      <c r="A11" s="304" t="s">
        <v>1499</v>
      </c>
      <c r="B11" s="20" t="s">
        <v>1500</v>
      </c>
    </row>
    <row r="13" spans="1:16" x14ac:dyDescent="0.35">
      <c r="A13" s="29" t="s">
        <v>49</v>
      </c>
    </row>
    <row r="14" spans="1:16" x14ac:dyDescent="0.35">
      <c r="A14" s="304" t="s">
        <v>1443</v>
      </c>
      <c r="B14" s="20" t="s">
        <v>1489</v>
      </c>
      <c r="C14" s="223" t="s">
        <v>1490</v>
      </c>
    </row>
    <row r="15" spans="1:16" ht="43.5" x14ac:dyDescent="0.35">
      <c r="A15" s="304" t="s">
        <v>1444</v>
      </c>
      <c r="B15" s="20" t="s">
        <v>1498</v>
      </c>
      <c r="C15" s="223" t="s">
        <v>1447</v>
      </c>
    </row>
  </sheetData>
  <hyperlinks>
    <hyperlink ref="C14" r:id="rId1"/>
    <hyperlink ref="C15" r:id="rId2"/>
  </hyperlinks>
  <pageMargins left="0.7" right="0.7" top="0.75" bottom="0.75" header="0.3" footer="0.3"/>
  <pageSetup paperSize="9" orientation="portrait"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E0EBEE-21B4-4DF6-9E1E-7F02BC3D9C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FileInfo</vt:lpstr>
      <vt:lpstr>Maps</vt:lpstr>
      <vt:lpstr>Crude</vt:lpstr>
      <vt:lpstr>Products</vt:lpstr>
      <vt:lpstr>RF_Capex_Opex</vt:lpstr>
      <vt:lpstr>ECT_EfficiencyCost_RF</vt:lpstr>
      <vt:lpstr>Assumptions_EG</vt:lpstr>
      <vt:lpstr>Levelised_Fixed_Costs</vt:lpstr>
      <vt:lpstr>Legacy_FC_VC</vt:lpstr>
      <vt:lpstr>ConvEff</vt:lpstr>
      <vt:lpstr>LegacyFC_Input_Ref</vt:lpstr>
      <vt:lpstr>LegacyFC_Input_PRS</vt:lpstr>
      <vt:lpstr>NewFC_Input</vt:lpstr>
      <vt:lpstr>OtherVC_Input</vt:lpstr>
      <vt:lpstr>ConvEff_Input</vt:lpstr>
      <vt:lpstr>MaxAnnualUF</vt:lpstr>
      <vt:lpstr>ECT_EfficiencyCostMaxAnnUF_Ref</vt:lpstr>
      <vt:lpstr>ECT_EfficiencyCostMaxAnnUF_PRS</vt:lpstr>
      <vt:lpstr>Capacity</vt:lpstr>
      <vt:lpstr>RE</vt:lpstr>
      <vt:lpstr>TS</vt:lpstr>
      <vt:lpstr>AP</vt:lpstr>
      <vt:lpstr>MH</vt:lpstr>
      <vt:lpstr>BR</vt:lpstr>
      <vt:lpstr>GJ</vt:lpstr>
      <vt:lpstr>RJ</vt:lpstr>
      <vt:lpstr>UP</vt:lpstr>
      <vt:lpstr>MP</vt:lpstr>
      <vt:lpstr>WB</vt:lpstr>
      <vt:lpstr>PB</vt:lpstr>
      <vt:lpstr>TN</vt:lpstr>
      <vt:lpstr>AS</vt:lpstr>
      <vt:lpstr>HP</vt:lpstr>
      <vt:lpstr>UT</vt:lpstr>
      <vt:lpstr>NewHydro</vt:lpstr>
      <vt:lpstr>NewCoalGas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Prayas (Energy Group)</dc:creator>
  <cp:lastModifiedBy>Srihari</cp:lastModifiedBy>
  <dcterms:created xsi:type="dcterms:W3CDTF">2019-03-11T10:27:27Z</dcterms:created>
  <dcterms:modified xsi:type="dcterms:W3CDTF">2021-11-15T11:10:57Z</dcterms:modified>
</cp:coreProperties>
</file>